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drawings/drawing3.xml" ContentType="application/vnd.openxmlformats-officedocument.drawing+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comments3.xml" ContentType="application/vnd.openxmlformats-officedocument.spreadsheetml.comments+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4.xml" ContentType="application/vnd.openxmlformats-officedocument.spreadsheetml.comments+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hsequier\Documents\workspace\perso\lolsimulator-champ\data\"/>
    </mc:Choice>
  </mc:AlternateContent>
  <xr:revisionPtr revIDLastSave="0" documentId="13_ncr:20001_{60707F2D-8ABC-4A9B-B3CF-4935A2929054}" xr6:coauthVersionLast="47" xr6:coauthVersionMax="47" xr10:uidLastSave="{00000000-0000-0000-0000-000000000000}"/>
  <bookViews>
    <workbookView xWindow="-108" yWindow="-108" windowWidth="23256" windowHeight="12576" activeTab="8" xr2:uid="{00000000-000D-0000-FFFF-FFFF00000000}"/>
  </bookViews>
  <sheets>
    <sheet name="Instruction" sheetId="1" r:id="rId1"/>
    <sheet name="Interface" sheetId="2" r:id="rId2"/>
    <sheet name="Very basic Fight Sim" sheetId="3" r:id="rId3"/>
    <sheet name="Update" sheetId="4" r:id="rId4"/>
    <sheet name="Best2Items" sheetId="5" r:id="rId5"/>
    <sheet name="Calc" sheetId="6" r:id="rId6"/>
    <sheet name="Champs" sheetId="7" r:id="rId7"/>
    <sheet name="ChampInfo" sheetId="8" r:id="rId8"/>
    <sheet name="Items" sheetId="9" r:id="rId9"/>
    <sheet name="Runes" sheetId="10" r:id="rId10"/>
    <sheet name="Log" sheetId="11" state="hidden" r:id="rId11"/>
    <sheet name="Gold" sheetId="12" r:id="rId12"/>
    <sheet name="DatapullerCalc" sheetId="13" r:id="rId13"/>
    <sheet name="DatapullerChamp" sheetId="14" r:id="rId14"/>
    <sheet name="DatapullerLog" sheetId="15" r:id="rId15"/>
    <sheet name="DatapullerRune" sheetId="16" r:id="rId16"/>
    <sheet name="DatapullerChampInfo" sheetId="17" r:id="rId17"/>
    <sheet name="DatapullerItem" sheetId="18" r:id="rId18"/>
  </sheets>
  <externalReferences>
    <externalReference r:id="rId19"/>
  </externalReferences>
  <definedNames>
    <definedName name="B_Ardent">Interface!$L$26</definedName>
    <definedName name="B_Chem">Interface!$I$32</definedName>
    <definedName name="B_Cloud">Interface!$I$31</definedName>
    <definedName name="B_Elder">Interface!$I$26</definedName>
    <definedName name="B_Hex">Interface!$I$33</definedName>
    <definedName name="B_Infernal">Interface!$I$28</definedName>
    <definedName name="B_Mountain">Interface!$I$29</definedName>
    <definedName name="B_Ocean">Interface!$I$30</definedName>
    <definedName name="B_RecentHit">Interface!$L$27</definedName>
    <definedName name="C_Aphelios_Stacks">Interface!$I$42</definedName>
    <definedName name="C_Aphelios_W1">Interface!$I$40</definedName>
    <definedName name="C_Aphelios_W2">Interface!$I$41</definedName>
    <definedName name="C_SylasUltimate">Interface!$O$7</definedName>
    <definedName name="E_AR">Calc!$M$3</definedName>
    <definedName name="E_BoAR">Interface!$O$26</definedName>
    <definedName name="E_BoHp">Calc!$K$14</definedName>
    <definedName name="E_BoMR">Interface!$O$27</definedName>
    <definedName name="E_CHP">Interface!$O$24</definedName>
    <definedName name="E_CHPV">Calc!$O$14</definedName>
    <definedName name="E_IT_AR">Items!$I$227</definedName>
    <definedName name="E_IT_HP">Items!$C$227</definedName>
    <definedName name="E_IT_MR">Items!$J$227</definedName>
    <definedName name="E_Level">Interface!$O$17</definedName>
    <definedName name="E_MHP">Calc!$M$14</definedName>
    <definedName name="E_MisHPV">Calc!$Q$14</definedName>
    <definedName name="E_MR">Calc!$M$17</definedName>
    <definedName name="E_Name">Interface!$N$16</definedName>
    <definedName name="ForceBit">Calc!$C$14</definedName>
    <definedName name="Gametime">Interface!$I$16</definedName>
    <definedName name="IT_AD">Items!$G$226</definedName>
    <definedName name="IT_AH">Items!$M$226</definedName>
    <definedName name="IT_AP">Items!$H$226</definedName>
    <definedName name="IT_APEN">Items!$Y$226</definedName>
    <definedName name="IT_AR">Items!$I$226</definedName>
    <definedName name="IT_AS">Items!$K$226</definedName>
    <definedName name="IT_CDMG">Items!$AA$226</definedName>
    <definedName name="IT_Cost">Items!$B$226</definedName>
    <definedName name="IT_Cost2">Items!$B$227</definedName>
    <definedName name="IT_Crit">Items!$L$226</definedName>
    <definedName name="IT_FlatMS">Items!$AG$226</definedName>
    <definedName name="IT_HP">Items!$C$226</definedName>
    <definedName name="IT_HPR">Items!$D$226</definedName>
    <definedName name="IT_Leth">Items!$O$226</definedName>
    <definedName name="IT_LS">Items!$N$226</definedName>
    <definedName name="IT_MOD_Heal">Items!$S$226</definedName>
    <definedName name="IT_MOD_Magic">Items!$AC$226</definedName>
    <definedName name="IT_MOD_Phys">Items!$AD$226</definedName>
    <definedName name="IT_MP">Items!$E$226</definedName>
    <definedName name="IT_Mpen">Items!$P$226</definedName>
    <definedName name="IT_MPenP">Items!$Z$226</definedName>
    <definedName name="IT_MPR">Items!$F$226</definedName>
    <definedName name="IT_MR">Items!$J$226</definedName>
    <definedName name="IT_MS">Items!$R$226</definedName>
    <definedName name="IT_OH_Magic">Items!$U$226</definedName>
    <definedName name="IT_OH_Phys">Items!$T$226</definedName>
    <definedName name="IT_Proc_Energy">Items!$V$226</definedName>
    <definedName name="IT_Proc_Magic">Items!$W$226</definedName>
    <definedName name="IT_Proc_Phys">Items!$X$226</definedName>
    <definedName name="IT_Shield">Items!$AH$226</definedName>
    <definedName name="IT_Shoe">Items!$Q$226</definedName>
    <definedName name="IT_SV">Items!$AB$226</definedName>
    <definedName name="IT_TC">Items!$AF$226</definedName>
    <definedName name="ItemSet">Items!$AO$2</definedName>
    <definedName name="Kills">Interface!$I$18</definedName>
    <definedName name="Language">Calc!$Q$51</definedName>
    <definedName name="Legendary">Items!$AO$226</definedName>
    <definedName name="Minion">Interface!$I$17</definedName>
    <definedName name="MOD_Heal">Calc!$O$11</definedName>
    <definedName name="MOD_Hit">Calc!$M$12</definedName>
    <definedName name="MOD_Magic">Calc!$M$23</definedName>
    <definedName name="MOD_OH">Calc!$O$3</definedName>
    <definedName name="MOD_Phys">Calc!$M$9</definedName>
    <definedName name="MOD_SelfHeal">Calc!$O$12</definedName>
    <definedName name="MOD_True">Calc!$O$10</definedName>
    <definedName name="N_Chem">Interface!$I$24</definedName>
    <definedName name="N_Cloud">Interface!$I$23</definedName>
    <definedName name="N_Hex">Interface!$I$25</definedName>
    <definedName name="N_Infernal">Interface!$I$20</definedName>
    <definedName name="N_Mountain">Interface!$I$21</definedName>
    <definedName name="N_Ocean">Interface!$I$22</definedName>
    <definedName name="Name">Interface!$B$3</definedName>
    <definedName name="OH_Magic">Calc!$E$38</definedName>
    <definedName name="OH_Phys">Calc!$E$33</definedName>
    <definedName name="OH_True">Calc!$I$34</definedName>
    <definedName name="P_E">Calc!$O$69</definedName>
    <definedName name="P_Q">Calc!$O$67</definedName>
    <definedName name="P_R">Calc!$O$70</definedName>
    <definedName name="P_W">Calc!$O$68</definedName>
    <definedName name="R_Adap">Runes!$Z$2</definedName>
    <definedName name="R_AH">Runes!$Z$8</definedName>
    <definedName name="R_AR">Runes!$Z$6</definedName>
    <definedName name="R_AS">Runes!$Z$3</definedName>
    <definedName name="R_HP">Runes!$Z$4</definedName>
    <definedName name="R_MOD">Runes!$Z$10</definedName>
    <definedName name="R_MP">Runes!$Z$5</definedName>
    <definedName name="R_MR">Runes!$Z$7</definedName>
    <definedName name="R_MS">Runes!$Z$9</definedName>
    <definedName name="R_PTAMOD">Runes!$Z$11</definedName>
    <definedName name="R_Ultimate">Runes!$H$23</definedName>
    <definedName name="S_BC">Interface!$C$38</definedName>
    <definedName name="S_Bounty">Interface!$F$41</definedName>
    <definedName name="S_Conq">Interface!$F$43</definedName>
    <definedName name="S_Harvest">Interface!$F$42</definedName>
    <definedName name="S_Legend">Interface!$F$40</definedName>
    <definedName name="S_Mejai">Interface!$C$39</definedName>
    <definedName name="Sc_Lin">Calc!$Q$5</definedName>
    <definedName name="Self_AD">Calc!$C$12</definedName>
    <definedName name="Self_AH">Calc!$Q$26</definedName>
    <definedName name="Self_AP">Calc!$E$12</definedName>
    <definedName name="Self_APenF">Calc!$C$32</definedName>
    <definedName name="Self_AR">Calc!$K$12</definedName>
    <definedName name="Self_AS">Calc!$C$26</definedName>
    <definedName name="Self_AvgAA">Calc!$G$30</definedName>
    <definedName name="Self_BaAD">Calc!$C$10</definedName>
    <definedName name="Self_BaMS">Calc!$E$19</definedName>
    <definedName name="Self_BoAD">Calc!$C$11</definedName>
    <definedName name="Self_BoAR">Calc!$K$11</definedName>
    <definedName name="Self_BoAS">Calc!$C$23</definedName>
    <definedName name="Self_BoHP">Calc!$G$11</definedName>
    <definedName name="Self_BoMP">Calc!$I$11</definedName>
    <definedName name="Self_BoMR">Calc!$K$25</definedName>
    <definedName name="Self_BoMS">Calc!$E$25</definedName>
    <definedName name="Self_BoMSP">Calc!$E$24</definedName>
    <definedName name="Self_CHPP">Interface!$L$16</definedName>
    <definedName name="Self_Crit">Calc!$Q$20</definedName>
    <definedName name="Self_CritDMG">Calc!$Q$21</definedName>
    <definedName name="Self_CritHit">Calc!$G$31</definedName>
    <definedName name="Self_DPS">Calc!$G$38</definedName>
    <definedName name="Self_Gold">Gold!$I$2</definedName>
    <definedName name="Self_HitDmg">Calc!$G$29</definedName>
    <definedName name="Self_HPR">Calc!$G$26</definedName>
    <definedName name="Self_Leth">Calc!$C$31</definedName>
    <definedName name="Self_Level">Interface!$H$3</definedName>
    <definedName name="Self_LS">Calc!$O$21</definedName>
    <definedName name="Self_MaxCS">Gold!$B$30</definedName>
    <definedName name="Self_MaxGold">Gold!$H$30</definedName>
    <definedName name="Self_MHP">Calc!$G$12</definedName>
    <definedName name="Self_MisHPV">Calc!$G$14</definedName>
    <definedName name="Self_MP">Calc!$I$12</definedName>
    <definedName name="Self_MpenF">Calc!$C$37</definedName>
    <definedName name="Self_MPR">Calc!$I$26</definedName>
    <definedName name="Self_MR">Calc!$K$26</definedName>
    <definedName name="Self_MS">Calc!$E$26</definedName>
    <definedName name="Self_Proc_item">Calc!$O$32</definedName>
    <definedName name="Self_Proc_Rune">Calc!$M$29</definedName>
    <definedName name="Self_Proc_Summ">Calc!$K$33</definedName>
    <definedName name="Self_Shield">Calc!$I$14</definedName>
    <definedName name="Self_SV">Calc!$O$26</definedName>
    <definedName name="Self_TC">Calc!$O$6</definedName>
    <definedName name="Steroid_E">Calc!$O$74</definedName>
    <definedName name="Steroid_Form">Calc!$O$80</definedName>
    <definedName name="Steroid_Items">Calc!$O$77</definedName>
    <definedName name="Steroid_P">Calc!$O$76</definedName>
    <definedName name="Steroid_Q">Calc!$O$72</definedName>
    <definedName name="Steroid_R">Calc!$O$75</definedName>
    <definedName name="Steroid_Runes">Calc!$O$78</definedName>
    <definedName name="Steroid_W">Calc!$O$73</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27" i="18" l="1"/>
  <c r="I227" i="18"/>
  <c r="C227" i="18"/>
  <c r="A227" i="18"/>
  <c r="AO226" i="18"/>
  <c r="AH226" i="18"/>
  <c r="AG226" i="18"/>
  <c r="AF226" i="18"/>
  <c r="AE226" i="18"/>
  <c r="AD226" i="18"/>
  <c r="AC226" i="18"/>
  <c r="AB226" i="18"/>
  <c r="AA226" i="18"/>
  <c r="Z226" i="18"/>
  <c r="Y226" i="18"/>
  <c r="X226" i="18"/>
  <c r="W226" i="18"/>
  <c r="V226" i="18"/>
  <c r="U226" i="18"/>
  <c r="T226" i="18"/>
  <c r="S226" i="18"/>
  <c r="R226" i="18"/>
  <c r="Q226" i="18"/>
  <c r="P226" i="18"/>
  <c r="O226" i="18"/>
  <c r="N226" i="18"/>
  <c r="M226" i="18"/>
  <c r="L226" i="18"/>
  <c r="K226" i="18"/>
  <c r="J226" i="18"/>
  <c r="I226" i="18"/>
  <c r="H226" i="18"/>
  <c r="G226" i="18"/>
  <c r="F226" i="18"/>
  <c r="E226" i="18"/>
  <c r="D226" i="18"/>
  <c r="C226" i="18"/>
  <c r="B226" i="18"/>
  <c r="A226" i="18"/>
  <c r="AO224" i="18"/>
  <c r="AN224" i="18"/>
  <c r="AM224" i="18"/>
  <c r="AJ224" i="18"/>
  <c r="AI224" i="18"/>
  <c r="AB224" i="18"/>
  <c r="N224" i="18"/>
  <c r="G224" i="18"/>
  <c r="B224" i="18"/>
  <c r="A224" i="18"/>
  <c r="AO223" i="18"/>
  <c r="AN223" i="18"/>
  <c r="AM223" i="18"/>
  <c r="AJ223" i="18"/>
  <c r="AI223" i="18"/>
  <c r="H223" i="18"/>
  <c r="B223" i="18"/>
  <c r="A223" i="18"/>
  <c r="AO222" i="18"/>
  <c r="AN222" i="18"/>
  <c r="AM222" i="18"/>
  <c r="AJ222" i="18"/>
  <c r="AI222" i="18"/>
  <c r="AF222" i="18"/>
  <c r="C222" i="18"/>
  <c r="B222" i="18"/>
  <c r="A222" i="18"/>
  <c r="AN221" i="18"/>
  <c r="A221" i="18"/>
  <c r="AO218" i="18"/>
  <c r="AN218" i="18"/>
  <c r="AM218" i="18"/>
  <c r="AJ218" i="18"/>
  <c r="AI218" i="18"/>
  <c r="AG218" i="18"/>
  <c r="O218" i="18"/>
  <c r="M218" i="18"/>
  <c r="G218" i="18"/>
  <c r="B218" i="18"/>
  <c r="A218" i="18"/>
  <c r="AO217" i="18"/>
  <c r="AN217" i="18"/>
  <c r="AM217" i="18"/>
  <c r="AJ217" i="18"/>
  <c r="AI217" i="18"/>
  <c r="AG217" i="18"/>
  <c r="X217" i="18"/>
  <c r="M217" i="18"/>
  <c r="K217" i="18"/>
  <c r="G217" i="18"/>
  <c r="C217" i="18"/>
  <c r="B217" i="18"/>
  <c r="A217" i="18"/>
  <c r="AO216" i="18"/>
  <c r="AN216" i="18"/>
  <c r="AM216" i="18"/>
  <c r="AJ216" i="18"/>
  <c r="AI216" i="18"/>
  <c r="AE216" i="18"/>
  <c r="R216" i="18"/>
  <c r="M216" i="18"/>
  <c r="K216" i="18"/>
  <c r="G216" i="18"/>
  <c r="C216" i="18"/>
  <c r="B216" i="18"/>
  <c r="A216" i="18"/>
  <c r="AO215" i="18"/>
  <c r="AN215" i="18"/>
  <c r="AM215" i="18"/>
  <c r="AJ215" i="18"/>
  <c r="AI215" i="18"/>
  <c r="M215" i="18"/>
  <c r="H215" i="18"/>
  <c r="F215" i="18"/>
  <c r="C215" i="18"/>
  <c r="B215" i="18"/>
  <c r="A215" i="18"/>
  <c r="AO214" i="18"/>
  <c r="AN214" i="18"/>
  <c r="AM214" i="18"/>
  <c r="AJ214" i="18"/>
  <c r="AI214" i="18"/>
  <c r="M214" i="18"/>
  <c r="H214" i="18"/>
  <c r="E214" i="18"/>
  <c r="C214" i="18"/>
  <c r="B214" i="18"/>
  <c r="A214" i="18"/>
  <c r="AO213" i="18"/>
  <c r="AN213" i="18"/>
  <c r="AM213" i="18"/>
  <c r="AJ213" i="18"/>
  <c r="AI213" i="18"/>
  <c r="AB213" i="18"/>
  <c r="N213" i="18"/>
  <c r="M213" i="18"/>
  <c r="H213" i="18"/>
  <c r="C213" i="18"/>
  <c r="B213" i="18"/>
  <c r="A213" i="18"/>
  <c r="AO212" i="18"/>
  <c r="AN212" i="18"/>
  <c r="AM212" i="18"/>
  <c r="AJ212" i="18"/>
  <c r="AI212" i="18"/>
  <c r="M212" i="18"/>
  <c r="J212" i="18"/>
  <c r="I212" i="18"/>
  <c r="C212" i="18"/>
  <c r="B212" i="18"/>
  <c r="A212" i="18"/>
  <c r="AO211" i="18"/>
  <c r="AN211" i="18"/>
  <c r="AM211" i="18"/>
  <c r="AJ211" i="18"/>
  <c r="AI211" i="18"/>
  <c r="W211" i="18"/>
  <c r="M211" i="18"/>
  <c r="H211" i="18"/>
  <c r="C211" i="18"/>
  <c r="B211" i="18"/>
  <c r="A211" i="18"/>
  <c r="AO210" i="18"/>
  <c r="AN210" i="18"/>
  <c r="AM210" i="18"/>
  <c r="AJ210" i="18"/>
  <c r="AI210" i="18"/>
  <c r="M210" i="18"/>
  <c r="L210" i="18"/>
  <c r="G210" i="18"/>
  <c r="B210" i="18"/>
  <c r="A210" i="18"/>
  <c r="AO209" i="18"/>
  <c r="AN209" i="18"/>
  <c r="AM209" i="18"/>
  <c r="AJ209" i="18"/>
  <c r="AI209" i="18"/>
  <c r="S209" i="18"/>
  <c r="M209" i="18"/>
  <c r="H209" i="18"/>
  <c r="F209" i="18"/>
  <c r="C209" i="18"/>
  <c r="B209" i="18"/>
  <c r="A209" i="18"/>
  <c r="AO208" i="18"/>
  <c r="AN208" i="18"/>
  <c r="AM208" i="18"/>
  <c r="AJ208" i="18"/>
  <c r="AI208" i="18"/>
  <c r="W208" i="18"/>
  <c r="P208" i="18"/>
  <c r="M208" i="18"/>
  <c r="H208" i="18"/>
  <c r="E208" i="18"/>
  <c r="B208" i="18"/>
  <c r="A208" i="18"/>
  <c r="AO207" i="18"/>
  <c r="AN207" i="18"/>
  <c r="AM207" i="18"/>
  <c r="AJ207" i="18"/>
  <c r="AI207" i="18"/>
  <c r="AH207" i="18"/>
  <c r="M207" i="18"/>
  <c r="J207" i="18"/>
  <c r="I207" i="18"/>
  <c r="C207" i="18"/>
  <c r="B207" i="18"/>
  <c r="A207" i="18"/>
  <c r="AO206" i="18"/>
  <c r="AN206" i="18"/>
  <c r="AM206" i="18"/>
  <c r="AJ206" i="18"/>
  <c r="AI206" i="18"/>
  <c r="AC206" i="18"/>
  <c r="W206" i="18"/>
  <c r="M206" i="18"/>
  <c r="H206" i="18"/>
  <c r="E206" i="18"/>
  <c r="B206" i="18"/>
  <c r="A206" i="18"/>
  <c r="AO205" i="18"/>
  <c r="AN205" i="18"/>
  <c r="AM205" i="18"/>
  <c r="AJ205" i="18"/>
  <c r="AI205" i="18"/>
  <c r="W205" i="18"/>
  <c r="M205" i="18"/>
  <c r="J205" i="18"/>
  <c r="I205" i="18"/>
  <c r="C205" i="18"/>
  <c r="B205" i="18"/>
  <c r="A205" i="18"/>
  <c r="AO204" i="18"/>
  <c r="AN204" i="18"/>
  <c r="AM204" i="18"/>
  <c r="AJ204" i="18"/>
  <c r="AI204" i="18"/>
  <c r="AA204" i="18"/>
  <c r="L204" i="18"/>
  <c r="G204" i="18"/>
  <c r="B204" i="18"/>
  <c r="A204" i="18"/>
  <c r="AO203" i="18"/>
  <c r="AN203" i="18"/>
  <c r="AM203" i="18"/>
  <c r="AJ203" i="18"/>
  <c r="AI203" i="18"/>
  <c r="X203" i="18"/>
  <c r="M203" i="18"/>
  <c r="I203" i="18"/>
  <c r="C203" i="18"/>
  <c r="B203" i="18"/>
  <c r="A203" i="18"/>
  <c r="AO202" i="18"/>
  <c r="AN202" i="18"/>
  <c r="AM202" i="18"/>
  <c r="AJ202" i="18"/>
  <c r="AI202" i="18"/>
  <c r="W202" i="18"/>
  <c r="P202" i="18"/>
  <c r="M202" i="18"/>
  <c r="H202" i="18"/>
  <c r="C202" i="18"/>
  <c r="B202" i="18"/>
  <c r="A202" i="18"/>
  <c r="AO201" i="18"/>
  <c r="AN201" i="18"/>
  <c r="AM201" i="18"/>
  <c r="AJ201" i="18"/>
  <c r="AI201" i="18"/>
  <c r="AE201" i="18"/>
  <c r="M201" i="18"/>
  <c r="D201" i="18"/>
  <c r="C201" i="18"/>
  <c r="B201" i="18"/>
  <c r="A201" i="18"/>
  <c r="AO200" i="18"/>
  <c r="AN200" i="18"/>
  <c r="AM200" i="18"/>
  <c r="AJ200" i="18"/>
  <c r="AI200" i="18"/>
  <c r="Z200" i="18"/>
  <c r="Y200" i="18"/>
  <c r="U200" i="18"/>
  <c r="K200" i="18"/>
  <c r="H200" i="18"/>
  <c r="G200" i="18"/>
  <c r="B200" i="18"/>
  <c r="A200" i="18"/>
  <c r="AO199" i="18"/>
  <c r="AN199" i="18"/>
  <c r="AM199" i="18"/>
  <c r="AJ199" i="18"/>
  <c r="AI199" i="18"/>
  <c r="AE199" i="18"/>
  <c r="AB199" i="18"/>
  <c r="N199" i="18"/>
  <c r="M199" i="18"/>
  <c r="G199" i="18"/>
  <c r="C199" i="18"/>
  <c r="B199" i="18"/>
  <c r="A199" i="18"/>
  <c r="AO198" i="18"/>
  <c r="AN198" i="18"/>
  <c r="AM198" i="18"/>
  <c r="AJ198" i="18"/>
  <c r="AI198" i="18"/>
  <c r="W198" i="18"/>
  <c r="R198" i="18"/>
  <c r="L198" i="18"/>
  <c r="K198" i="18"/>
  <c r="G198" i="18"/>
  <c r="B198" i="18"/>
  <c r="A198" i="18"/>
  <c r="AO197" i="18"/>
  <c r="AN197" i="18"/>
  <c r="AM197" i="18"/>
  <c r="AJ197" i="18"/>
  <c r="AI197" i="18"/>
  <c r="W197" i="18"/>
  <c r="M197" i="18"/>
  <c r="H197" i="18"/>
  <c r="E197" i="18"/>
  <c r="C197" i="18"/>
  <c r="B197" i="18"/>
  <c r="A197" i="18"/>
  <c r="AO196" i="18"/>
  <c r="AN196" i="18"/>
  <c r="AM196" i="18"/>
  <c r="AJ196" i="18"/>
  <c r="AI196" i="18"/>
  <c r="AD196" i="18"/>
  <c r="AC196" i="18"/>
  <c r="M196" i="18"/>
  <c r="J196" i="18"/>
  <c r="I196" i="18"/>
  <c r="C196" i="18"/>
  <c r="B196" i="18"/>
  <c r="A196" i="18"/>
  <c r="AO195" i="18"/>
  <c r="AN195" i="18"/>
  <c r="AM195" i="18"/>
  <c r="AJ195" i="18"/>
  <c r="AI195" i="18"/>
  <c r="AG195" i="18"/>
  <c r="AE195" i="18"/>
  <c r="AB195" i="18"/>
  <c r="O195" i="18"/>
  <c r="M195" i="18"/>
  <c r="G195" i="18"/>
  <c r="B195" i="18"/>
  <c r="A195" i="18"/>
  <c r="AO194" i="18"/>
  <c r="AM194" i="18"/>
  <c r="AJ194" i="18"/>
  <c r="AI194" i="18"/>
  <c r="W194" i="18"/>
  <c r="M194" i="18"/>
  <c r="H194" i="18"/>
  <c r="F194" i="18"/>
  <c r="C194" i="18"/>
  <c r="B194" i="18"/>
  <c r="A194" i="18"/>
  <c r="AO193" i="18"/>
  <c r="AN193" i="18"/>
  <c r="AM193" i="18"/>
  <c r="AJ193" i="18"/>
  <c r="AI193" i="18"/>
  <c r="AG193" i="18"/>
  <c r="O193" i="18"/>
  <c r="M193" i="18"/>
  <c r="G193" i="18"/>
  <c r="B193" i="18"/>
  <c r="A193" i="18"/>
  <c r="AO192" i="18"/>
  <c r="AN192" i="18"/>
  <c r="AM192" i="18"/>
  <c r="AJ192" i="18"/>
  <c r="AI192" i="18"/>
  <c r="Z192" i="18"/>
  <c r="Y192" i="18"/>
  <c r="X192" i="18"/>
  <c r="M192" i="18"/>
  <c r="G192" i="18"/>
  <c r="C192" i="18"/>
  <c r="B192" i="18"/>
  <c r="A192" i="18"/>
  <c r="AO191" i="18"/>
  <c r="AN191" i="18"/>
  <c r="AM191" i="18"/>
  <c r="AJ191" i="18"/>
  <c r="AI191" i="18"/>
  <c r="R191" i="18"/>
  <c r="M191" i="18"/>
  <c r="H191" i="18"/>
  <c r="E191" i="18"/>
  <c r="C191" i="18"/>
  <c r="B191" i="18"/>
  <c r="A191" i="18"/>
  <c r="AO188" i="18"/>
  <c r="AN188" i="18"/>
  <c r="AM188" i="18"/>
  <c r="AJ188" i="18"/>
  <c r="AI188" i="18"/>
  <c r="AG188" i="18"/>
  <c r="O188" i="18"/>
  <c r="M188" i="18"/>
  <c r="G188" i="18"/>
  <c r="B188" i="18"/>
  <c r="A188" i="18"/>
  <c r="AO187" i="18"/>
  <c r="AN187" i="18"/>
  <c r="AM187" i="18"/>
  <c r="AJ187" i="18"/>
  <c r="AI187" i="18"/>
  <c r="AG187" i="18"/>
  <c r="X187" i="18"/>
  <c r="M187" i="18"/>
  <c r="K187" i="18"/>
  <c r="G187" i="18"/>
  <c r="C187" i="18"/>
  <c r="B187" i="18"/>
  <c r="A187" i="18"/>
  <c r="AO186" i="18"/>
  <c r="AN186" i="18"/>
  <c r="AM186" i="18"/>
  <c r="AJ186" i="18"/>
  <c r="AI186" i="18"/>
  <c r="AE186" i="18"/>
  <c r="R186" i="18"/>
  <c r="M186" i="18"/>
  <c r="K186" i="18"/>
  <c r="G186" i="18"/>
  <c r="C186" i="18"/>
  <c r="B186" i="18"/>
  <c r="A186" i="18"/>
  <c r="AO185" i="18"/>
  <c r="AN185" i="18"/>
  <c r="AM185" i="18"/>
  <c r="AJ185" i="18"/>
  <c r="AI185" i="18"/>
  <c r="M185" i="18"/>
  <c r="H185" i="18"/>
  <c r="F185" i="18"/>
  <c r="C185" i="18"/>
  <c r="B185" i="18"/>
  <c r="A185" i="18"/>
  <c r="AO184" i="18"/>
  <c r="AN184" i="18"/>
  <c r="AM184" i="18"/>
  <c r="AJ184" i="18"/>
  <c r="AI184" i="18"/>
  <c r="M184" i="18"/>
  <c r="H184" i="18"/>
  <c r="E184" i="18"/>
  <c r="C184" i="18"/>
  <c r="B184" i="18"/>
  <c r="A184" i="18"/>
  <c r="AO183" i="18"/>
  <c r="AN183" i="18"/>
  <c r="AM183" i="18"/>
  <c r="AJ183" i="18"/>
  <c r="AI183" i="18"/>
  <c r="AB183" i="18"/>
  <c r="N183" i="18"/>
  <c r="M183" i="18"/>
  <c r="H183" i="18"/>
  <c r="C183" i="18"/>
  <c r="B183" i="18"/>
  <c r="A183" i="18"/>
  <c r="AO182" i="18"/>
  <c r="AN182" i="18"/>
  <c r="AM182" i="18"/>
  <c r="AJ182" i="18"/>
  <c r="AI182" i="18"/>
  <c r="M182" i="18"/>
  <c r="J182" i="18"/>
  <c r="I182" i="18"/>
  <c r="C182" i="18"/>
  <c r="B182" i="18"/>
  <c r="A182" i="18"/>
  <c r="AO181" i="18"/>
  <c r="AN181" i="18"/>
  <c r="AM181" i="18"/>
  <c r="AJ181" i="18"/>
  <c r="AI181" i="18"/>
  <c r="W181" i="18"/>
  <c r="M181" i="18"/>
  <c r="H181" i="18"/>
  <c r="C181" i="18"/>
  <c r="B181" i="18"/>
  <c r="A181" i="18"/>
  <c r="AO180" i="18"/>
  <c r="AN180" i="18"/>
  <c r="AM180" i="18"/>
  <c r="AJ180" i="18"/>
  <c r="AI180" i="18"/>
  <c r="M180" i="18"/>
  <c r="L180" i="18"/>
  <c r="G180" i="18"/>
  <c r="B180" i="18"/>
  <c r="A180" i="18"/>
  <c r="AO179" i="18"/>
  <c r="AN179" i="18"/>
  <c r="AM179" i="18"/>
  <c r="AJ179" i="18"/>
  <c r="AI179" i="18"/>
  <c r="S179" i="18"/>
  <c r="M179" i="18"/>
  <c r="H179" i="18"/>
  <c r="F179" i="18"/>
  <c r="C179" i="18"/>
  <c r="B179" i="18"/>
  <c r="A179" i="18"/>
  <c r="AO178" i="18"/>
  <c r="AN178" i="18"/>
  <c r="AM178" i="18"/>
  <c r="AJ178" i="18"/>
  <c r="AI178" i="18"/>
  <c r="W178" i="18"/>
  <c r="P178" i="18"/>
  <c r="M178" i="18"/>
  <c r="H178" i="18"/>
  <c r="E178" i="18"/>
  <c r="B178" i="18"/>
  <c r="A178" i="18"/>
  <c r="AO177" i="18"/>
  <c r="AN177" i="18"/>
  <c r="AM177" i="18"/>
  <c r="AJ177" i="18"/>
  <c r="AI177" i="18"/>
  <c r="AH177" i="18"/>
  <c r="M177" i="18"/>
  <c r="J177" i="18"/>
  <c r="I177" i="18"/>
  <c r="C177" i="18"/>
  <c r="B177" i="18"/>
  <c r="A177" i="18"/>
  <c r="AO176" i="18"/>
  <c r="AN176" i="18"/>
  <c r="AM176" i="18"/>
  <c r="AJ176" i="18"/>
  <c r="AI176" i="18"/>
  <c r="AC176" i="18"/>
  <c r="W176" i="18"/>
  <c r="M176" i="18"/>
  <c r="H176" i="18"/>
  <c r="E176" i="18"/>
  <c r="B176" i="18"/>
  <c r="A176" i="18"/>
  <c r="AO175" i="18"/>
  <c r="AN175" i="18"/>
  <c r="AM175" i="18"/>
  <c r="AJ175" i="18"/>
  <c r="AI175" i="18"/>
  <c r="W175" i="18"/>
  <c r="M175" i="18"/>
  <c r="J175" i="18"/>
  <c r="I175" i="18"/>
  <c r="C175" i="18"/>
  <c r="B175" i="18"/>
  <c r="A175" i="18"/>
  <c r="AO174" i="18"/>
  <c r="AN174" i="18"/>
  <c r="AM174" i="18"/>
  <c r="AJ174" i="18"/>
  <c r="AI174" i="18"/>
  <c r="AA174" i="18"/>
  <c r="L174" i="18"/>
  <c r="G174" i="18"/>
  <c r="B174" i="18"/>
  <c r="A174" i="18"/>
  <c r="AO173" i="18"/>
  <c r="AN173" i="18"/>
  <c r="AM173" i="18"/>
  <c r="AJ173" i="18"/>
  <c r="AI173" i="18"/>
  <c r="AF173" i="18"/>
  <c r="X173" i="18"/>
  <c r="M173" i="18"/>
  <c r="I173" i="18"/>
  <c r="C173" i="18"/>
  <c r="B173" i="18"/>
  <c r="A173" i="18"/>
  <c r="AO172" i="18"/>
  <c r="AN172" i="18"/>
  <c r="AM172" i="18"/>
  <c r="AJ172" i="18"/>
  <c r="AI172" i="18"/>
  <c r="W172" i="18"/>
  <c r="P172" i="18"/>
  <c r="M172" i="18"/>
  <c r="H172" i="18"/>
  <c r="C172" i="18"/>
  <c r="B172" i="18"/>
  <c r="A172" i="18"/>
  <c r="AO171" i="18"/>
  <c r="AN171" i="18"/>
  <c r="AM171" i="18"/>
  <c r="AJ171" i="18"/>
  <c r="AI171" i="18"/>
  <c r="AE171" i="18"/>
  <c r="M171" i="18"/>
  <c r="D171" i="18"/>
  <c r="C171" i="18"/>
  <c r="B171" i="18"/>
  <c r="A171" i="18"/>
  <c r="AO170" i="18"/>
  <c r="AN170" i="18"/>
  <c r="AM170" i="18"/>
  <c r="AJ170" i="18"/>
  <c r="AI170" i="18"/>
  <c r="Z170" i="18"/>
  <c r="Y170" i="18"/>
  <c r="U170" i="18"/>
  <c r="K170" i="18"/>
  <c r="H170" i="18"/>
  <c r="G170" i="18"/>
  <c r="B170" i="18"/>
  <c r="A170" i="18"/>
  <c r="AO169" i="18"/>
  <c r="AN169" i="18"/>
  <c r="AM169" i="18"/>
  <c r="AJ169" i="18"/>
  <c r="AI169" i="18"/>
  <c r="AE169" i="18"/>
  <c r="AB169" i="18"/>
  <c r="N169" i="18"/>
  <c r="M169" i="18"/>
  <c r="G169" i="18"/>
  <c r="C169" i="18"/>
  <c r="B169" i="18"/>
  <c r="A169" i="18"/>
  <c r="AO168" i="18"/>
  <c r="AN168" i="18"/>
  <c r="AM168" i="18"/>
  <c r="AJ168" i="18"/>
  <c r="AI168" i="18"/>
  <c r="W168" i="18"/>
  <c r="R168" i="18"/>
  <c r="L168" i="18"/>
  <c r="K168" i="18"/>
  <c r="G168" i="18"/>
  <c r="B168" i="18"/>
  <c r="A168" i="18"/>
  <c r="AO167" i="18"/>
  <c r="AN167" i="18"/>
  <c r="AM167" i="18"/>
  <c r="AJ167" i="18"/>
  <c r="AI167" i="18"/>
  <c r="W167" i="18"/>
  <c r="M167" i="18"/>
  <c r="H167" i="18"/>
  <c r="E167" i="18"/>
  <c r="C167" i="18"/>
  <c r="B167" i="18"/>
  <c r="A167" i="18"/>
  <c r="AO166" i="18"/>
  <c r="AN166" i="18"/>
  <c r="AM166" i="18"/>
  <c r="AJ166" i="18"/>
  <c r="AI166" i="18"/>
  <c r="AD166" i="18"/>
  <c r="AC166" i="18"/>
  <c r="M166" i="18"/>
  <c r="J166" i="18"/>
  <c r="I166" i="18"/>
  <c r="C166" i="18"/>
  <c r="B166" i="18"/>
  <c r="A166" i="18"/>
  <c r="AO165" i="18"/>
  <c r="AN165" i="18"/>
  <c r="AM165" i="18"/>
  <c r="AJ165" i="18"/>
  <c r="AI165" i="18"/>
  <c r="AG165" i="18"/>
  <c r="AE165" i="18"/>
  <c r="Y165" i="18"/>
  <c r="O165" i="18"/>
  <c r="M165" i="18"/>
  <c r="G165" i="18"/>
  <c r="B165" i="18"/>
  <c r="A165" i="18"/>
  <c r="AO164" i="18"/>
  <c r="AM164" i="18"/>
  <c r="AJ164" i="18"/>
  <c r="AI164" i="18"/>
  <c r="W164" i="18"/>
  <c r="M164" i="18"/>
  <c r="H164" i="18"/>
  <c r="F164" i="18"/>
  <c r="C164" i="18"/>
  <c r="B164" i="18"/>
  <c r="A164" i="18"/>
  <c r="AO163" i="18"/>
  <c r="AN163" i="18"/>
  <c r="AM163" i="18"/>
  <c r="AJ163" i="18"/>
  <c r="AI163" i="18"/>
  <c r="AG163" i="18"/>
  <c r="O163" i="18"/>
  <c r="M163" i="18"/>
  <c r="G163" i="18"/>
  <c r="B163" i="18"/>
  <c r="A163" i="18"/>
  <c r="AO162" i="18"/>
  <c r="AN162" i="18"/>
  <c r="AM162" i="18"/>
  <c r="AJ162" i="18"/>
  <c r="AI162" i="18"/>
  <c r="Z162" i="18"/>
  <c r="Y162" i="18"/>
  <c r="X162" i="18"/>
  <c r="M162" i="18"/>
  <c r="G162" i="18"/>
  <c r="C162" i="18"/>
  <c r="B162" i="18"/>
  <c r="A162" i="18"/>
  <c r="AO161" i="18"/>
  <c r="AN161" i="18"/>
  <c r="AM161" i="18"/>
  <c r="AJ161" i="18"/>
  <c r="AI161" i="18"/>
  <c r="R161" i="18"/>
  <c r="M161" i="18"/>
  <c r="H161" i="18"/>
  <c r="E161" i="18"/>
  <c r="C161" i="18"/>
  <c r="B161" i="18"/>
  <c r="A161" i="18"/>
  <c r="AN160" i="18"/>
  <c r="A160" i="18"/>
  <c r="AO158" i="18"/>
  <c r="AN158" i="18"/>
  <c r="AM158" i="18"/>
  <c r="AJ158" i="18"/>
  <c r="AI158" i="18"/>
  <c r="M158" i="18"/>
  <c r="I158" i="18"/>
  <c r="H158" i="18"/>
  <c r="B158" i="18"/>
  <c r="A158" i="18"/>
  <c r="AO157" i="18"/>
  <c r="AN157" i="18"/>
  <c r="AM157" i="18"/>
  <c r="AJ157" i="18"/>
  <c r="AI157" i="18"/>
  <c r="M157" i="18"/>
  <c r="I157" i="18"/>
  <c r="E157" i="18"/>
  <c r="C157" i="18"/>
  <c r="B157" i="18"/>
  <c r="A157" i="18"/>
  <c r="AO156" i="18"/>
  <c r="AN156" i="18"/>
  <c r="AM156" i="18"/>
  <c r="AJ156" i="18"/>
  <c r="AI156" i="18"/>
  <c r="R156" i="18"/>
  <c r="L156" i="18"/>
  <c r="K156" i="18"/>
  <c r="B156" i="18"/>
  <c r="A156" i="18"/>
  <c r="AO155" i="18"/>
  <c r="AN155" i="18"/>
  <c r="AM155" i="18"/>
  <c r="AJ155" i="18"/>
  <c r="AI155" i="18"/>
  <c r="AG155" i="18"/>
  <c r="U155" i="18"/>
  <c r="K155" i="18"/>
  <c r="J155" i="18"/>
  <c r="G155" i="18"/>
  <c r="B155" i="18"/>
  <c r="A155" i="18"/>
  <c r="AO154" i="18"/>
  <c r="AN154" i="18"/>
  <c r="AM154" i="18"/>
  <c r="AJ154" i="18"/>
  <c r="AI154" i="18"/>
  <c r="M154" i="18"/>
  <c r="E154" i="18"/>
  <c r="C154" i="18"/>
  <c r="B154" i="18"/>
  <c r="A154" i="18"/>
  <c r="AO153" i="18"/>
  <c r="AN153" i="18"/>
  <c r="AM153" i="18"/>
  <c r="AJ153" i="18"/>
  <c r="AI153" i="18"/>
  <c r="R153" i="18"/>
  <c r="C153" i="18"/>
  <c r="B153" i="18"/>
  <c r="A153" i="18"/>
  <c r="AO152" i="18"/>
  <c r="AN152" i="18"/>
  <c r="AM152" i="18"/>
  <c r="AJ152" i="18"/>
  <c r="AI152" i="18"/>
  <c r="M152" i="18"/>
  <c r="F152" i="18"/>
  <c r="C152" i="18"/>
  <c r="B152" i="18"/>
  <c r="A152" i="18"/>
  <c r="AO151" i="18"/>
  <c r="AN151" i="18"/>
  <c r="AM151" i="18"/>
  <c r="AJ151" i="18"/>
  <c r="AI151" i="18"/>
  <c r="M151" i="18"/>
  <c r="D151" i="18"/>
  <c r="C151" i="18"/>
  <c r="B151" i="18"/>
  <c r="A151" i="18"/>
  <c r="AO150" i="18"/>
  <c r="AN150" i="18"/>
  <c r="AM150" i="18"/>
  <c r="AJ150" i="18"/>
  <c r="AI150" i="18"/>
  <c r="I150" i="18"/>
  <c r="B150" i="18"/>
  <c r="A150" i="18"/>
  <c r="AO149" i="18"/>
  <c r="AN149" i="18"/>
  <c r="AM149" i="18"/>
  <c r="AJ149" i="18"/>
  <c r="AI149" i="18"/>
  <c r="Z149" i="18"/>
  <c r="H149" i="18"/>
  <c r="B149" i="18"/>
  <c r="A149" i="18"/>
  <c r="AO148" i="18"/>
  <c r="AN148" i="18"/>
  <c r="AM148" i="18"/>
  <c r="AJ148" i="18"/>
  <c r="AI148" i="18"/>
  <c r="M148" i="18"/>
  <c r="F148" i="18"/>
  <c r="C148" i="18"/>
  <c r="B148" i="18"/>
  <c r="A148" i="18"/>
  <c r="AO147" i="18"/>
  <c r="AN147" i="18"/>
  <c r="AM147" i="18"/>
  <c r="AJ147" i="18"/>
  <c r="AI147" i="18"/>
  <c r="J147" i="18"/>
  <c r="H147" i="18"/>
  <c r="B147" i="18"/>
  <c r="A147" i="18"/>
  <c r="AO146" i="18"/>
  <c r="AN146" i="18"/>
  <c r="AM146" i="18"/>
  <c r="AJ146" i="18"/>
  <c r="AI146" i="18"/>
  <c r="N146" i="18"/>
  <c r="G146" i="18"/>
  <c r="B146" i="18"/>
  <c r="A146" i="18"/>
  <c r="AO145" i="18"/>
  <c r="AN145" i="18"/>
  <c r="AM145" i="18"/>
  <c r="AJ145" i="18"/>
  <c r="AI145" i="18"/>
  <c r="O145" i="18"/>
  <c r="M145" i="18"/>
  <c r="G145" i="18"/>
  <c r="B145" i="18"/>
  <c r="A145" i="18"/>
  <c r="AO144" i="18"/>
  <c r="AN144" i="18"/>
  <c r="AM144" i="18"/>
  <c r="AJ144" i="18"/>
  <c r="AI144" i="18"/>
  <c r="M144" i="18"/>
  <c r="J144" i="18"/>
  <c r="C144" i="18"/>
  <c r="B144" i="18"/>
  <c r="A144" i="18"/>
  <c r="AO143" i="18"/>
  <c r="AN143" i="18"/>
  <c r="AM143" i="18"/>
  <c r="AJ143" i="18"/>
  <c r="AI143" i="18"/>
  <c r="T143" i="18"/>
  <c r="G143" i="18"/>
  <c r="C143" i="18"/>
  <c r="B143" i="18"/>
  <c r="A143" i="18"/>
  <c r="AO142" i="18"/>
  <c r="AN142" i="18"/>
  <c r="AM142" i="18"/>
  <c r="AJ142" i="18"/>
  <c r="AI142" i="18"/>
  <c r="G142" i="18"/>
  <c r="B142" i="18"/>
  <c r="A142" i="18"/>
  <c r="AO141" i="18"/>
  <c r="AN141" i="18"/>
  <c r="AM141" i="18"/>
  <c r="AJ141" i="18"/>
  <c r="AI141" i="18"/>
  <c r="I141" i="18"/>
  <c r="C141" i="18"/>
  <c r="B141" i="18"/>
  <c r="A141" i="18"/>
  <c r="AO140" i="18"/>
  <c r="AN140" i="18"/>
  <c r="AM140" i="18"/>
  <c r="AJ140" i="18"/>
  <c r="AI140" i="18"/>
  <c r="O140" i="18"/>
  <c r="L140" i="18"/>
  <c r="G140" i="18"/>
  <c r="B140" i="18"/>
  <c r="A140" i="18"/>
  <c r="AO139" i="18"/>
  <c r="AN139" i="18"/>
  <c r="AM139" i="18"/>
  <c r="AJ139" i="18"/>
  <c r="AI139" i="18"/>
  <c r="E139" i="18"/>
  <c r="B139" i="18"/>
  <c r="A139" i="18"/>
  <c r="AO138" i="18"/>
  <c r="AN138" i="18"/>
  <c r="AM138" i="18"/>
  <c r="AJ138" i="18"/>
  <c r="AI138" i="18"/>
  <c r="H138" i="18"/>
  <c r="D138" i="18"/>
  <c r="C138" i="18"/>
  <c r="B138" i="18"/>
  <c r="A138" i="18"/>
  <c r="AO137" i="18"/>
  <c r="AN137" i="18"/>
  <c r="AM137" i="18"/>
  <c r="AJ137" i="18"/>
  <c r="AI137" i="18"/>
  <c r="I137" i="18"/>
  <c r="C137" i="18"/>
  <c r="B137" i="18"/>
  <c r="A137" i="18"/>
  <c r="AO136" i="18"/>
  <c r="AN136" i="18"/>
  <c r="AM136" i="18"/>
  <c r="AJ136" i="18"/>
  <c r="AI136" i="18"/>
  <c r="V136" i="18"/>
  <c r="L136" i="18"/>
  <c r="K136" i="18"/>
  <c r="G136" i="18"/>
  <c r="B136" i="18"/>
  <c r="A136" i="18"/>
  <c r="AO135" i="18"/>
  <c r="AN135" i="18"/>
  <c r="AM135" i="18"/>
  <c r="AJ135" i="18"/>
  <c r="AI135" i="18"/>
  <c r="AH135" i="18"/>
  <c r="G135" i="18"/>
  <c r="C135" i="18"/>
  <c r="B135" i="18"/>
  <c r="A135" i="18"/>
  <c r="AO134" i="18"/>
  <c r="AN134" i="18"/>
  <c r="AM134" i="18"/>
  <c r="AJ134" i="18"/>
  <c r="AI134" i="18"/>
  <c r="G134" i="18"/>
  <c r="D134" i="18"/>
  <c r="C134" i="18"/>
  <c r="B134" i="18"/>
  <c r="A134" i="18"/>
  <c r="AO133" i="18"/>
  <c r="AN133" i="18"/>
  <c r="AM133" i="18"/>
  <c r="AJ133" i="18"/>
  <c r="AI133" i="18"/>
  <c r="V133" i="18"/>
  <c r="L133" i="18"/>
  <c r="K133" i="18"/>
  <c r="G133" i="18"/>
  <c r="B133" i="18"/>
  <c r="A133" i="18"/>
  <c r="AO132" i="18"/>
  <c r="AN132" i="18"/>
  <c r="AM132" i="18"/>
  <c r="AJ132" i="18"/>
  <c r="AI132" i="18"/>
  <c r="S132" i="18"/>
  <c r="R132" i="18"/>
  <c r="H132" i="18"/>
  <c r="F132" i="18"/>
  <c r="B132" i="18"/>
  <c r="A132" i="18"/>
  <c r="AO131" i="18"/>
  <c r="AN131" i="18"/>
  <c r="AM131" i="18"/>
  <c r="AJ131" i="18"/>
  <c r="AI131" i="18"/>
  <c r="M131" i="18"/>
  <c r="J131" i="18"/>
  <c r="C131" i="18"/>
  <c r="B131" i="18"/>
  <c r="A131" i="18"/>
  <c r="AO130" i="18"/>
  <c r="AN130" i="18"/>
  <c r="AM130" i="18"/>
  <c r="AJ130" i="18"/>
  <c r="AI130" i="18"/>
  <c r="H130" i="18"/>
  <c r="F130" i="18"/>
  <c r="C130" i="18"/>
  <c r="B130" i="18"/>
  <c r="A130" i="18"/>
  <c r="AO129" i="18"/>
  <c r="AN129" i="18"/>
  <c r="AM129" i="18"/>
  <c r="AJ129" i="18"/>
  <c r="AI129" i="18"/>
  <c r="J129" i="18"/>
  <c r="C129" i="18"/>
  <c r="B129" i="18"/>
  <c r="A129" i="18"/>
  <c r="AO128" i="18"/>
  <c r="AN128" i="18"/>
  <c r="AM128" i="18"/>
  <c r="AJ128" i="18"/>
  <c r="AI128" i="18"/>
  <c r="G128" i="18"/>
  <c r="F128" i="18"/>
  <c r="C128" i="18"/>
  <c r="B128" i="18"/>
  <c r="A128" i="18"/>
  <c r="AO127" i="18"/>
  <c r="AN127" i="18"/>
  <c r="AM127" i="18"/>
  <c r="AJ127" i="18"/>
  <c r="AI127" i="18"/>
  <c r="M127" i="18"/>
  <c r="G127" i="18"/>
  <c r="C127" i="18"/>
  <c r="B127" i="18"/>
  <c r="A127" i="18"/>
  <c r="AO126" i="18"/>
  <c r="AN126" i="18"/>
  <c r="AM126" i="18"/>
  <c r="AJ126" i="18"/>
  <c r="AI126" i="18"/>
  <c r="Q126" i="18"/>
  <c r="P126" i="18"/>
  <c r="B126" i="18"/>
  <c r="A126" i="18"/>
  <c r="AO125" i="18"/>
  <c r="AN125" i="18"/>
  <c r="AM125" i="18"/>
  <c r="AJ125" i="18"/>
  <c r="AI125" i="18"/>
  <c r="J125" i="18"/>
  <c r="G125" i="18"/>
  <c r="C125" i="18"/>
  <c r="B125" i="18"/>
  <c r="A125" i="18"/>
  <c r="AO124" i="18"/>
  <c r="AN124" i="18"/>
  <c r="AM124" i="18"/>
  <c r="AJ124" i="18"/>
  <c r="AI124" i="18"/>
  <c r="X124" i="18"/>
  <c r="B124" i="18"/>
  <c r="A124" i="18"/>
  <c r="AO123" i="18"/>
  <c r="AN123" i="18"/>
  <c r="AM123" i="18"/>
  <c r="AJ123" i="18"/>
  <c r="AI123" i="18"/>
  <c r="H123" i="18"/>
  <c r="F123" i="18"/>
  <c r="C123" i="18"/>
  <c r="B123" i="18"/>
  <c r="A123" i="18"/>
  <c r="AO122" i="18"/>
  <c r="AN122" i="18"/>
  <c r="AM122" i="18"/>
  <c r="AJ122" i="18"/>
  <c r="AI122" i="18"/>
  <c r="P122" i="18"/>
  <c r="H122" i="18"/>
  <c r="C122" i="18"/>
  <c r="B122" i="18"/>
  <c r="A122" i="18"/>
  <c r="AO121" i="18"/>
  <c r="AN121" i="18"/>
  <c r="AM121" i="18"/>
  <c r="AJ121" i="18"/>
  <c r="AI121" i="18"/>
  <c r="Y121" i="18"/>
  <c r="M121" i="18"/>
  <c r="G121" i="18"/>
  <c r="B121" i="18"/>
  <c r="A121" i="18"/>
  <c r="AO120" i="18"/>
  <c r="AN120" i="18"/>
  <c r="AM120" i="18"/>
  <c r="AJ120" i="18"/>
  <c r="AI120" i="18"/>
  <c r="O120" i="18"/>
  <c r="G120" i="18"/>
  <c r="B120" i="18"/>
  <c r="A120" i="18"/>
  <c r="AO119" i="18"/>
  <c r="AN119" i="18"/>
  <c r="AM119" i="18"/>
  <c r="AJ119" i="18"/>
  <c r="AI119" i="18"/>
  <c r="O119" i="18"/>
  <c r="G119" i="18"/>
  <c r="B119" i="18"/>
  <c r="A119" i="18"/>
  <c r="AO118" i="18"/>
  <c r="AN118" i="18"/>
  <c r="AM118" i="18"/>
  <c r="AJ118" i="18"/>
  <c r="AI118" i="18"/>
  <c r="AH118" i="18"/>
  <c r="M118" i="18"/>
  <c r="H118" i="18"/>
  <c r="E118" i="18"/>
  <c r="C118" i="18"/>
  <c r="B118" i="18"/>
  <c r="A118" i="18"/>
  <c r="AO117" i="18"/>
  <c r="AN117" i="18"/>
  <c r="AM117" i="18"/>
  <c r="AJ117" i="18"/>
  <c r="AI117" i="18"/>
  <c r="I117" i="18"/>
  <c r="H117" i="18"/>
  <c r="B117" i="18"/>
  <c r="A117" i="18"/>
  <c r="AO116" i="18"/>
  <c r="AN116" i="18"/>
  <c r="AM116" i="18"/>
  <c r="AJ116" i="18"/>
  <c r="AI116" i="18"/>
  <c r="E116" i="18"/>
  <c r="B116" i="18"/>
  <c r="A116" i="18"/>
  <c r="AO115" i="18"/>
  <c r="AN115" i="18"/>
  <c r="AM115" i="18"/>
  <c r="AJ115" i="18"/>
  <c r="AI115" i="18"/>
  <c r="H115" i="18"/>
  <c r="C115" i="18"/>
  <c r="B115" i="18"/>
  <c r="A115" i="18"/>
  <c r="AO114" i="18"/>
  <c r="AN114" i="18"/>
  <c r="AM114" i="18"/>
  <c r="AJ114" i="18"/>
  <c r="AI114" i="18"/>
  <c r="G114" i="18"/>
  <c r="D114" i="18"/>
  <c r="C114" i="18"/>
  <c r="B114" i="18"/>
  <c r="A114" i="18"/>
  <c r="AO113" i="18"/>
  <c r="AN113" i="18"/>
  <c r="AM113" i="18"/>
  <c r="AJ113" i="18"/>
  <c r="AI113" i="18"/>
  <c r="U113" i="18"/>
  <c r="R113" i="18"/>
  <c r="L113" i="18"/>
  <c r="K113" i="18"/>
  <c r="B113" i="18"/>
  <c r="A113" i="18"/>
  <c r="AO112" i="18"/>
  <c r="AN112" i="18"/>
  <c r="AM112" i="18"/>
  <c r="AJ112" i="18"/>
  <c r="AI112" i="18"/>
  <c r="C112" i="18"/>
  <c r="B112" i="18"/>
  <c r="A112" i="18"/>
  <c r="AO111" i="18"/>
  <c r="AN111" i="18"/>
  <c r="AM111" i="18"/>
  <c r="AJ111" i="18"/>
  <c r="AI111" i="18"/>
  <c r="H111" i="18"/>
  <c r="D111" i="18"/>
  <c r="C111" i="18"/>
  <c r="B111" i="18"/>
  <c r="A111" i="18"/>
  <c r="AO110" i="18"/>
  <c r="AN110" i="18"/>
  <c r="AM110" i="18"/>
  <c r="AJ110" i="18"/>
  <c r="AI110" i="18"/>
  <c r="D110" i="18"/>
  <c r="B110" i="18"/>
  <c r="A110" i="18"/>
  <c r="AO109" i="18"/>
  <c r="AN109" i="18"/>
  <c r="AM109" i="18"/>
  <c r="AJ109" i="18"/>
  <c r="AI109" i="18"/>
  <c r="S109" i="18"/>
  <c r="M109" i="18"/>
  <c r="F109" i="18"/>
  <c r="D109" i="18"/>
  <c r="C109" i="18"/>
  <c r="B109" i="18"/>
  <c r="A109" i="18"/>
  <c r="AO108" i="18"/>
  <c r="AN108" i="18"/>
  <c r="AM108" i="18"/>
  <c r="AJ108" i="18"/>
  <c r="AI108" i="18"/>
  <c r="U108" i="18"/>
  <c r="K108" i="18"/>
  <c r="B108" i="18"/>
  <c r="A108" i="18"/>
  <c r="AO107" i="18"/>
  <c r="AN107" i="18"/>
  <c r="AM107" i="18"/>
  <c r="AJ107" i="18"/>
  <c r="AI107" i="18"/>
  <c r="N107" i="18"/>
  <c r="M107" i="18"/>
  <c r="G107" i="18"/>
  <c r="B107" i="18"/>
  <c r="A107" i="18"/>
  <c r="AO106" i="18"/>
  <c r="AN106" i="18"/>
  <c r="AM106" i="18"/>
  <c r="AJ106" i="18"/>
  <c r="AI106" i="18"/>
  <c r="V106" i="18"/>
  <c r="R106" i="18"/>
  <c r="L106" i="18"/>
  <c r="K106" i="18"/>
  <c r="G106" i="18"/>
  <c r="B106" i="18"/>
  <c r="A106" i="18"/>
  <c r="AO105" i="18"/>
  <c r="AN105" i="18"/>
  <c r="AM105" i="18"/>
  <c r="AJ105" i="18"/>
  <c r="AI105" i="18"/>
  <c r="I105" i="18"/>
  <c r="C105" i="18"/>
  <c r="B105" i="18"/>
  <c r="A105" i="18"/>
  <c r="AO104" i="18"/>
  <c r="AN104" i="18"/>
  <c r="AM104" i="18"/>
  <c r="AJ104" i="18"/>
  <c r="AI104" i="18"/>
  <c r="U104" i="18"/>
  <c r="K104" i="18"/>
  <c r="B104" i="18"/>
  <c r="A104" i="18"/>
  <c r="AO103" i="18"/>
  <c r="AN103" i="18"/>
  <c r="AM103" i="18"/>
  <c r="AJ103" i="18"/>
  <c r="AI103" i="18"/>
  <c r="H103" i="18"/>
  <c r="B103" i="18"/>
  <c r="A103" i="18"/>
  <c r="AO102" i="18"/>
  <c r="AN102" i="18"/>
  <c r="AM102" i="18"/>
  <c r="AJ102" i="18"/>
  <c r="AI102" i="18"/>
  <c r="J102" i="18"/>
  <c r="B102" i="18"/>
  <c r="A102" i="18"/>
  <c r="AO101" i="18"/>
  <c r="AN101" i="18"/>
  <c r="AM101" i="18"/>
  <c r="AJ101" i="18"/>
  <c r="AI101" i="18"/>
  <c r="AE101" i="18"/>
  <c r="O101" i="18"/>
  <c r="M101" i="18"/>
  <c r="G101" i="18"/>
  <c r="B101" i="18"/>
  <c r="A101" i="18"/>
  <c r="AO100" i="18"/>
  <c r="AN100" i="18"/>
  <c r="AM100" i="18"/>
  <c r="AJ100" i="18"/>
  <c r="AI100" i="18"/>
  <c r="Q100" i="18"/>
  <c r="I100" i="18"/>
  <c r="B100" i="18"/>
  <c r="A100" i="18"/>
  <c r="AO99" i="18"/>
  <c r="AN99" i="18"/>
  <c r="AM99" i="18"/>
  <c r="AJ99" i="18"/>
  <c r="AI99" i="18"/>
  <c r="G99" i="18"/>
  <c r="B99" i="18"/>
  <c r="A99" i="18"/>
  <c r="AO98" i="18"/>
  <c r="AN98" i="18"/>
  <c r="AM98" i="18"/>
  <c r="AJ98" i="18"/>
  <c r="AI98" i="18"/>
  <c r="R98" i="18"/>
  <c r="L98" i="18"/>
  <c r="K98" i="18"/>
  <c r="G98" i="18"/>
  <c r="B98" i="18"/>
  <c r="A98" i="18"/>
  <c r="AO97" i="18"/>
  <c r="AN97" i="18"/>
  <c r="AM97" i="18"/>
  <c r="AJ97" i="18"/>
  <c r="AI97" i="18"/>
  <c r="G97" i="18"/>
  <c r="C97" i="18"/>
  <c r="B97" i="18"/>
  <c r="A97" i="18"/>
  <c r="AO96" i="18"/>
  <c r="AN96" i="18"/>
  <c r="AM96" i="18"/>
  <c r="AJ96" i="18"/>
  <c r="AI96" i="18"/>
  <c r="G96" i="18"/>
  <c r="D96" i="18"/>
  <c r="C96" i="18"/>
  <c r="B96" i="18"/>
  <c r="A96" i="18"/>
  <c r="AO95" i="18"/>
  <c r="AN95" i="18"/>
  <c r="AM95" i="18"/>
  <c r="AJ95" i="18"/>
  <c r="AI95" i="18"/>
  <c r="H95" i="18"/>
  <c r="B95" i="18"/>
  <c r="A95" i="18"/>
  <c r="AO94" i="18"/>
  <c r="AN94" i="18"/>
  <c r="AM94" i="18"/>
  <c r="AJ94" i="18"/>
  <c r="AI94" i="18"/>
  <c r="J94" i="18"/>
  <c r="B94" i="18"/>
  <c r="A94" i="18"/>
  <c r="AO93" i="18"/>
  <c r="AN93" i="18"/>
  <c r="AM93" i="18"/>
  <c r="AJ93" i="18"/>
  <c r="AI93" i="18"/>
  <c r="K93" i="18"/>
  <c r="G93" i="18"/>
  <c r="B93" i="18"/>
  <c r="A93" i="18"/>
  <c r="AO92" i="18"/>
  <c r="AN92" i="18"/>
  <c r="AM92" i="18"/>
  <c r="AJ92" i="18"/>
  <c r="AI92" i="18"/>
  <c r="J92" i="18"/>
  <c r="B92" i="18"/>
  <c r="A92" i="18"/>
  <c r="AO91" i="18"/>
  <c r="AN91" i="18"/>
  <c r="AM91" i="18"/>
  <c r="AJ91" i="18"/>
  <c r="AI91" i="18"/>
  <c r="H91" i="18"/>
  <c r="B91" i="18"/>
  <c r="A91" i="18"/>
  <c r="AO90" i="18"/>
  <c r="AN90" i="18"/>
  <c r="AM90" i="18"/>
  <c r="AJ90" i="18"/>
  <c r="AI90" i="18"/>
  <c r="U90" i="18"/>
  <c r="M90" i="18"/>
  <c r="K90" i="18"/>
  <c r="H90" i="18"/>
  <c r="B90" i="18"/>
  <c r="A90" i="18"/>
  <c r="AO89" i="18"/>
  <c r="AN89" i="18"/>
  <c r="AM89" i="18"/>
  <c r="AJ89" i="18"/>
  <c r="AI89" i="18"/>
  <c r="T89" i="18"/>
  <c r="M89" i="18"/>
  <c r="G89" i="18"/>
  <c r="E89" i="18"/>
  <c r="B89" i="18"/>
  <c r="A89" i="18"/>
  <c r="AO88" i="18"/>
  <c r="AN88" i="18"/>
  <c r="AM88" i="18"/>
  <c r="AJ88" i="18"/>
  <c r="AI88" i="18"/>
  <c r="Y88" i="18"/>
  <c r="L88" i="18"/>
  <c r="G88" i="18"/>
  <c r="B88" i="18"/>
  <c r="A88" i="18"/>
  <c r="AO87" i="18"/>
  <c r="AN87" i="18"/>
  <c r="AM87" i="18"/>
  <c r="AJ87" i="18"/>
  <c r="AI87" i="18"/>
  <c r="P87" i="18"/>
  <c r="H87" i="18"/>
  <c r="C87" i="18"/>
  <c r="B87" i="18"/>
  <c r="A87" i="18"/>
  <c r="AO86" i="18"/>
  <c r="AN86" i="18"/>
  <c r="AM86" i="18"/>
  <c r="AJ86" i="18"/>
  <c r="AI86" i="18"/>
  <c r="Q86" i="18"/>
  <c r="B86" i="18"/>
  <c r="A86" i="18"/>
  <c r="AO85" i="18"/>
  <c r="AN85" i="18"/>
  <c r="AM85" i="18"/>
  <c r="AJ85" i="18"/>
  <c r="AI85" i="18"/>
  <c r="S85" i="18"/>
  <c r="M85" i="18"/>
  <c r="F85" i="18"/>
  <c r="D85" i="18"/>
  <c r="C85" i="18"/>
  <c r="B85" i="18"/>
  <c r="A85" i="18"/>
  <c r="AO84" i="18"/>
  <c r="AN84" i="18"/>
  <c r="AM84" i="18"/>
  <c r="AJ84" i="18"/>
  <c r="AI84" i="18"/>
  <c r="AF84" i="18"/>
  <c r="Q84" i="18"/>
  <c r="J84" i="18"/>
  <c r="B84" i="18"/>
  <c r="A84" i="18"/>
  <c r="AO83" i="18"/>
  <c r="AN83" i="18"/>
  <c r="AM83" i="18"/>
  <c r="AJ83" i="18"/>
  <c r="AI83" i="18"/>
  <c r="L83" i="18"/>
  <c r="J83" i="18"/>
  <c r="G83" i="18"/>
  <c r="B83" i="18"/>
  <c r="A83" i="18"/>
  <c r="AO82" i="18"/>
  <c r="AN82" i="18"/>
  <c r="AM82" i="18"/>
  <c r="AJ82" i="18"/>
  <c r="AI82" i="18"/>
  <c r="H82" i="18"/>
  <c r="C82" i="18"/>
  <c r="B82" i="18"/>
  <c r="A82" i="18"/>
  <c r="AO81" i="18"/>
  <c r="AN81" i="18"/>
  <c r="AM81" i="18"/>
  <c r="AJ81" i="18"/>
  <c r="AI81" i="18"/>
  <c r="N81" i="18"/>
  <c r="J81" i="18"/>
  <c r="G81" i="18"/>
  <c r="B81" i="18"/>
  <c r="A81" i="18"/>
  <c r="AO80" i="18"/>
  <c r="AN80" i="18"/>
  <c r="AM80" i="18"/>
  <c r="AJ80" i="18"/>
  <c r="AI80" i="18"/>
  <c r="M80" i="18"/>
  <c r="G80" i="18"/>
  <c r="E80" i="18"/>
  <c r="B80" i="18"/>
  <c r="A80" i="18"/>
  <c r="AO79" i="18"/>
  <c r="AN79" i="18"/>
  <c r="AM79" i="18"/>
  <c r="AJ79" i="18"/>
  <c r="AI79" i="18"/>
  <c r="M79" i="18"/>
  <c r="H79" i="18"/>
  <c r="E79" i="18"/>
  <c r="B79" i="18"/>
  <c r="A79" i="18"/>
  <c r="AO78" i="18"/>
  <c r="AN78" i="18"/>
  <c r="AM78" i="18"/>
  <c r="AJ78" i="18"/>
  <c r="AI78" i="18"/>
  <c r="AD78" i="18"/>
  <c r="AC78" i="18"/>
  <c r="Y78" i="18"/>
  <c r="L78" i="18"/>
  <c r="G78" i="18"/>
  <c r="B78" i="18"/>
  <c r="A78" i="18"/>
  <c r="AO77" i="18"/>
  <c r="AN77" i="18"/>
  <c r="AM77" i="18"/>
  <c r="AJ77" i="18"/>
  <c r="AI77" i="18"/>
  <c r="G77" i="18"/>
  <c r="B77" i="18"/>
  <c r="A77" i="18"/>
  <c r="AO76" i="18"/>
  <c r="AM76" i="18"/>
  <c r="AJ76" i="18"/>
  <c r="AI76" i="18"/>
  <c r="M76" i="18"/>
  <c r="I76" i="18"/>
  <c r="C76" i="18"/>
  <c r="B76" i="18"/>
  <c r="A76" i="18"/>
  <c r="AO75" i="18"/>
  <c r="AN75" i="18"/>
  <c r="AM75" i="18"/>
  <c r="AJ75" i="18"/>
  <c r="AI75" i="18"/>
  <c r="X75" i="18"/>
  <c r="R75" i="18"/>
  <c r="M75" i="18"/>
  <c r="H75" i="18"/>
  <c r="B75" i="18"/>
  <c r="A75" i="18"/>
  <c r="AO74" i="18"/>
  <c r="AN74" i="18"/>
  <c r="AM74" i="18"/>
  <c r="AJ74" i="18"/>
  <c r="AI74" i="18"/>
  <c r="AB74" i="18"/>
  <c r="N74" i="18"/>
  <c r="H74" i="18"/>
  <c r="C74" i="18"/>
  <c r="B74" i="18"/>
  <c r="A74" i="18"/>
  <c r="AO73" i="18"/>
  <c r="AN73" i="18"/>
  <c r="AM73" i="18"/>
  <c r="AJ73" i="18"/>
  <c r="AI73" i="18"/>
  <c r="Y73" i="18"/>
  <c r="G73" i="18"/>
  <c r="B73" i="18"/>
  <c r="A73" i="18"/>
  <c r="AO72" i="18"/>
  <c r="AN72" i="18"/>
  <c r="AM72" i="18"/>
  <c r="AJ72" i="18"/>
  <c r="AI72" i="18"/>
  <c r="L72" i="18"/>
  <c r="K72" i="18"/>
  <c r="G72" i="18"/>
  <c r="B72" i="18"/>
  <c r="A72" i="18"/>
  <c r="AO71" i="18"/>
  <c r="AN71" i="18"/>
  <c r="AM71" i="18"/>
  <c r="AJ71" i="18"/>
  <c r="AI71" i="18"/>
  <c r="M71" i="18"/>
  <c r="I71" i="18"/>
  <c r="D71" i="18"/>
  <c r="C71" i="18"/>
  <c r="B71" i="18"/>
  <c r="A71" i="18"/>
  <c r="AO70" i="18"/>
  <c r="AN70" i="18"/>
  <c r="AM70" i="18"/>
  <c r="AJ70" i="18"/>
  <c r="AI70" i="18"/>
  <c r="V70" i="18"/>
  <c r="G70" i="18"/>
  <c r="B70" i="18"/>
  <c r="A70" i="18"/>
  <c r="AO69" i="18"/>
  <c r="AN69" i="18"/>
  <c r="AM69" i="18"/>
  <c r="AJ69" i="18"/>
  <c r="AI69" i="18"/>
  <c r="M69" i="18"/>
  <c r="C69" i="18"/>
  <c r="B69" i="18"/>
  <c r="A69" i="18"/>
  <c r="AO68" i="18"/>
  <c r="AN68" i="18"/>
  <c r="AM68" i="18"/>
  <c r="AJ68" i="18"/>
  <c r="AI68" i="18"/>
  <c r="AE68" i="18"/>
  <c r="G68" i="18"/>
  <c r="B68" i="18"/>
  <c r="A68" i="18"/>
  <c r="AO67" i="18"/>
  <c r="AN67" i="18"/>
  <c r="AM67" i="18"/>
  <c r="AJ67" i="18"/>
  <c r="AI67" i="18"/>
  <c r="Q67" i="18"/>
  <c r="M67" i="18"/>
  <c r="B67" i="18"/>
  <c r="A67" i="18"/>
  <c r="AO66" i="18"/>
  <c r="AN66" i="18"/>
  <c r="AM66" i="18"/>
  <c r="AJ66" i="18"/>
  <c r="AI66" i="18"/>
  <c r="W66" i="18"/>
  <c r="M66" i="18"/>
  <c r="H66" i="18"/>
  <c r="F66" i="18"/>
  <c r="B66" i="18"/>
  <c r="A66" i="18"/>
  <c r="AO65" i="18"/>
  <c r="AN65" i="18"/>
  <c r="AM65" i="18"/>
  <c r="AJ65" i="18"/>
  <c r="AI65" i="18"/>
  <c r="AH65" i="18"/>
  <c r="N65" i="18"/>
  <c r="L65" i="18"/>
  <c r="K65" i="18"/>
  <c r="G65" i="18"/>
  <c r="B65" i="18"/>
  <c r="A65" i="18"/>
  <c r="AO64" i="18"/>
  <c r="AN64" i="18"/>
  <c r="AM64" i="18"/>
  <c r="AJ64" i="18"/>
  <c r="AI64" i="18"/>
  <c r="R64" i="18"/>
  <c r="J64" i="18"/>
  <c r="I64" i="18"/>
  <c r="G64" i="18"/>
  <c r="D64" i="18"/>
  <c r="C64" i="18"/>
  <c r="B64" i="18"/>
  <c r="A64" i="18"/>
  <c r="AO63" i="18"/>
  <c r="AN63" i="18"/>
  <c r="AM63" i="18"/>
  <c r="AJ63" i="18"/>
  <c r="AI63" i="18"/>
  <c r="AD63" i="18"/>
  <c r="AC63" i="18"/>
  <c r="M63" i="18"/>
  <c r="H63" i="18"/>
  <c r="C63" i="18"/>
  <c r="B63" i="18"/>
  <c r="A63" i="18"/>
  <c r="AO62" i="18"/>
  <c r="AN62" i="18"/>
  <c r="AM62" i="18"/>
  <c r="AJ62" i="18"/>
  <c r="AI62" i="18"/>
  <c r="W62" i="18"/>
  <c r="H62" i="18"/>
  <c r="C62" i="18"/>
  <c r="B62" i="18"/>
  <c r="A62" i="18"/>
  <c r="AO61" i="18"/>
  <c r="AN61" i="18"/>
  <c r="AM61" i="18"/>
  <c r="AJ61" i="18"/>
  <c r="AI61" i="18"/>
  <c r="J61" i="18"/>
  <c r="G61" i="18"/>
  <c r="B61" i="18"/>
  <c r="A61" i="18"/>
  <c r="AO60" i="18"/>
  <c r="AN60" i="18"/>
  <c r="AM60" i="18"/>
  <c r="AJ60" i="18"/>
  <c r="AI60" i="18"/>
  <c r="K60" i="18"/>
  <c r="G60" i="18"/>
  <c r="B60" i="18"/>
  <c r="A60" i="18"/>
  <c r="AO59" i="18"/>
  <c r="AN59" i="18"/>
  <c r="AM59" i="18"/>
  <c r="AJ59" i="18"/>
  <c r="AI59" i="18"/>
  <c r="G59" i="18"/>
  <c r="F59" i="18"/>
  <c r="C59" i="18"/>
  <c r="B59" i="18"/>
  <c r="A59" i="18"/>
  <c r="AO58" i="18"/>
  <c r="AN58" i="18"/>
  <c r="AM58" i="18"/>
  <c r="AJ58" i="18"/>
  <c r="AI58" i="18"/>
  <c r="I58" i="18"/>
  <c r="G58" i="18"/>
  <c r="B58" i="18"/>
  <c r="A58" i="18"/>
  <c r="AO57" i="18"/>
  <c r="AN57" i="18"/>
  <c r="AM57" i="18"/>
  <c r="AJ57" i="18"/>
  <c r="AI57" i="18"/>
  <c r="M57" i="18"/>
  <c r="I57" i="18"/>
  <c r="E57" i="18"/>
  <c r="B57" i="18"/>
  <c r="A57" i="18"/>
  <c r="AO56" i="18"/>
  <c r="AN56" i="18"/>
  <c r="AM56" i="18"/>
  <c r="AJ56" i="18"/>
  <c r="AI56" i="18"/>
  <c r="C56" i="18"/>
  <c r="B56" i="18"/>
  <c r="A56" i="18"/>
  <c r="AO55" i="18"/>
  <c r="AN55" i="18"/>
  <c r="AM55" i="18"/>
  <c r="AJ55" i="18"/>
  <c r="AI55" i="18"/>
  <c r="AH55" i="18"/>
  <c r="M55" i="18"/>
  <c r="J55" i="18"/>
  <c r="I55" i="18"/>
  <c r="B55" i="18"/>
  <c r="A55" i="18"/>
  <c r="AO54" i="18"/>
  <c r="AN54" i="18"/>
  <c r="AM54" i="18"/>
  <c r="AJ54" i="18"/>
  <c r="AI54" i="18"/>
  <c r="M54" i="18"/>
  <c r="I54" i="18"/>
  <c r="E54" i="18"/>
  <c r="B54" i="18"/>
  <c r="A54" i="18"/>
  <c r="AO53" i="18"/>
  <c r="AN53" i="18"/>
  <c r="AM53" i="18"/>
  <c r="AJ53" i="18"/>
  <c r="AI53" i="18"/>
  <c r="H53" i="18"/>
  <c r="F53" i="18"/>
  <c r="C53" i="18"/>
  <c r="B53" i="18"/>
  <c r="A53" i="18"/>
  <c r="AO52" i="18"/>
  <c r="AN52" i="18"/>
  <c r="AM52" i="18"/>
  <c r="AJ52" i="18"/>
  <c r="AI52" i="18"/>
  <c r="R52" i="18"/>
  <c r="J52" i="18"/>
  <c r="C52" i="18"/>
  <c r="B52" i="18"/>
  <c r="A52" i="18"/>
  <c r="AO51" i="18"/>
  <c r="AN51" i="18"/>
  <c r="AM51" i="18"/>
  <c r="AJ51" i="18"/>
  <c r="AI51" i="18"/>
  <c r="S51" i="18"/>
  <c r="F51" i="18"/>
  <c r="B51" i="18"/>
  <c r="A51" i="18"/>
  <c r="AO50" i="18"/>
  <c r="AN50" i="18"/>
  <c r="AM50" i="18"/>
  <c r="AJ50" i="18"/>
  <c r="AI50" i="18"/>
  <c r="AH50" i="18"/>
  <c r="M50" i="18"/>
  <c r="E50" i="18"/>
  <c r="C50" i="18"/>
  <c r="B50" i="18"/>
  <c r="A50" i="18"/>
  <c r="AO49" i="18"/>
  <c r="AN49" i="18"/>
  <c r="AM49" i="18"/>
  <c r="AJ49" i="18"/>
  <c r="AI49" i="18"/>
  <c r="M49" i="18"/>
  <c r="H49" i="18"/>
  <c r="B49" i="18"/>
  <c r="A49" i="18"/>
  <c r="AO48" i="18"/>
  <c r="AN48" i="18"/>
  <c r="AM48" i="18"/>
  <c r="AJ48" i="18"/>
  <c r="AI48" i="18"/>
  <c r="F48" i="18"/>
  <c r="B48" i="18"/>
  <c r="A48" i="18"/>
  <c r="AO47" i="18"/>
  <c r="AN47" i="18"/>
  <c r="AM47" i="18"/>
  <c r="AJ47" i="18"/>
  <c r="AI47" i="18"/>
  <c r="G47" i="18"/>
  <c r="B47" i="18"/>
  <c r="A47" i="18"/>
  <c r="AO46" i="18"/>
  <c r="AN46" i="18"/>
  <c r="AM46" i="18"/>
  <c r="AJ46" i="18"/>
  <c r="AI46" i="18"/>
  <c r="X46" i="18"/>
  <c r="M46" i="18"/>
  <c r="L46" i="18"/>
  <c r="G46" i="18"/>
  <c r="B46" i="18"/>
  <c r="A46" i="18"/>
  <c r="AO45" i="18"/>
  <c r="AN45" i="18"/>
  <c r="AM45" i="18"/>
  <c r="AJ45" i="18"/>
  <c r="AI45" i="18"/>
  <c r="O45" i="18"/>
  <c r="G45" i="18"/>
  <c r="C45" i="18"/>
  <c r="B45" i="18"/>
  <c r="A45" i="18"/>
  <c r="AO44" i="18"/>
  <c r="AN44" i="18"/>
  <c r="AM44" i="18"/>
  <c r="AJ44" i="18"/>
  <c r="AI44" i="18"/>
  <c r="C44" i="18"/>
  <c r="B44" i="18"/>
  <c r="A44" i="18"/>
  <c r="AO43" i="18"/>
  <c r="AN43" i="18"/>
  <c r="AM43" i="18"/>
  <c r="AJ43" i="18"/>
  <c r="AI43" i="18"/>
  <c r="H43" i="18"/>
  <c r="C43" i="18"/>
  <c r="B43" i="18"/>
  <c r="A43" i="18"/>
  <c r="AO42" i="18"/>
  <c r="AN42" i="18"/>
  <c r="AM42" i="18"/>
  <c r="AJ42" i="18"/>
  <c r="AI42" i="18"/>
  <c r="AB42" i="18"/>
  <c r="N42" i="18"/>
  <c r="G42" i="18"/>
  <c r="C42" i="18"/>
  <c r="B42" i="18"/>
  <c r="A42" i="18"/>
  <c r="AO41" i="18"/>
  <c r="AN41" i="18"/>
  <c r="AM41" i="18"/>
  <c r="AJ41" i="18"/>
  <c r="AI41" i="18"/>
  <c r="W41" i="18"/>
  <c r="H41" i="18"/>
  <c r="C41" i="18"/>
  <c r="B41" i="18"/>
  <c r="A41" i="18"/>
  <c r="AO40" i="18"/>
  <c r="AN40" i="18"/>
  <c r="AM40" i="18"/>
  <c r="AJ40" i="18"/>
  <c r="AI40" i="18"/>
  <c r="M40" i="18"/>
  <c r="I40" i="18"/>
  <c r="G40" i="18"/>
  <c r="B40" i="18"/>
  <c r="A40" i="18"/>
  <c r="AO39" i="18"/>
  <c r="AN39" i="18"/>
  <c r="AM39" i="18"/>
  <c r="AJ39" i="18"/>
  <c r="AI39" i="18"/>
  <c r="AE39" i="18"/>
  <c r="R39" i="18"/>
  <c r="I39" i="18"/>
  <c r="C39" i="18"/>
  <c r="B39" i="18"/>
  <c r="A39" i="18"/>
  <c r="AO38" i="18"/>
  <c r="AN38" i="18"/>
  <c r="AM38" i="18"/>
  <c r="AJ38" i="18"/>
  <c r="AI38" i="18"/>
  <c r="H38" i="18"/>
  <c r="C38" i="18"/>
  <c r="B38" i="18"/>
  <c r="A38" i="18"/>
  <c r="AO37" i="18"/>
  <c r="AN37" i="18"/>
  <c r="AM37" i="18"/>
  <c r="AJ37" i="18"/>
  <c r="AI37" i="18"/>
  <c r="K37" i="18"/>
  <c r="B37" i="18"/>
  <c r="A37" i="18"/>
  <c r="AO36" i="18"/>
  <c r="AN36" i="18"/>
  <c r="AM36" i="18"/>
  <c r="AJ36" i="18"/>
  <c r="AI36" i="18"/>
  <c r="G36" i="18"/>
  <c r="B36" i="18"/>
  <c r="A36" i="18"/>
  <c r="AO35" i="18"/>
  <c r="AN35" i="18"/>
  <c r="AM35" i="18"/>
  <c r="AJ35" i="18"/>
  <c r="AI35" i="18"/>
  <c r="D35" i="18"/>
  <c r="C35" i="18"/>
  <c r="B35" i="18"/>
  <c r="A35" i="18"/>
  <c r="AO34" i="18"/>
  <c r="AN34" i="18"/>
  <c r="AM34" i="18"/>
  <c r="AJ34" i="18"/>
  <c r="AI34" i="18"/>
  <c r="R34" i="18"/>
  <c r="M34" i="18"/>
  <c r="H34" i="18"/>
  <c r="B34" i="18"/>
  <c r="A34" i="18"/>
  <c r="AO33" i="18"/>
  <c r="AN33" i="18"/>
  <c r="AM33" i="18"/>
  <c r="AJ33" i="18"/>
  <c r="AI33" i="18"/>
  <c r="I33" i="18"/>
  <c r="B33" i="18"/>
  <c r="A33" i="18"/>
  <c r="AO32" i="18"/>
  <c r="AN32" i="18"/>
  <c r="AM32" i="18"/>
  <c r="AJ32" i="18"/>
  <c r="AI32" i="18"/>
  <c r="L32" i="18"/>
  <c r="B32" i="18"/>
  <c r="A32" i="18"/>
  <c r="AO31" i="18"/>
  <c r="AN31" i="18"/>
  <c r="AM31" i="18"/>
  <c r="AJ31" i="18"/>
  <c r="AI31" i="18"/>
  <c r="S31" i="18"/>
  <c r="M31" i="18"/>
  <c r="H31" i="18"/>
  <c r="F31" i="18"/>
  <c r="B31" i="18"/>
  <c r="A31" i="18"/>
  <c r="AO30" i="18"/>
  <c r="AN30" i="18"/>
  <c r="AM30" i="18"/>
  <c r="AJ30" i="18"/>
  <c r="AI30" i="18"/>
  <c r="M30" i="18"/>
  <c r="G30" i="18"/>
  <c r="C30" i="18"/>
  <c r="B30" i="18"/>
  <c r="A30" i="18"/>
  <c r="AO29" i="18"/>
  <c r="AM29" i="18"/>
  <c r="AJ29" i="18"/>
  <c r="AI29" i="18"/>
  <c r="F29" i="18"/>
  <c r="D29" i="18"/>
  <c r="C29" i="18"/>
  <c r="B29" i="18"/>
  <c r="A29" i="18"/>
  <c r="AO28" i="18"/>
  <c r="AN28" i="18"/>
  <c r="AM28" i="18"/>
  <c r="AJ28" i="18"/>
  <c r="AI28" i="18"/>
  <c r="I28" i="18"/>
  <c r="B28" i="18"/>
  <c r="A28" i="18"/>
  <c r="AO27" i="18"/>
  <c r="AN27" i="18"/>
  <c r="AM27" i="18"/>
  <c r="AJ27" i="18"/>
  <c r="AI27" i="18"/>
  <c r="M27" i="18"/>
  <c r="G27" i="18"/>
  <c r="B27" i="18"/>
  <c r="A27" i="18"/>
  <c r="AO26" i="18"/>
  <c r="AN26" i="18"/>
  <c r="AM26" i="18"/>
  <c r="AJ26" i="18"/>
  <c r="AI26" i="18"/>
  <c r="E26" i="18"/>
  <c r="C26" i="18"/>
  <c r="B26" i="18"/>
  <c r="A26" i="18"/>
  <c r="AO25" i="18"/>
  <c r="AN25" i="18"/>
  <c r="AM25" i="18"/>
  <c r="AJ25" i="18"/>
  <c r="AI25" i="18"/>
  <c r="H25" i="18"/>
  <c r="D25" i="18"/>
  <c r="C25" i="18"/>
  <c r="B25" i="18"/>
  <c r="A25" i="18"/>
  <c r="AO24" i="18"/>
  <c r="AN24" i="18"/>
  <c r="AM24" i="18"/>
  <c r="AJ24" i="18"/>
  <c r="AI24" i="18"/>
  <c r="I24" i="18"/>
  <c r="B24" i="18"/>
  <c r="A24" i="18"/>
  <c r="AO23" i="18"/>
  <c r="AN23" i="18"/>
  <c r="AM23" i="18"/>
  <c r="AJ23" i="18"/>
  <c r="AI23" i="18"/>
  <c r="Q23" i="18"/>
  <c r="B23" i="18"/>
  <c r="A23" i="18"/>
  <c r="AO22" i="18"/>
  <c r="AN22" i="18"/>
  <c r="AM22" i="18"/>
  <c r="AJ22" i="18"/>
  <c r="AI22" i="18"/>
  <c r="Q22" i="18"/>
  <c r="B22" i="18"/>
  <c r="A22" i="18"/>
  <c r="AO21" i="18"/>
  <c r="AN21" i="18"/>
  <c r="AM21" i="18"/>
  <c r="AJ21" i="18"/>
  <c r="AI21" i="18"/>
  <c r="N21" i="18"/>
  <c r="L21" i="18"/>
  <c r="G21" i="18"/>
  <c r="B21" i="18"/>
  <c r="A21" i="18"/>
  <c r="AO20" i="18"/>
  <c r="AN20" i="18"/>
  <c r="AM20" i="18"/>
  <c r="AJ20" i="18"/>
  <c r="AI20" i="18"/>
  <c r="Z20" i="18"/>
  <c r="H20" i="18"/>
  <c r="B20" i="18"/>
  <c r="A20" i="18"/>
  <c r="AO19" i="18"/>
  <c r="AN19" i="18"/>
  <c r="AM19" i="18"/>
  <c r="AJ19" i="18"/>
  <c r="AI19" i="18"/>
  <c r="H19" i="18"/>
  <c r="B19" i="18"/>
  <c r="A19" i="18"/>
  <c r="AO18" i="18"/>
  <c r="AN18" i="18"/>
  <c r="AM18" i="18"/>
  <c r="AJ18" i="18"/>
  <c r="AI18" i="18"/>
  <c r="W18" i="18"/>
  <c r="T18" i="18"/>
  <c r="N18" i="18"/>
  <c r="K18" i="18"/>
  <c r="G18" i="18"/>
  <c r="B18" i="18"/>
  <c r="A18" i="18"/>
  <c r="AO17" i="18"/>
  <c r="AN17" i="18"/>
  <c r="AM17" i="18"/>
  <c r="AJ17" i="18"/>
  <c r="AI17" i="18"/>
  <c r="G17" i="18"/>
  <c r="F17" i="18"/>
  <c r="C17" i="18"/>
  <c r="B17" i="18"/>
  <c r="A17" i="18"/>
  <c r="AO16" i="18"/>
  <c r="AN16" i="18"/>
  <c r="AM16" i="18"/>
  <c r="AJ16" i="18"/>
  <c r="AI16" i="18"/>
  <c r="AG16" i="18"/>
  <c r="M16" i="18"/>
  <c r="G16" i="18"/>
  <c r="C16" i="18"/>
  <c r="B16" i="18"/>
  <c r="A16" i="18"/>
  <c r="AO15" i="18"/>
  <c r="AN15" i="18"/>
  <c r="AM15" i="18"/>
  <c r="AJ15" i="18"/>
  <c r="AI15" i="18"/>
  <c r="Q15" i="18"/>
  <c r="K15" i="18"/>
  <c r="B15" i="18"/>
  <c r="A15" i="18"/>
  <c r="AO14" i="18"/>
  <c r="AN14" i="18"/>
  <c r="AM14" i="18"/>
  <c r="AJ14" i="18"/>
  <c r="AI14" i="18"/>
  <c r="M14" i="18"/>
  <c r="J14" i="18"/>
  <c r="H14" i="18"/>
  <c r="B14" i="18"/>
  <c r="A14" i="18"/>
  <c r="AO13" i="18"/>
  <c r="AN13" i="18"/>
  <c r="AM13" i="18"/>
  <c r="AJ13" i="18"/>
  <c r="AI13" i="18"/>
  <c r="M13" i="18"/>
  <c r="H13" i="18"/>
  <c r="F13" i="18"/>
  <c r="B13" i="18"/>
  <c r="A13" i="18"/>
  <c r="AO12" i="18"/>
  <c r="AN12" i="18"/>
  <c r="AM12" i="18"/>
  <c r="AJ12" i="18"/>
  <c r="AI12" i="18"/>
  <c r="C12" i="18"/>
  <c r="B12" i="18"/>
  <c r="A12" i="18"/>
  <c r="AO11" i="18"/>
  <c r="AN11" i="18"/>
  <c r="AM11" i="18"/>
  <c r="AJ11" i="18"/>
  <c r="AI11" i="18"/>
  <c r="G11" i="18"/>
  <c r="B11" i="18"/>
  <c r="A11" i="18"/>
  <c r="AO10" i="18"/>
  <c r="AN10" i="18"/>
  <c r="AM10" i="18"/>
  <c r="AJ10" i="18"/>
  <c r="AI10" i="18"/>
  <c r="O10" i="18"/>
  <c r="M10" i="18"/>
  <c r="G10" i="18"/>
  <c r="B10" i="18"/>
  <c r="A10" i="18"/>
  <c r="AO9" i="18"/>
  <c r="AN9" i="18"/>
  <c r="AM9" i="18"/>
  <c r="AJ9" i="18"/>
  <c r="AI9" i="18"/>
  <c r="S9" i="18"/>
  <c r="R9" i="18"/>
  <c r="H9" i="18"/>
  <c r="F9" i="18"/>
  <c r="B9" i="18"/>
  <c r="A9" i="18"/>
  <c r="AO8" i="18"/>
  <c r="AN8" i="18"/>
  <c r="AM8" i="18"/>
  <c r="AJ8" i="18"/>
  <c r="AI8" i="18"/>
  <c r="M8" i="18"/>
  <c r="H8" i="18"/>
  <c r="E8" i="18"/>
  <c r="C8" i="18"/>
  <c r="B8" i="18"/>
  <c r="A8" i="18"/>
  <c r="AO7" i="18"/>
  <c r="AN7" i="18"/>
  <c r="AM7" i="18"/>
  <c r="AJ7" i="18"/>
  <c r="AI7" i="18"/>
  <c r="M7" i="18"/>
  <c r="C7" i="18"/>
  <c r="B7" i="18"/>
  <c r="A7" i="18"/>
  <c r="AO6" i="18"/>
  <c r="AN6" i="18"/>
  <c r="AM6" i="18"/>
  <c r="AJ6" i="18"/>
  <c r="AI6" i="18"/>
  <c r="H6" i="18"/>
  <c r="B6" i="18"/>
  <c r="A6" i="18"/>
  <c r="AO5" i="18"/>
  <c r="AN5" i="18"/>
  <c r="AM5" i="18"/>
  <c r="AJ5" i="18"/>
  <c r="AI5" i="18"/>
  <c r="R5" i="18"/>
  <c r="H5" i="18"/>
  <c r="B5" i="18"/>
  <c r="A5" i="18"/>
  <c r="AO4" i="18"/>
  <c r="AN4" i="18"/>
  <c r="AM4" i="18"/>
  <c r="AJ4" i="18"/>
  <c r="AI4" i="18"/>
  <c r="M4" i="18"/>
  <c r="J4" i="18"/>
  <c r="I4" i="18"/>
  <c r="B4" i="18"/>
  <c r="A4" i="18"/>
  <c r="AO3" i="18"/>
  <c r="AN3" i="18"/>
  <c r="AM3" i="18"/>
  <c r="AJ3" i="18"/>
  <c r="AI3" i="18"/>
  <c r="M3" i="18"/>
  <c r="J3" i="18"/>
  <c r="C3" i="18"/>
  <c r="B3" i="18"/>
  <c r="A3" i="18"/>
  <c r="AO2" i="18"/>
  <c r="AN2" i="18"/>
  <c r="A2" i="18"/>
  <c r="AH1" i="18"/>
  <c r="AG1" i="18"/>
  <c r="AF1" i="18"/>
  <c r="AE1" i="18"/>
  <c r="AD1" i="18"/>
  <c r="AC1" i="18"/>
  <c r="AB1" i="18"/>
  <c r="AA1" i="18"/>
  <c r="Z1" i="18"/>
  <c r="Y1" i="18"/>
  <c r="X1" i="18"/>
  <c r="W1" i="18"/>
  <c r="V1" i="18"/>
  <c r="U1" i="18"/>
  <c r="T1" i="18"/>
  <c r="S1" i="18"/>
  <c r="R1" i="18"/>
  <c r="Q1" i="18"/>
  <c r="P1" i="18"/>
  <c r="O1" i="18"/>
  <c r="N1" i="18"/>
  <c r="M1" i="18"/>
  <c r="L1" i="18"/>
  <c r="K1" i="18"/>
  <c r="J1" i="18"/>
  <c r="I1" i="18"/>
  <c r="H1" i="18"/>
  <c r="G1" i="18"/>
  <c r="F1" i="18"/>
  <c r="E1" i="18"/>
  <c r="D1" i="18"/>
  <c r="C1" i="18"/>
  <c r="B1" i="18"/>
  <c r="A1" i="18"/>
  <c r="B164" i="17"/>
  <c r="A164" i="17"/>
  <c r="B163" i="17"/>
  <c r="A163" i="17"/>
  <c r="B162" i="17"/>
  <c r="A162" i="17"/>
  <c r="B161" i="17"/>
  <c r="A161" i="17"/>
  <c r="B160" i="17"/>
  <c r="A160" i="17"/>
  <c r="B159" i="17"/>
  <c r="A159" i="17"/>
  <c r="B158" i="17"/>
  <c r="A158" i="17"/>
  <c r="B157" i="17"/>
  <c r="A157" i="17"/>
  <c r="B156" i="17"/>
  <c r="A156" i="17"/>
  <c r="B155" i="17"/>
  <c r="A155" i="17"/>
  <c r="B154" i="17"/>
  <c r="A154" i="17"/>
  <c r="B153" i="17"/>
  <c r="A153" i="17"/>
  <c r="B152" i="17"/>
  <c r="A152" i="17"/>
  <c r="B151" i="17"/>
  <c r="A151" i="17"/>
  <c r="B150" i="17"/>
  <c r="A150" i="17"/>
  <c r="B149" i="17"/>
  <c r="A149" i="17"/>
  <c r="B148" i="17"/>
  <c r="A148" i="17"/>
  <c r="B147" i="17"/>
  <c r="A147" i="17"/>
  <c r="B146" i="17"/>
  <c r="A146" i="17"/>
  <c r="B145" i="17"/>
  <c r="A145" i="17"/>
  <c r="B144" i="17"/>
  <c r="A144" i="17"/>
  <c r="B143" i="17"/>
  <c r="A143" i="17"/>
  <c r="B142" i="17"/>
  <c r="A142" i="17"/>
  <c r="B141" i="17"/>
  <c r="A141" i="17"/>
  <c r="B140" i="17"/>
  <c r="A140" i="17"/>
  <c r="B139" i="17"/>
  <c r="A139" i="17"/>
  <c r="B138" i="17"/>
  <c r="A138" i="17"/>
  <c r="B137" i="17"/>
  <c r="A137" i="17"/>
  <c r="B136" i="17"/>
  <c r="A136" i="17"/>
  <c r="B135" i="17"/>
  <c r="A135" i="17"/>
  <c r="B134" i="17"/>
  <c r="A134" i="17"/>
  <c r="B133" i="17"/>
  <c r="A133" i="17"/>
  <c r="B132" i="17"/>
  <c r="A132" i="17"/>
  <c r="B131" i="17"/>
  <c r="A131" i="17"/>
  <c r="B130" i="17"/>
  <c r="A130" i="17"/>
  <c r="B129" i="17"/>
  <c r="A129" i="17"/>
  <c r="B128" i="17"/>
  <c r="A128" i="17"/>
  <c r="B127" i="17"/>
  <c r="A127" i="17"/>
  <c r="B126" i="17"/>
  <c r="A126" i="17"/>
  <c r="B125" i="17"/>
  <c r="A125" i="17"/>
  <c r="B124" i="17"/>
  <c r="A124" i="17"/>
  <c r="B123" i="17"/>
  <c r="A123" i="17"/>
  <c r="B122" i="17"/>
  <c r="A122" i="17"/>
  <c r="B121" i="17"/>
  <c r="A121" i="17"/>
  <c r="B120" i="17"/>
  <c r="A120" i="17"/>
  <c r="B119" i="17"/>
  <c r="A119" i="17"/>
  <c r="B118" i="17"/>
  <c r="A118" i="17"/>
  <c r="B117" i="17"/>
  <c r="A117" i="17"/>
  <c r="B116" i="17"/>
  <c r="A116" i="17"/>
  <c r="B115" i="17"/>
  <c r="A115" i="17"/>
  <c r="B114" i="17"/>
  <c r="A114" i="17"/>
  <c r="B113" i="17"/>
  <c r="A113" i="17"/>
  <c r="B112" i="17"/>
  <c r="A112" i="17"/>
  <c r="B111" i="17"/>
  <c r="A111" i="17"/>
  <c r="B110" i="17"/>
  <c r="A110" i="17"/>
  <c r="B109" i="17"/>
  <c r="A109" i="17"/>
  <c r="B108" i="17"/>
  <c r="A108" i="17"/>
  <c r="B107" i="17"/>
  <c r="A107" i="17"/>
  <c r="B106" i="17"/>
  <c r="A106" i="17"/>
  <c r="B105" i="17"/>
  <c r="A105" i="17"/>
  <c r="B104" i="17"/>
  <c r="A104" i="17"/>
  <c r="B103" i="17"/>
  <c r="A103" i="17"/>
  <c r="B102" i="17"/>
  <c r="A102" i="17"/>
  <c r="B101" i="17"/>
  <c r="A101" i="17"/>
  <c r="B100" i="17"/>
  <c r="A100" i="17"/>
  <c r="B99" i="17"/>
  <c r="A99" i="17"/>
  <c r="B98" i="17"/>
  <c r="A98" i="17"/>
  <c r="B97" i="17"/>
  <c r="A97" i="17"/>
  <c r="B96" i="17"/>
  <c r="A96" i="17"/>
  <c r="B95" i="17"/>
  <c r="A95" i="17"/>
  <c r="B94" i="17"/>
  <c r="A94" i="17"/>
  <c r="B93" i="17"/>
  <c r="A93" i="17"/>
  <c r="B92" i="17"/>
  <c r="A92" i="17"/>
  <c r="B91" i="17"/>
  <c r="A91" i="17"/>
  <c r="B90" i="17"/>
  <c r="A90" i="17"/>
  <c r="B89" i="17"/>
  <c r="A89" i="17"/>
  <c r="B88" i="17"/>
  <c r="A88" i="17"/>
  <c r="B87" i="17"/>
  <c r="A87" i="17"/>
  <c r="B86" i="17"/>
  <c r="A86" i="17"/>
  <c r="B85" i="17"/>
  <c r="A85" i="17"/>
  <c r="B84" i="17"/>
  <c r="A84" i="17"/>
  <c r="B83" i="17"/>
  <c r="A83" i="17"/>
  <c r="B82" i="17"/>
  <c r="A82" i="17"/>
  <c r="B81" i="17"/>
  <c r="A81" i="17"/>
  <c r="B80" i="17"/>
  <c r="A80" i="17"/>
  <c r="B79" i="17"/>
  <c r="A79" i="17"/>
  <c r="B78" i="17"/>
  <c r="A78" i="17"/>
  <c r="B77" i="17"/>
  <c r="A77" i="17"/>
  <c r="B76" i="17"/>
  <c r="A76" i="17"/>
  <c r="B75" i="17"/>
  <c r="A75" i="17"/>
  <c r="B74" i="17"/>
  <c r="A74" i="17"/>
  <c r="B73" i="17"/>
  <c r="A73" i="17"/>
  <c r="B72" i="17"/>
  <c r="A72" i="17"/>
  <c r="B71" i="17"/>
  <c r="A71" i="17"/>
  <c r="B70" i="17"/>
  <c r="A70" i="17"/>
  <c r="B69" i="17"/>
  <c r="A69" i="17"/>
  <c r="B68" i="17"/>
  <c r="A68" i="17"/>
  <c r="B67" i="17"/>
  <c r="A67" i="17"/>
  <c r="B66" i="17"/>
  <c r="A66" i="17"/>
  <c r="B65" i="17"/>
  <c r="A65" i="17"/>
  <c r="B64" i="17"/>
  <c r="A64" i="17"/>
  <c r="B63" i="17"/>
  <c r="A63" i="17"/>
  <c r="B62" i="17"/>
  <c r="A62" i="17"/>
  <c r="B61" i="17"/>
  <c r="A61" i="17"/>
  <c r="B60" i="17"/>
  <c r="A60" i="17"/>
  <c r="B59" i="17"/>
  <c r="A59" i="17"/>
  <c r="B58" i="17"/>
  <c r="A58" i="17"/>
  <c r="B57" i="17"/>
  <c r="A57" i="17"/>
  <c r="B56" i="17"/>
  <c r="A56" i="17"/>
  <c r="B55" i="17"/>
  <c r="A55" i="17"/>
  <c r="B54" i="17"/>
  <c r="A54" i="17"/>
  <c r="B53" i="17"/>
  <c r="A53" i="17"/>
  <c r="B52" i="17"/>
  <c r="A52" i="17"/>
  <c r="B51" i="17"/>
  <c r="A51" i="17"/>
  <c r="B50" i="17"/>
  <c r="A50" i="17"/>
  <c r="B49" i="17"/>
  <c r="A49" i="17"/>
  <c r="B48" i="17"/>
  <c r="A48" i="17"/>
  <c r="B47" i="17"/>
  <c r="A47" i="17"/>
  <c r="B46" i="17"/>
  <c r="A46" i="17"/>
  <c r="B45" i="17"/>
  <c r="A45" i="17"/>
  <c r="B44" i="17"/>
  <c r="A44" i="17"/>
  <c r="B43" i="17"/>
  <c r="A43" i="17"/>
  <c r="B42" i="17"/>
  <c r="A42" i="17"/>
  <c r="B41" i="17"/>
  <c r="A41" i="17"/>
  <c r="B40" i="17"/>
  <c r="A40" i="17"/>
  <c r="B39" i="17"/>
  <c r="A39" i="17"/>
  <c r="B38" i="17"/>
  <c r="A38" i="17"/>
  <c r="B37" i="17"/>
  <c r="A37" i="17"/>
  <c r="B36" i="17"/>
  <c r="A36" i="17"/>
  <c r="B35" i="17"/>
  <c r="A35" i="17"/>
  <c r="B34" i="17"/>
  <c r="A34" i="17"/>
  <c r="B33" i="17"/>
  <c r="A33" i="17"/>
  <c r="B32" i="17"/>
  <c r="A32" i="17"/>
  <c r="B31" i="17"/>
  <c r="A31" i="17"/>
  <c r="B30" i="17"/>
  <c r="A30" i="17"/>
  <c r="B29" i="17"/>
  <c r="A29" i="17"/>
  <c r="B28" i="17"/>
  <c r="A28" i="17"/>
  <c r="B27" i="17"/>
  <c r="A27" i="17"/>
  <c r="B26" i="17"/>
  <c r="A26" i="17"/>
  <c r="B25" i="17"/>
  <c r="A25" i="17"/>
  <c r="B24" i="17"/>
  <c r="A24" i="17"/>
  <c r="B23" i="17"/>
  <c r="A23" i="17"/>
  <c r="B22" i="17"/>
  <c r="A22" i="17"/>
  <c r="B21" i="17"/>
  <c r="A21" i="17"/>
  <c r="B20" i="17"/>
  <c r="A20" i="17"/>
  <c r="B19" i="17"/>
  <c r="A19" i="17"/>
  <c r="B18" i="17"/>
  <c r="A18" i="17"/>
  <c r="B17" i="17"/>
  <c r="A17" i="17"/>
  <c r="B16" i="17"/>
  <c r="A16" i="17"/>
  <c r="B15" i="17"/>
  <c r="A15" i="17"/>
  <c r="B14" i="17"/>
  <c r="A14" i="17"/>
  <c r="B13" i="17"/>
  <c r="A13" i="17"/>
  <c r="B12" i="17"/>
  <c r="A12" i="17"/>
  <c r="B11" i="17"/>
  <c r="A11" i="17"/>
  <c r="B10" i="17"/>
  <c r="A10" i="17"/>
  <c r="B9" i="17"/>
  <c r="A9" i="17"/>
  <c r="B8" i="17"/>
  <c r="A8" i="17"/>
  <c r="B7" i="17"/>
  <c r="A7" i="17"/>
  <c r="B6" i="17"/>
  <c r="A6" i="17"/>
  <c r="B5" i="17"/>
  <c r="A5" i="17"/>
  <c r="B4" i="17"/>
  <c r="A4" i="17"/>
  <c r="B3" i="17"/>
  <c r="A3" i="17"/>
  <c r="B2" i="17"/>
  <c r="A2" i="17"/>
  <c r="B1" i="17"/>
  <c r="A1" i="17"/>
  <c r="U25" i="16"/>
  <c r="S25" i="16"/>
  <c r="Q25" i="16"/>
  <c r="O25" i="16"/>
  <c r="M25" i="16"/>
  <c r="K25" i="16"/>
  <c r="I25" i="16"/>
  <c r="G25" i="16"/>
  <c r="E25" i="16"/>
  <c r="C25" i="16"/>
  <c r="A25" i="16"/>
  <c r="U24" i="16"/>
  <c r="S24" i="16"/>
  <c r="Q24" i="16"/>
  <c r="O24" i="16"/>
  <c r="M24" i="16"/>
  <c r="K24" i="16"/>
  <c r="I24" i="16"/>
  <c r="G24" i="16"/>
  <c r="E24" i="16"/>
  <c r="C24" i="16"/>
  <c r="A24" i="16"/>
  <c r="U23" i="16"/>
  <c r="S23" i="16"/>
  <c r="Q23" i="16"/>
  <c r="O23" i="16"/>
  <c r="M23" i="16"/>
  <c r="K23" i="16"/>
  <c r="I23" i="16"/>
  <c r="H23" i="16"/>
  <c r="G23" i="16"/>
  <c r="F23" i="16"/>
  <c r="E23" i="16"/>
  <c r="C23" i="16"/>
  <c r="A23" i="16"/>
  <c r="U22" i="16"/>
  <c r="T22" i="16"/>
  <c r="S22" i="16"/>
  <c r="R22" i="16"/>
  <c r="Q22" i="16"/>
  <c r="P22" i="16"/>
  <c r="O22" i="16"/>
  <c r="N22" i="16"/>
  <c r="M22" i="16"/>
  <c r="L22" i="16"/>
  <c r="K22" i="16"/>
  <c r="J22" i="16"/>
  <c r="I22" i="16"/>
  <c r="H22" i="16"/>
  <c r="G22" i="16"/>
  <c r="F22" i="16"/>
  <c r="E22" i="16"/>
  <c r="D22" i="16"/>
  <c r="C22" i="16"/>
  <c r="B22" i="16"/>
  <c r="A22" i="16"/>
  <c r="U21" i="16"/>
  <c r="T21" i="16"/>
  <c r="S21" i="16"/>
  <c r="R21" i="16"/>
  <c r="Q21" i="16"/>
  <c r="P21" i="16"/>
  <c r="O21" i="16"/>
  <c r="N21" i="16"/>
  <c r="M21" i="16"/>
  <c r="L21" i="16"/>
  <c r="K21" i="16"/>
  <c r="J21" i="16"/>
  <c r="I21" i="16"/>
  <c r="H21" i="16"/>
  <c r="G21" i="16"/>
  <c r="F21" i="16"/>
  <c r="E21" i="16"/>
  <c r="D21" i="16"/>
  <c r="C21" i="16"/>
  <c r="B21" i="16"/>
  <c r="A21" i="16"/>
  <c r="U20" i="16"/>
  <c r="T20" i="16"/>
  <c r="S20" i="16"/>
  <c r="R20" i="16"/>
  <c r="Q20" i="16"/>
  <c r="P20" i="16"/>
  <c r="O20" i="16"/>
  <c r="N20" i="16"/>
  <c r="M20" i="16"/>
  <c r="L20" i="16"/>
  <c r="K20" i="16"/>
  <c r="J20" i="16"/>
  <c r="I20" i="16"/>
  <c r="H20" i="16"/>
  <c r="G20" i="16"/>
  <c r="F20" i="16"/>
  <c r="E20" i="16"/>
  <c r="D20" i="16"/>
  <c r="C20" i="16"/>
  <c r="B20" i="16"/>
  <c r="A20" i="16"/>
  <c r="X19" i="16"/>
  <c r="V19" i="16"/>
  <c r="U19" i="16"/>
  <c r="S19" i="16"/>
  <c r="Q19" i="16"/>
  <c r="O19" i="16"/>
  <c r="M19" i="16"/>
  <c r="K19" i="16"/>
  <c r="I19" i="16"/>
  <c r="G19" i="16"/>
  <c r="E19" i="16"/>
  <c r="C19" i="16"/>
  <c r="A19" i="16"/>
  <c r="U18" i="16"/>
  <c r="S18" i="16"/>
  <c r="Q18" i="16"/>
  <c r="O18" i="16"/>
  <c r="M18" i="16"/>
  <c r="K18" i="16"/>
  <c r="I18" i="16"/>
  <c r="G18" i="16"/>
  <c r="E18" i="16"/>
  <c r="C18" i="16"/>
  <c r="A18" i="16"/>
  <c r="U17" i="16"/>
  <c r="S17" i="16"/>
  <c r="Q17" i="16"/>
  <c r="O17" i="16"/>
  <c r="M17" i="16"/>
  <c r="K17" i="16"/>
  <c r="I17" i="16"/>
  <c r="G17" i="16"/>
  <c r="E17" i="16"/>
  <c r="C17" i="16"/>
  <c r="A17" i="16"/>
  <c r="X16" i="16"/>
  <c r="W16" i="16"/>
  <c r="V16" i="16"/>
  <c r="U16" i="16"/>
  <c r="T16" i="16"/>
  <c r="S16" i="16"/>
  <c r="R16" i="16"/>
  <c r="Q16" i="16"/>
  <c r="P16" i="16"/>
  <c r="O16" i="16"/>
  <c r="N16" i="16"/>
  <c r="M16" i="16"/>
  <c r="L16" i="16"/>
  <c r="K16" i="16"/>
  <c r="J16" i="16"/>
  <c r="I16" i="16"/>
  <c r="H16" i="16"/>
  <c r="G16" i="16"/>
  <c r="F16" i="16"/>
  <c r="E16" i="16"/>
  <c r="D16" i="16"/>
  <c r="C16" i="16"/>
  <c r="B16" i="16"/>
  <c r="A16" i="16"/>
  <c r="X15" i="16"/>
  <c r="W15" i="16"/>
  <c r="V15" i="16"/>
  <c r="U15" i="16"/>
  <c r="T15" i="16"/>
  <c r="S15" i="16"/>
  <c r="R15" i="16"/>
  <c r="Q15" i="16"/>
  <c r="P15" i="16"/>
  <c r="O15" i="16"/>
  <c r="N15" i="16"/>
  <c r="M15" i="16"/>
  <c r="L15" i="16"/>
  <c r="K15" i="16"/>
  <c r="J15" i="16"/>
  <c r="I15" i="16"/>
  <c r="H15" i="16"/>
  <c r="G15" i="16"/>
  <c r="F15" i="16"/>
  <c r="E15" i="16"/>
  <c r="D15" i="16"/>
  <c r="C15" i="16"/>
  <c r="B15" i="16"/>
  <c r="A15" i="16"/>
  <c r="X14" i="16"/>
  <c r="W14" i="16"/>
  <c r="V14" i="16"/>
  <c r="U14" i="16"/>
  <c r="T14" i="16"/>
  <c r="S14" i="16"/>
  <c r="R14" i="16"/>
  <c r="Q14" i="16"/>
  <c r="P14" i="16"/>
  <c r="O14" i="16"/>
  <c r="N14" i="16"/>
  <c r="M14" i="16"/>
  <c r="L14" i="16"/>
  <c r="K14" i="16"/>
  <c r="J14" i="16"/>
  <c r="I14" i="16"/>
  <c r="H14" i="16"/>
  <c r="G14" i="16"/>
  <c r="F14" i="16"/>
  <c r="E14" i="16"/>
  <c r="D14" i="16"/>
  <c r="C14" i="16"/>
  <c r="B14" i="16"/>
  <c r="A14" i="16"/>
  <c r="X13" i="16"/>
  <c r="V13" i="16"/>
  <c r="U13" i="16"/>
  <c r="S13" i="16"/>
  <c r="Q13" i="16"/>
  <c r="O13" i="16"/>
  <c r="M13" i="16"/>
  <c r="K13" i="16"/>
  <c r="I13" i="16"/>
  <c r="G13" i="16"/>
  <c r="E13" i="16"/>
  <c r="C13" i="16"/>
  <c r="A13" i="16"/>
  <c r="U12" i="16"/>
  <c r="S12" i="16"/>
  <c r="Q12" i="16"/>
  <c r="O12" i="16"/>
  <c r="M12" i="16"/>
  <c r="K12" i="16"/>
  <c r="I12" i="16"/>
  <c r="G12" i="16"/>
  <c r="E12" i="16"/>
  <c r="C12" i="16"/>
  <c r="A12" i="16"/>
  <c r="Z11" i="16"/>
  <c r="Y11" i="16"/>
  <c r="U11" i="16"/>
  <c r="S11" i="16"/>
  <c r="Q11" i="16"/>
  <c r="O11" i="16"/>
  <c r="M11" i="16"/>
  <c r="K11" i="16"/>
  <c r="I11" i="16"/>
  <c r="G11" i="16"/>
  <c r="E11" i="16"/>
  <c r="C11" i="16"/>
  <c r="A11" i="16"/>
  <c r="Z10" i="16"/>
  <c r="Y10" i="16"/>
  <c r="X10" i="16"/>
  <c r="W10" i="16"/>
  <c r="V10" i="16"/>
  <c r="U10" i="16"/>
  <c r="T10" i="16"/>
  <c r="S10" i="16"/>
  <c r="R10" i="16"/>
  <c r="Q10" i="16"/>
  <c r="P10" i="16"/>
  <c r="O10" i="16"/>
  <c r="N10" i="16"/>
  <c r="M10" i="16"/>
  <c r="L10" i="16"/>
  <c r="K10" i="16"/>
  <c r="J10" i="16"/>
  <c r="I10" i="16"/>
  <c r="H10" i="16"/>
  <c r="G10" i="16"/>
  <c r="F10" i="16"/>
  <c r="E10" i="16"/>
  <c r="D10" i="16"/>
  <c r="C10" i="16"/>
  <c r="B10" i="16"/>
  <c r="A10" i="16"/>
  <c r="Z9" i="16"/>
  <c r="Y9" i="16"/>
  <c r="X9" i="16"/>
  <c r="W9" i="16"/>
  <c r="V9" i="16"/>
  <c r="U9" i="16"/>
  <c r="T9" i="16"/>
  <c r="S9" i="16"/>
  <c r="R9" i="16"/>
  <c r="Q9" i="16"/>
  <c r="P9" i="16"/>
  <c r="O9" i="16"/>
  <c r="N9" i="16"/>
  <c r="M9" i="16"/>
  <c r="L9" i="16"/>
  <c r="K9" i="16"/>
  <c r="J9" i="16"/>
  <c r="I9" i="16"/>
  <c r="H9" i="16"/>
  <c r="G9" i="16"/>
  <c r="F9" i="16"/>
  <c r="E9" i="16"/>
  <c r="D9" i="16"/>
  <c r="C9" i="16"/>
  <c r="B9" i="16"/>
  <c r="A9" i="16"/>
  <c r="Z8" i="16"/>
  <c r="Y8" i="16"/>
  <c r="X8" i="16"/>
  <c r="W8" i="16"/>
  <c r="V8" i="16"/>
  <c r="U8" i="16"/>
  <c r="T8" i="16"/>
  <c r="S8" i="16"/>
  <c r="R8" i="16"/>
  <c r="Q8" i="16"/>
  <c r="P8" i="16"/>
  <c r="O8" i="16"/>
  <c r="N8" i="16"/>
  <c r="M8" i="16"/>
  <c r="L8" i="16"/>
  <c r="K8" i="16"/>
  <c r="J8" i="16"/>
  <c r="I8" i="16"/>
  <c r="H8" i="16"/>
  <c r="G8" i="16"/>
  <c r="F8" i="16"/>
  <c r="E8" i="16"/>
  <c r="D8" i="16"/>
  <c r="C8" i="16"/>
  <c r="B8" i="16"/>
  <c r="A8" i="16"/>
  <c r="Z7" i="16"/>
  <c r="Y7" i="16"/>
  <c r="X7" i="16"/>
  <c r="V7" i="16"/>
  <c r="U7" i="16"/>
  <c r="S7" i="16"/>
  <c r="Q7" i="16"/>
  <c r="O7" i="16"/>
  <c r="M7" i="16"/>
  <c r="K7" i="16"/>
  <c r="I7" i="16"/>
  <c r="G7" i="16"/>
  <c r="E7" i="16"/>
  <c r="C7" i="16"/>
  <c r="A7" i="16"/>
  <c r="Z6" i="16"/>
  <c r="Y6" i="16"/>
  <c r="U6" i="16"/>
  <c r="S6" i="16"/>
  <c r="Q6" i="16"/>
  <c r="O6" i="16"/>
  <c r="M6" i="16"/>
  <c r="K6" i="16"/>
  <c r="I6" i="16"/>
  <c r="G6" i="16"/>
  <c r="E6" i="16"/>
  <c r="C6" i="16"/>
  <c r="A6" i="16"/>
  <c r="Z5" i="16"/>
  <c r="Y5" i="16"/>
  <c r="U5" i="16"/>
  <c r="S5" i="16"/>
  <c r="Q5" i="16"/>
  <c r="O5" i="16"/>
  <c r="M5" i="16"/>
  <c r="K5" i="16"/>
  <c r="I5" i="16"/>
  <c r="H5" i="16"/>
  <c r="G5" i="16"/>
  <c r="F5" i="16"/>
  <c r="E5" i="16"/>
  <c r="D5" i="16"/>
  <c r="C5" i="16"/>
  <c r="B5" i="16"/>
  <c r="A5" i="16"/>
  <c r="Z4" i="16"/>
  <c r="Y4" i="16"/>
  <c r="X4" i="16"/>
  <c r="W4" i="16"/>
  <c r="V4" i="16"/>
  <c r="U4" i="16"/>
  <c r="T4" i="16"/>
  <c r="S4" i="16"/>
  <c r="R4" i="16"/>
  <c r="Q4" i="16"/>
  <c r="P4" i="16"/>
  <c r="O4" i="16"/>
  <c r="N4" i="16"/>
  <c r="M4" i="16"/>
  <c r="L4" i="16"/>
  <c r="K4" i="16"/>
  <c r="J4" i="16"/>
  <c r="I4" i="16"/>
  <c r="H4" i="16"/>
  <c r="G4" i="16"/>
  <c r="F4" i="16"/>
  <c r="E4" i="16"/>
  <c r="D4" i="16"/>
  <c r="C4" i="16"/>
  <c r="B4" i="16"/>
  <c r="A4" i="16"/>
  <c r="Z3" i="16"/>
  <c r="Y3" i="16"/>
  <c r="X3" i="16"/>
  <c r="W3" i="16"/>
  <c r="V3" i="16"/>
  <c r="U3" i="16"/>
  <c r="T3" i="16"/>
  <c r="S3" i="16"/>
  <c r="R3" i="16"/>
  <c r="Q3" i="16"/>
  <c r="P3" i="16"/>
  <c r="O3" i="16"/>
  <c r="N3" i="16"/>
  <c r="M3" i="16"/>
  <c r="L3" i="16"/>
  <c r="K3" i="16"/>
  <c r="J3" i="16"/>
  <c r="I3" i="16"/>
  <c r="H3" i="16"/>
  <c r="G3" i="16"/>
  <c r="F3" i="16"/>
  <c r="E3" i="16"/>
  <c r="D3" i="16"/>
  <c r="C3" i="16"/>
  <c r="B3" i="16"/>
  <c r="A3" i="16"/>
  <c r="Z2" i="16"/>
  <c r="Y2" i="16"/>
  <c r="X2" i="16"/>
  <c r="W2" i="16"/>
  <c r="V2" i="16"/>
  <c r="U2" i="16"/>
  <c r="T2" i="16"/>
  <c r="S2" i="16"/>
  <c r="R2" i="16"/>
  <c r="Q2" i="16"/>
  <c r="P2" i="16"/>
  <c r="O2" i="16"/>
  <c r="N2" i="16"/>
  <c r="M2" i="16"/>
  <c r="L2" i="16"/>
  <c r="K2" i="16"/>
  <c r="J2" i="16"/>
  <c r="I2" i="16"/>
  <c r="H2" i="16"/>
  <c r="G2" i="16"/>
  <c r="F2" i="16"/>
  <c r="E2" i="16"/>
  <c r="D2" i="16"/>
  <c r="C2" i="16"/>
  <c r="B2" i="16"/>
  <c r="A2" i="16"/>
  <c r="Y1" i="16"/>
  <c r="X1" i="16"/>
  <c r="W1" i="16"/>
  <c r="U1" i="16"/>
  <c r="T1" i="16"/>
  <c r="S1" i="16"/>
  <c r="Q1" i="16"/>
  <c r="P1" i="16"/>
  <c r="O1" i="16"/>
  <c r="M1" i="16"/>
  <c r="L1" i="16"/>
  <c r="K1" i="16"/>
  <c r="I1" i="16"/>
  <c r="H1" i="16"/>
  <c r="G1" i="16"/>
  <c r="E1" i="16"/>
  <c r="D1" i="16"/>
  <c r="C1" i="16"/>
  <c r="A1" i="16"/>
  <c r="K9" i="15"/>
  <c r="J9" i="15"/>
  <c r="I9" i="15"/>
  <c r="H9" i="15"/>
  <c r="G9" i="15"/>
  <c r="F9" i="15"/>
  <c r="E9" i="15"/>
  <c r="D9" i="15"/>
  <c r="C9" i="15"/>
  <c r="B9" i="15"/>
  <c r="A9" i="15"/>
  <c r="K8" i="15"/>
  <c r="J8" i="15"/>
  <c r="I8" i="15"/>
  <c r="H8" i="15"/>
  <c r="G8" i="15"/>
  <c r="F8" i="15"/>
  <c r="E8" i="15"/>
  <c r="D8" i="15"/>
  <c r="C8" i="15"/>
  <c r="B8" i="15"/>
  <c r="A8" i="15"/>
  <c r="K7" i="15"/>
  <c r="J7" i="15"/>
  <c r="I7" i="15"/>
  <c r="H7" i="15"/>
  <c r="G7" i="15"/>
  <c r="F7" i="15"/>
  <c r="E7" i="15"/>
  <c r="D7" i="15"/>
  <c r="C7" i="15"/>
  <c r="B7" i="15"/>
  <c r="A7" i="15"/>
  <c r="K6" i="15"/>
  <c r="J6" i="15"/>
  <c r="I6" i="15"/>
  <c r="H6" i="15"/>
  <c r="G6" i="15"/>
  <c r="F6" i="15"/>
  <c r="E6" i="15"/>
  <c r="D6" i="15"/>
  <c r="A6" i="15"/>
  <c r="K5" i="15"/>
  <c r="J5" i="15"/>
  <c r="I5" i="15"/>
  <c r="H5" i="15"/>
  <c r="G5" i="15"/>
  <c r="F5" i="15"/>
  <c r="E5" i="15"/>
  <c r="D5" i="15"/>
  <c r="A5" i="15"/>
  <c r="K4" i="15"/>
  <c r="J4" i="15"/>
  <c r="I4" i="15"/>
  <c r="H4" i="15"/>
  <c r="G4" i="15"/>
  <c r="F4" i="15"/>
  <c r="E4" i="15"/>
  <c r="D4" i="15"/>
  <c r="A4" i="15"/>
  <c r="K3" i="15"/>
  <c r="J3" i="15"/>
  <c r="I3" i="15"/>
  <c r="H3" i="15"/>
  <c r="E3" i="15"/>
  <c r="D3" i="15"/>
  <c r="A3" i="15"/>
  <c r="I2" i="15"/>
  <c r="H2" i="15"/>
  <c r="A2" i="15"/>
  <c r="B1" i="15"/>
  <c r="A1" i="15"/>
  <c r="AJ200" i="14"/>
  <c r="AI200" i="14"/>
  <c r="AE200" i="14"/>
  <c r="AD200" i="14"/>
  <c r="AC200" i="14"/>
  <c r="AB200" i="14"/>
  <c r="AA200" i="14"/>
  <c r="Z200" i="14"/>
  <c r="Y200" i="14"/>
  <c r="X200" i="14"/>
  <c r="W200" i="14"/>
  <c r="V200" i="14"/>
  <c r="U200" i="14"/>
  <c r="T200" i="14"/>
  <c r="S200" i="14"/>
  <c r="R200" i="14"/>
  <c r="Q200" i="14"/>
  <c r="P200" i="14"/>
  <c r="O200" i="14"/>
  <c r="N200" i="14"/>
  <c r="M200" i="14"/>
  <c r="L200" i="14"/>
  <c r="K200" i="14"/>
  <c r="J200" i="14"/>
  <c r="I200" i="14"/>
  <c r="H200" i="14"/>
  <c r="G200" i="14"/>
  <c r="F200" i="14"/>
  <c r="E200" i="14"/>
  <c r="D200" i="14"/>
  <c r="C200" i="14"/>
  <c r="B200" i="14"/>
  <c r="A200" i="14"/>
  <c r="AJ199" i="14"/>
  <c r="AI199" i="14"/>
  <c r="AE199" i="14"/>
  <c r="AD199" i="14"/>
  <c r="AC199" i="14"/>
  <c r="AB199" i="14"/>
  <c r="AA199" i="14"/>
  <c r="Z199" i="14"/>
  <c r="Y199" i="14"/>
  <c r="X199" i="14"/>
  <c r="W199" i="14"/>
  <c r="V199" i="14"/>
  <c r="U199" i="14"/>
  <c r="T199" i="14"/>
  <c r="S199" i="14"/>
  <c r="R199" i="14"/>
  <c r="Q199" i="14"/>
  <c r="P199" i="14"/>
  <c r="O199" i="14"/>
  <c r="N199" i="14"/>
  <c r="M199" i="14"/>
  <c r="L199" i="14"/>
  <c r="K199" i="14"/>
  <c r="J199" i="14"/>
  <c r="I199" i="14"/>
  <c r="H199" i="14"/>
  <c r="G199" i="14"/>
  <c r="F199" i="14"/>
  <c r="E199" i="14"/>
  <c r="D199" i="14"/>
  <c r="C199" i="14"/>
  <c r="B199" i="14"/>
  <c r="A199" i="14"/>
  <c r="AJ198" i="14"/>
  <c r="AI198" i="14"/>
  <c r="AE198" i="14"/>
  <c r="AD198" i="14"/>
  <c r="AC198" i="14"/>
  <c r="AB198" i="14"/>
  <c r="AA198" i="14"/>
  <c r="Z198" i="14"/>
  <c r="Y198" i="14"/>
  <c r="X198" i="14"/>
  <c r="W198" i="14"/>
  <c r="V198" i="14"/>
  <c r="U198" i="14"/>
  <c r="T198" i="14"/>
  <c r="S198" i="14"/>
  <c r="R198" i="14"/>
  <c r="Q198" i="14"/>
  <c r="P198" i="14"/>
  <c r="O198" i="14"/>
  <c r="N198" i="14"/>
  <c r="M198" i="14"/>
  <c r="L198" i="14"/>
  <c r="K198" i="14"/>
  <c r="J198" i="14"/>
  <c r="I198" i="14"/>
  <c r="H198" i="14"/>
  <c r="G198" i="14"/>
  <c r="F198" i="14"/>
  <c r="E198" i="14"/>
  <c r="D198" i="14"/>
  <c r="C198" i="14"/>
  <c r="B198" i="14"/>
  <c r="A198" i="14"/>
  <c r="AJ197" i="14"/>
  <c r="AI197" i="14"/>
  <c r="AE197" i="14"/>
  <c r="AD197" i="14"/>
  <c r="AC197" i="14"/>
  <c r="AB197" i="14"/>
  <c r="AA197" i="14"/>
  <c r="Z197" i="14"/>
  <c r="Y197" i="14"/>
  <c r="X197" i="14"/>
  <c r="W197" i="14"/>
  <c r="V197" i="14"/>
  <c r="U197" i="14"/>
  <c r="T197" i="14"/>
  <c r="S197" i="14"/>
  <c r="R197" i="14"/>
  <c r="Q197" i="14"/>
  <c r="P197" i="14"/>
  <c r="O197" i="14"/>
  <c r="N197" i="14"/>
  <c r="M197" i="14"/>
  <c r="L197" i="14"/>
  <c r="K197" i="14"/>
  <c r="J197" i="14"/>
  <c r="I197" i="14"/>
  <c r="H197" i="14"/>
  <c r="G197" i="14"/>
  <c r="F197" i="14"/>
  <c r="E197" i="14"/>
  <c r="D197" i="14"/>
  <c r="C197" i="14"/>
  <c r="B197" i="14"/>
  <c r="A197" i="14"/>
  <c r="AJ196" i="14"/>
  <c r="AI196" i="14"/>
  <c r="AE196" i="14"/>
  <c r="AD196" i="14"/>
  <c r="AC196" i="14"/>
  <c r="AB196" i="14"/>
  <c r="AA196" i="14"/>
  <c r="Z196" i="14"/>
  <c r="Y196" i="14"/>
  <c r="X196" i="14"/>
  <c r="W196" i="14"/>
  <c r="V196" i="14"/>
  <c r="U196" i="14"/>
  <c r="T196" i="14"/>
  <c r="S196" i="14"/>
  <c r="R196" i="14"/>
  <c r="Q196" i="14"/>
  <c r="P196" i="14"/>
  <c r="O196" i="14"/>
  <c r="N196" i="14"/>
  <c r="M196" i="14"/>
  <c r="L196" i="14"/>
  <c r="K196" i="14"/>
  <c r="J196" i="14"/>
  <c r="I196" i="14"/>
  <c r="H196" i="14"/>
  <c r="G196" i="14"/>
  <c r="F196" i="14"/>
  <c r="E196" i="14"/>
  <c r="D196" i="14"/>
  <c r="C196" i="14"/>
  <c r="B196" i="14"/>
  <c r="A196" i="14"/>
  <c r="AJ195" i="14"/>
  <c r="AI195" i="14"/>
  <c r="AE195" i="14"/>
  <c r="AJ194" i="14"/>
  <c r="AI194" i="14"/>
  <c r="AE194" i="14"/>
  <c r="AJ193" i="14"/>
  <c r="AI193" i="14"/>
  <c r="AE193" i="14"/>
  <c r="AJ192" i="14"/>
  <c r="AI192" i="14"/>
  <c r="AE192" i="14"/>
  <c r="AJ191" i="14"/>
  <c r="AI191" i="14"/>
  <c r="AE191" i="14"/>
  <c r="AJ190" i="14"/>
  <c r="AI190" i="14"/>
  <c r="AE190" i="14"/>
  <c r="AJ189" i="14"/>
  <c r="AI189" i="14"/>
  <c r="AE189" i="14"/>
  <c r="AJ188" i="14"/>
  <c r="AI188" i="14"/>
  <c r="AE188" i="14"/>
  <c r="AJ187" i="14"/>
  <c r="AI187" i="14"/>
  <c r="AE187" i="14"/>
  <c r="AJ186" i="14"/>
  <c r="AI186" i="14"/>
  <c r="AE186" i="14"/>
  <c r="AJ185" i="14"/>
  <c r="AI185" i="14"/>
  <c r="AE185" i="14"/>
  <c r="AJ184" i="14"/>
  <c r="AI184" i="14"/>
  <c r="AE184" i="14"/>
  <c r="AJ183" i="14"/>
  <c r="AI183" i="14"/>
  <c r="AE183" i="14"/>
  <c r="AJ182" i="14"/>
  <c r="AI182" i="14"/>
  <c r="AE182" i="14"/>
  <c r="AJ181" i="14"/>
  <c r="AI181" i="14"/>
  <c r="AE181" i="14"/>
  <c r="AJ180" i="14"/>
  <c r="AI180" i="14"/>
  <c r="AE180" i="14"/>
  <c r="AJ179" i="14"/>
  <c r="AI179" i="14"/>
  <c r="AE179" i="14"/>
  <c r="AJ178" i="14"/>
  <c r="AI178" i="14"/>
  <c r="AE178" i="14"/>
  <c r="AJ177" i="14"/>
  <c r="AI177" i="14"/>
  <c r="AE177" i="14"/>
  <c r="AJ176" i="14"/>
  <c r="AI176" i="14"/>
  <c r="AE176" i="14"/>
  <c r="AJ175" i="14"/>
  <c r="AI175" i="14"/>
  <c r="AE175" i="14"/>
  <c r="AJ174" i="14"/>
  <c r="AI174" i="14"/>
  <c r="AE174" i="14"/>
  <c r="AJ173" i="14"/>
  <c r="AI173" i="14"/>
  <c r="AE173" i="14"/>
  <c r="AJ172" i="14"/>
  <c r="AI172" i="14"/>
  <c r="AE172" i="14"/>
  <c r="AJ171" i="14"/>
  <c r="AI171" i="14"/>
  <c r="AE171" i="14"/>
  <c r="AJ170" i="14"/>
  <c r="AI170" i="14"/>
  <c r="AE170" i="14"/>
  <c r="AJ169" i="14"/>
  <c r="AI169" i="14"/>
  <c r="AE169" i="14"/>
  <c r="AJ168" i="14"/>
  <c r="AI168" i="14"/>
  <c r="AE168" i="14"/>
  <c r="AJ167" i="14"/>
  <c r="AI167" i="14"/>
  <c r="AE167" i="14"/>
  <c r="AJ166" i="14"/>
  <c r="AI166" i="14"/>
  <c r="AE166" i="14"/>
  <c r="AJ165" i="14"/>
  <c r="AI165" i="14"/>
  <c r="AH165" i="14"/>
  <c r="AG165" i="14"/>
  <c r="AF165" i="14"/>
  <c r="AE165" i="14"/>
  <c r="AD165" i="14"/>
  <c r="AC165" i="14"/>
  <c r="AB165" i="14"/>
  <c r="AA165" i="14"/>
  <c r="Z165" i="14"/>
  <c r="Y165" i="14"/>
  <c r="X165" i="14"/>
  <c r="W165" i="14"/>
  <c r="V165" i="14"/>
  <c r="U165" i="14"/>
  <c r="T165" i="14"/>
  <c r="S165" i="14"/>
  <c r="R165" i="14"/>
  <c r="Q165" i="14"/>
  <c r="P165" i="14"/>
  <c r="O165" i="14"/>
  <c r="N165" i="14"/>
  <c r="M165" i="14"/>
  <c r="L165" i="14"/>
  <c r="K165" i="14"/>
  <c r="J165" i="14"/>
  <c r="I165" i="14"/>
  <c r="H165" i="14"/>
  <c r="G165" i="14"/>
  <c r="F165" i="14"/>
  <c r="E165" i="14"/>
  <c r="D165" i="14"/>
  <c r="C165" i="14"/>
  <c r="B165" i="14"/>
  <c r="A165" i="14"/>
  <c r="AJ164" i="14"/>
  <c r="AI164" i="14"/>
  <c r="AH164" i="14"/>
  <c r="AG164" i="14"/>
  <c r="AF164" i="14"/>
  <c r="AE164" i="14"/>
  <c r="AD164" i="14"/>
  <c r="AC164" i="14"/>
  <c r="AB164" i="14"/>
  <c r="AA164" i="14"/>
  <c r="Z164" i="14"/>
  <c r="Y164" i="14"/>
  <c r="X164" i="14"/>
  <c r="W164" i="14"/>
  <c r="V164" i="14"/>
  <c r="U164" i="14"/>
  <c r="T164" i="14"/>
  <c r="S164" i="14"/>
  <c r="R164" i="14"/>
  <c r="Q164" i="14"/>
  <c r="P164" i="14"/>
  <c r="O164" i="14"/>
  <c r="N164" i="14"/>
  <c r="M164" i="14"/>
  <c r="L164" i="14"/>
  <c r="K164" i="14"/>
  <c r="J164" i="14"/>
  <c r="I164" i="14"/>
  <c r="H164" i="14"/>
  <c r="G164" i="14"/>
  <c r="F164" i="14"/>
  <c r="E164" i="14"/>
  <c r="D164" i="14"/>
  <c r="C164" i="14"/>
  <c r="B164" i="14"/>
  <c r="A164" i="14"/>
  <c r="AJ163" i="14"/>
  <c r="AI163" i="14"/>
  <c r="AH163" i="14"/>
  <c r="AG163" i="14"/>
  <c r="AF163" i="14"/>
  <c r="AE163" i="14"/>
  <c r="AD163" i="14"/>
  <c r="AC163" i="14"/>
  <c r="AB163" i="14"/>
  <c r="AA163" i="14"/>
  <c r="Z163" i="14"/>
  <c r="Y163" i="14"/>
  <c r="X163" i="14"/>
  <c r="W163" i="14"/>
  <c r="V163" i="14"/>
  <c r="U163" i="14"/>
  <c r="T163" i="14"/>
  <c r="S163" i="14"/>
  <c r="R163" i="14"/>
  <c r="Q163" i="14"/>
  <c r="P163" i="14"/>
  <c r="O163" i="14"/>
  <c r="N163" i="14"/>
  <c r="M163" i="14"/>
  <c r="L163" i="14"/>
  <c r="K163" i="14"/>
  <c r="J163" i="14"/>
  <c r="I163" i="14"/>
  <c r="H163" i="14"/>
  <c r="G163" i="14"/>
  <c r="F163" i="14"/>
  <c r="E163" i="14"/>
  <c r="D163" i="14"/>
  <c r="C163" i="14"/>
  <c r="B163" i="14"/>
  <c r="A163" i="14"/>
  <c r="AJ162" i="14"/>
  <c r="AI162" i="14"/>
  <c r="AH162" i="14"/>
  <c r="AG162" i="14"/>
  <c r="AF162" i="14"/>
  <c r="AE162" i="14"/>
  <c r="AD162" i="14"/>
  <c r="AC162" i="14"/>
  <c r="AB162" i="14"/>
  <c r="AA162" i="14"/>
  <c r="Z162" i="14"/>
  <c r="Y162" i="14"/>
  <c r="X162" i="14"/>
  <c r="W162" i="14"/>
  <c r="V162" i="14"/>
  <c r="U162" i="14"/>
  <c r="T162" i="14"/>
  <c r="S162" i="14"/>
  <c r="R162" i="14"/>
  <c r="Q162" i="14"/>
  <c r="P162" i="14"/>
  <c r="O162" i="14"/>
  <c r="N162" i="14"/>
  <c r="M162" i="14"/>
  <c r="L162" i="14"/>
  <c r="K162" i="14"/>
  <c r="J162" i="14"/>
  <c r="I162" i="14"/>
  <c r="H162" i="14"/>
  <c r="G162" i="14"/>
  <c r="F162" i="14"/>
  <c r="E162" i="14"/>
  <c r="D162" i="14"/>
  <c r="C162" i="14"/>
  <c r="B162" i="14"/>
  <c r="A162" i="14"/>
  <c r="AJ161" i="14"/>
  <c r="AI161" i="14"/>
  <c r="AH161" i="14"/>
  <c r="AG161" i="14"/>
  <c r="AF161" i="14"/>
  <c r="AE161" i="14"/>
  <c r="AD161" i="14"/>
  <c r="AC161" i="14"/>
  <c r="AB161" i="14"/>
  <c r="AA161" i="14"/>
  <c r="Z161" i="14"/>
  <c r="Y161" i="14"/>
  <c r="X161" i="14"/>
  <c r="W161" i="14"/>
  <c r="V161" i="14"/>
  <c r="U161" i="14"/>
  <c r="T161" i="14"/>
  <c r="S161" i="14"/>
  <c r="R161" i="14"/>
  <c r="Q161" i="14"/>
  <c r="P161" i="14"/>
  <c r="O161" i="14"/>
  <c r="N161" i="14"/>
  <c r="M161" i="14"/>
  <c r="L161" i="14"/>
  <c r="K161" i="14"/>
  <c r="J161" i="14"/>
  <c r="I161" i="14"/>
  <c r="H161" i="14"/>
  <c r="G161" i="14"/>
  <c r="F161" i="14"/>
  <c r="E161" i="14"/>
  <c r="D161" i="14"/>
  <c r="C161" i="14"/>
  <c r="B161" i="14"/>
  <c r="A161" i="14"/>
  <c r="AJ160" i="14"/>
  <c r="AI160" i="14"/>
  <c r="AH160" i="14"/>
  <c r="AG160" i="14"/>
  <c r="AF160" i="14"/>
  <c r="AE160" i="14"/>
  <c r="AD160" i="14"/>
  <c r="AC160" i="14"/>
  <c r="AB160" i="14"/>
  <c r="AA160" i="14"/>
  <c r="Z160" i="14"/>
  <c r="Y160" i="14"/>
  <c r="X160" i="14"/>
  <c r="W160" i="14"/>
  <c r="V160" i="14"/>
  <c r="U160" i="14"/>
  <c r="T160" i="14"/>
  <c r="S160" i="14"/>
  <c r="R160" i="14"/>
  <c r="Q160" i="14"/>
  <c r="P160" i="14"/>
  <c r="O160" i="14"/>
  <c r="N160" i="14"/>
  <c r="M160" i="14"/>
  <c r="L160" i="14"/>
  <c r="K160" i="14"/>
  <c r="J160" i="14"/>
  <c r="I160" i="14"/>
  <c r="H160" i="14"/>
  <c r="G160" i="14"/>
  <c r="F160" i="14"/>
  <c r="E160" i="14"/>
  <c r="D160" i="14"/>
  <c r="C160" i="14"/>
  <c r="B160" i="14"/>
  <c r="A160" i="14"/>
  <c r="AJ159" i="14"/>
  <c r="AI159" i="14"/>
  <c r="AH159" i="14"/>
  <c r="AG159" i="14"/>
  <c r="AF159" i="14"/>
  <c r="AE159" i="14"/>
  <c r="AD159" i="14"/>
  <c r="AC159" i="14"/>
  <c r="AB159" i="14"/>
  <c r="AA159" i="14"/>
  <c r="Z159" i="14"/>
  <c r="Y159" i="14"/>
  <c r="X159" i="14"/>
  <c r="W159" i="14"/>
  <c r="V159" i="14"/>
  <c r="U159" i="14"/>
  <c r="T159" i="14"/>
  <c r="S159" i="14"/>
  <c r="R159" i="14"/>
  <c r="Q159" i="14"/>
  <c r="P159" i="14"/>
  <c r="O159" i="14"/>
  <c r="N159" i="14"/>
  <c r="M159" i="14"/>
  <c r="L159" i="14"/>
  <c r="K159" i="14"/>
  <c r="J159" i="14"/>
  <c r="I159" i="14"/>
  <c r="H159" i="14"/>
  <c r="G159" i="14"/>
  <c r="F159" i="14"/>
  <c r="E159" i="14"/>
  <c r="D159" i="14"/>
  <c r="C159" i="14"/>
  <c r="B159" i="14"/>
  <c r="A159" i="14"/>
  <c r="AJ158" i="14"/>
  <c r="AI158" i="14"/>
  <c r="AH158" i="14"/>
  <c r="AG158" i="14"/>
  <c r="AF158" i="14"/>
  <c r="AE158" i="14"/>
  <c r="AD158" i="14"/>
  <c r="AC158" i="14"/>
  <c r="AB158" i="14"/>
  <c r="AA158" i="14"/>
  <c r="Z158" i="14"/>
  <c r="Y158" i="14"/>
  <c r="X158" i="14"/>
  <c r="W158" i="14"/>
  <c r="V158" i="14"/>
  <c r="U158" i="14"/>
  <c r="T158" i="14"/>
  <c r="S158" i="14"/>
  <c r="R158" i="14"/>
  <c r="Q158" i="14"/>
  <c r="P158" i="14"/>
  <c r="O158" i="14"/>
  <c r="N158" i="14"/>
  <c r="M158" i="14"/>
  <c r="L158" i="14"/>
  <c r="K158" i="14"/>
  <c r="J158" i="14"/>
  <c r="I158" i="14"/>
  <c r="H158" i="14"/>
  <c r="G158" i="14"/>
  <c r="F158" i="14"/>
  <c r="E158" i="14"/>
  <c r="D158" i="14"/>
  <c r="C158" i="14"/>
  <c r="B158" i="14"/>
  <c r="A158" i="14"/>
  <c r="AJ157" i="14"/>
  <c r="AI157" i="14"/>
  <c r="AH157" i="14"/>
  <c r="AG157" i="14"/>
  <c r="AF157" i="14"/>
  <c r="AE157" i="14"/>
  <c r="AD157" i="14"/>
  <c r="AC157" i="14"/>
  <c r="AB157" i="14"/>
  <c r="AA157" i="14"/>
  <c r="Z157" i="14"/>
  <c r="Y157" i="14"/>
  <c r="X157" i="14"/>
  <c r="W157" i="14"/>
  <c r="V157" i="14"/>
  <c r="U157" i="14"/>
  <c r="T157" i="14"/>
  <c r="S157" i="14"/>
  <c r="R157" i="14"/>
  <c r="Q157" i="14"/>
  <c r="P157" i="14"/>
  <c r="O157" i="14"/>
  <c r="N157" i="14"/>
  <c r="M157" i="14"/>
  <c r="L157" i="14"/>
  <c r="K157" i="14"/>
  <c r="J157" i="14"/>
  <c r="I157" i="14"/>
  <c r="H157" i="14"/>
  <c r="G157" i="14"/>
  <c r="F157" i="14"/>
  <c r="E157" i="14"/>
  <c r="D157" i="14"/>
  <c r="C157" i="14"/>
  <c r="B157" i="14"/>
  <c r="A157" i="14"/>
  <c r="AJ156" i="14"/>
  <c r="AI156" i="14"/>
  <c r="AH156" i="14"/>
  <c r="AG156" i="14"/>
  <c r="AF156" i="14"/>
  <c r="AE156" i="14"/>
  <c r="AD156" i="14"/>
  <c r="AC156" i="14"/>
  <c r="AB156" i="14"/>
  <c r="AA156" i="14"/>
  <c r="Z156" i="14"/>
  <c r="Y156" i="14"/>
  <c r="X156" i="14"/>
  <c r="W156" i="14"/>
  <c r="V156" i="14"/>
  <c r="U156" i="14"/>
  <c r="T156" i="14"/>
  <c r="S156" i="14"/>
  <c r="R156" i="14"/>
  <c r="Q156" i="14"/>
  <c r="P156" i="14"/>
  <c r="O156" i="14"/>
  <c r="N156" i="14"/>
  <c r="M156" i="14"/>
  <c r="L156" i="14"/>
  <c r="K156" i="14"/>
  <c r="J156" i="14"/>
  <c r="I156" i="14"/>
  <c r="H156" i="14"/>
  <c r="G156" i="14"/>
  <c r="F156" i="14"/>
  <c r="E156" i="14"/>
  <c r="D156" i="14"/>
  <c r="C156" i="14"/>
  <c r="B156" i="14"/>
  <c r="A156" i="14"/>
  <c r="AJ155" i="14"/>
  <c r="AI155" i="14"/>
  <c r="AH155" i="14"/>
  <c r="AG155" i="14"/>
  <c r="AF155" i="14"/>
  <c r="AE155" i="14"/>
  <c r="AD155" i="14"/>
  <c r="AC155" i="14"/>
  <c r="AB155" i="14"/>
  <c r="AA155" i="14"/>
  <c r="Z155" i="14"/>
  <c r="Y155" i="14"/>
  <c r="X155" i="14"/>
  <c r="W155" i="14"/>
  <c r="V155" i="14"/>
  <c r="U155" i="14"/>
  <c r="T155" i="14"/>
  <c r="S155" i="14"/>
  <c r="R155" i="14"/>
  <c r="Q155" i="14"/>
  <c r="P155" i="14"/>
  <c r="O155" i="14"/>
  <c r="N155" i="14"/>
  <c r="M155" i="14"/>
  <c r="L155" i="14"/>
  <c r="K155" i="14"/>
  <c r="J155" i="14"/>
  <c r="I155" i="14"/>
  <c r="H155" i="14"/>
  <c r="G155" i="14"/>
  <c r="F155" i="14"/>
  <c r="E155" i="14"/>
  <c r="D155" i="14"/>
  <c r="C155" i="14"/>
  <c r="B155" i="14"/>
  <c r="A155" i="14"/>
  <c r="AJ154" i="14"/>
  <c r="AI154" i="14"/>
  <c r="AH154" i="14"/>
  <c r="AG154" i="14"/>
  <c r="AF154" i="14"/>
  <c r="AE154" i="14"/>
  <c r="AD154" i="14"/>
  <c r="AC154" i="14"/>
  <c r="AB154" i="14"/>
  <c r="AA154" i="14"/>
  <c r="Z154" i="14"/>
  <c r="Y154" i="14"/>
  <c r="X154" i="14"/>
  <c r="W154" i="14"/>
  <c r="V154" i="14"/>
  <c r="U154" i="14"/>
  <c r="T154" i="14"/>
  <c r="S154" i="14"/>
  <c r="R154" i="14"/>
  <c r="Q154" i="14"/>
  <c r="P154" i="14"/>
  <c r="O154" i="14"/>
  <c r="N154" i="14"/>
  <c r="M154" i="14"/>
  <c r="L154" i="14"/>
  <c r="K154" i="14"/>
  <c r="J154" i="14"/>
  <c r="I154" i="14"/>
  <c r="H154" i="14"/>
  <c r="G154" i="14"/>
  <c r="F154" i="14"/>
  <c r="E154" i="14"/>
  <c r="D154" i="14"/>
  <c r="C154" i="14"/>
  <c r="B154" i="14"/>
  <c r="A154" i="14"/>
  <c r="AJ153" i="14"/>
  <c r="AI153" i="14"/>
  <c r="AH153" i="14"/>
  <c r="AG153" i="14"/>
  <c r="AF153" i="14"/>
  <c r="AE153" i="14"/>
  <c r="AD153" i="14"/>
  <c r="AC153" i="14"/>
  <c r="AB153" i="14"/>
  <c r="AA153" i="14"/>
  <c r="Z153" i="14"/>
  <c r="Y153" i="14"/>
  <c r="X153" i="14"/>
  <c r="W153" i="14"/>
  <c r="V153" i="14"/>
  <c r="U153" i="14"/>
  <c r="T153" i="14"/>
  <c r="S153" i="14"/>
  <c r="R153" i="14"/>
  <c r="Q153" i="14"/>
  <c r="P153" i="14"/>
  <c r="O153" i="14"/>
  <c r="N153" i="14"/>
  <c r="M153" i="14"/>
  <c r="L153" i="14"/>
  <c r="K153" i="14"/>
  <c r="J153" i="14"/>
  <c r="I153" i="14"/>
  <c r="H153" i="14"/>
  <c r="G153" i="14"/>
  <c r="F153" i="14"/>
  <c r="E153" i="14"/>
  <c r="D153" i="14"/>
  <c r="C153" i="14"/>
  <c r="B153" i="14"/>
  <c r="A153" i="14"/>
  <c r="AJ152" i="14"/>
  <c r="AI152" i="14"/>
  <c r="AH152" i="14"/>
  <c r="AG152" i="14"/>
  <c r="AF152" i="14"/>
  <c r="AE152" i="14"/>
  <c r="AD152" i="14"/>
  <c r="AC152" i="14"/>
  <c r="AB152" i="14"/>
  <c r="AA152" i="14"/>
  <c r="Z152" i="14"/>
  <c r="Y152" i="14"/>
  <c r="X152" i="14"/>
  <c r="W152" i="14"/>
  <c r="V152" i="14"/>
  <c r="U152" i="14"/>
  <c r="T152" i="14"/>
  <c r="S152" i="14"/>
  <c r="R152" i="14"/>
  <c r="Q152" i="14"/>
  <c r="P152" i="14"/>
  <c r="O152" i="14"/>
  <c r="N152" i="14"/>
  <c r="M152" i="14"/>
  <c r="L152" i="14"/>
  <c r="K152" i="14"/>
  <c r="J152" i="14"/>
  <c r="I152" i="14"/>
  <c r="H152" i="14"/>
  <c r="G152" i="14"/>
  <c r="F152" i="14"/>
  <c r="E152" i="14"/>
  <c r="D152" i="14"/>
  <c r="C152" i="14"/>
  <c r="B152" i="14"/>
  <c r="A152" i="14"/>
  <c r="AJ151" i="14"/>
  <c r="AI151" i="14"/>
  <c r="AH151" i="14"/>
  <c r="AG151" i="14"/>
  <c r="AF151" i="14"/>
  <c r="AE151" i="14"/>
  <c r="AD151" i="14"/>
  <c r="AC151" i="14"/>
  <c r="AB151" i="14"/>
  <c r="AA151" i="14"/>
  <c r="Z151" i="14"/>
  <c r="Y151" i="14"/>
  <c r="X151" i="14"/>
  <c r="W151" i="14"/>
  <c r="V151" i="14"/>
  <c r="U151" i="14"/>
  <c r="T151" i="14"/>
  <c r="S151" i="14"/>
  <c r="R151" i="14"/>
  <c r="Q151" i="14"/>
  <c r="P151" i="14"/>
  <c r="O151" i="14"/>
  <c r="N151" i="14"/>
  <c r="M151" i="14"/>
  <c r="L151" i="14"/>
  <c r="K151" i="14"/>
  <c r="J151" i="14"/>
  <c r="I151" i="14"/>
  <c r="H151" i="14"/>
  <c r="G151" i="14"/>
  <c r="F151" i="14"/>
  <c r="E151" i="14"/>
  <c r="D151" i="14"/>
  <c r="C151" i="14"/>
  <c r="B151" i="14"/>
  <c r="A151" i="14"/>
  <c r="AJ150" i="14"/>
  <c r="AI150" i="14"/>
  <c r="AH150" i="14"/>
  <c r="AG150" i="14"/>
  <c r="AF150" i="14"/>
  <c r="AE150" i="14"/>
  <c r="AD150" i="14"/>
  <c r="AC150" i="14"/>
  <c r="AB150" i="14"/>
  <c r="AA150" i="14"/>
  <c r="Z150" i="14"/>
  <c r="Y150" i="14"/>
  <c r="X150" i="14"/>
  <c r="W150" i="14"/>
  <c r="V150" i="14"/>
  <c r="U150" i="14"/>
  <c r="T150" i="14"/>
  <c r="S150" i="14"/>
  <c r="R150" i="14"/>
  <c r="Q150" i="14"/>
  <c r="P150" i="14"/>
  <c r="O150" i="14"/>
  <c r="N150" i="14"/>
  <c r="M150" i="14"/>
  <c r="L150" i="14"/>
  <c r="K150" i="14"/>
  <c r="J150" i="14"/>
  <c r="I150" i="14"/>
  <c r="H150" i="14"/>
  <c r="G150" i="14"/>
  <c r="F150" i="14"/>
  <c r="E150" i="14"/>
  <c r="D150" i="14"/>
  <c r="C150" i="14"/>
  <c r="B150" i="14"/>
  <c r="A150" i="14"/>
  <c r="AJ149" i="14"/>
  <c r="AI149" i="14"/>
  <c r="AH149" i="14"/>
  <c r="AG149" i="14"/>
  <c r="AF149" i="14"/>
  <c r="AE149" i="14"/>
  <c r="AD149" i="14"/>
  <c r="AC149" i="14"/>
  <c r="AB149" i="14"/>
  <c r="AA149" i="14"/>
  <c r="Z149" i="14"/>
  <c r="Y149" i="14"/>
  <c r="X149" i="14"/>
  <c r="W149" i="14"/>
  <c r="V149" i="14"/>
  <c r="U149" i="14"/>
  <c r="T149" i="14"/>
  <c r="S149" i="14"/>
  <c r="R149" i="14"/>
  <c r="Q149" i="14"/>
  <c r="P149" i="14"/>
  <c r="O149" i="14"/>
  <c r="N149" i="14"/>
  <c r="M149" i="14"/>
  <c r="L149" i="14"/>
  <c r="K149" i="14"/>
  <c r="J149" i="14"/>
  <c r="I149" i="14"/>
  <c r="H149" i="14"/>
  <c r="G149" i="14"/>
  <c r="F149" i="14"/>
  <c r="E149" i="14"/>
  <c r="D149" i="14"/>
  <c r="C149" i="14"/>
  <c r="B149" i="14"/>
  <c r="A149" i="14"/>
  <c r="AJ148" i="14"/>
  <c r="AI148" i="14"/>
  <c r="AH148" i="14"/>
  <c r="AG148" i="14"/>
  <c r="AF148" i="14"/>
  <c r="AE148" i="14"/>
  <c r="AD148" i="14"/>
  <c r="AC148" i="14"/>
  <c r="AB148" i="14"/>
  <c r="AA148" i="14"/>
  <c r="Z148" i="14"/>
  <c r="Y148" i="14"/>
  <c r="X148" i="14"/>
  <c r="W148" i="14"/>
  <c r="V148" i="14"/>
  <c r="U148" i="14"/>
  <c r="T148" i="14"/>
  <c r="S148" i="14"/>
  <c r="R148" i="14"/>
  <c r="Q148" i="14"/>
  <c r="P148" i="14"/>
  <c r="O148" i="14"/>
  <c r="N148" i="14"/>
  <c r="M148" i="14"/>
  <c r="L148" i="14"/>
  <c r="K148" i="14"/>
  <c r="J148" i="14"/>
  <c r="I148" i="14"/>
  <c r="H148" i="14"/>
  <c r="G148" i="14"/>
  <c r="F148" i="14"/>
  <c r="E148" i="14"/>
  <c r="D148" i="14"/>
  <c r="C148" i="14"/>
  <c r="B148" i="14"/>
  <c r="A148" i="14"/>
  <c r="AJ147" i="14"/>
  <c r="AI147" i="14"/>
  <c r="AH147" i="14"/>
  <c r="AG147" i="14"/>
  <c r="AF147" i="14"/>
  <c r="AE147" i="14"/>
  <c r="AD147" i="14"/>
  <c r="AC147" i="14"/>
  <c r="AB147" i="14"/>
  <c r="AA147" i="14"/>
  <c r="Z147" i="14"/>
  <c r="Y147" i="14"/>
  <c r="X147" i="14"/>
  <c r="W147" i="14"/>
  <c r="V147" i="14"/>
  <c r="U147" i="14"/>
  <c r="T147" i="14"/>
  <c r="S147" i="14"/>
  <c r="R147" i="14"/>
  <c r="Q147" i="14"/>
  <c r="P147" i="14"/>
  <c r="O147" i="14"/>
  <c r="N147" i="14"/>
  <c r="M147" i="14"/>
  <c r="L147" i="14"/>
  <c r="K147" i="14"/>
  <c r="J147" i="14"/>
  <c r="I147" i="14"/>
  <c r="H147" i="14"/>
  <c r="G147" i="14"/>
  <c r="F147" i="14"/>
  <c r="E147" i="14"/>
  <c r="D147" i="14"/>
  <c r="C147" i="14"/>
  <c r="B147" i="14"/>
  <c r="A147" i="14"/>
  <c r="AJ146" i="14"/>
  <c r="AI146" i="14"/>
  <c r="AH146" i="14"/>
  <c r="AG146" i="14"/>
  <c r="AF146" i="14"/>
  <c r="AE146" i="14"/>
  <c r="AD146" i="14"/>
  <c r="AC146" i="14"/>
  <c r="AB146" i="14"/>
  <c r="AA146" i="14"/>
  <c r="Z146" i="14"/>
  <c r="Y146" i="14"/>
  <c r="X146" i="14"/>
  <c r="W146" i="14"/>
  <c r="V146" i="14"/>
  <c r="U146" i="14"/>
  <c r="T146" i="14"/>
  <c r="S146" i="14"/>
  <c r="R146" i="14"/>
  <c r="Q146" i="14"/>
  <c r="P146" i="14"/>
  <c r="O146" i="14"/>
  <c r="N146" i="14"/>
  <c r="M146" i="14"/>
  <c r="L146" i="14"/>
  <c r="K146" i="14"/>
  <c r="J146" i="14"/>
  <c r="I146" i="14"/>
  <c r="H146" i="14"/>
  <c r="G146" i="14"/>
  <c r="F146" i="14"/>
  <c r="E146" i="14"/>
  <c r="D146" i="14"/>
  <c r="C146" i="14"/>
  <c r="B146" i="14"/>
  <c r="A146" i="14"/>
  <c r="AJ145" i="14"/>
  <c r="AI145" i="14"/>
  <c r="AH145" i="14"/>
  <c r="AG145" i="14"/>
  <c r="AF145" i="14"/>
  <c r="AE145" i="14"/>
  <c r="AD145" i="14"/>
  <c r="AC145" i="14"/>
  <c r="AB145" i="14"/>
  <c r="AA145" i="14"/>
  <c r="Z145" i="14"/>
  <c r="Y145" i="14"/>
  <c r="X145" i="14"/>
  <c r="W145" i="14"/>
  <c r="V145" i="14"/>
  <c r="U145" i="14"/>
  <c r="T145" i="14"/>
  <c r="S145" i="14"/>
  <c r="R145" i="14"/>
  <c r="Q145" i="14"/>
  <c r="P145" i="14"/>
  <c r="O145" i="14"/>
  <c r="N145" i="14"/>
  <c r="M145" i="14"/>
  <c r="L145" i="14"/>
  <c r="K145" i="14"/>
  <c r="J145" i="14"/>
  <c r="I145" i="14"/>
  <c r="H145" i="14"/>
  <c r="G145" i="14"/>
  <c r="F145" i="14"/>
  <c r="E145" i="14"/>
  <c r="D145" i="14"/>
  <c r="C145" i="14"/>
  <c r="B145" i="14"/>
  <c r="A145" i="14"/>
  <c r="AJ144" i="14"/>
  <c r="AI144" i="14"/>
  <c r="AH144" i="14"/>
  <c r="AG144" i="14"/>
  <c r="AF144" i="14"/>
  <c r="AE144" i="14"/>
  <c r="AD144" i="14"/>
  <c r="AC144" i="14"/>
  <c r="AB144" i="14"/>
  <c r="AA144" i="14"/>
  <c r="Z144" i="14"/>
  <c r="Y144" i="14"/>
  <c r="X144" i="14"/>
  <c r="W144" i="14"/>
  <c r="V144" i="14"/>
  <c r="U144" i="14"/>
  <c r="T144" i="14"/>
  <c r="S144" i="14"/>
  <c r="R144" i="14"/>
  <c r="Q144" i="14"/>
  <c r="P144" i="14"/>
  <c r="O144" i="14"/>
  <c r="N144" i="14"/>
  <c r="M144" i="14"/>
  <c r="L144" i="14"/>
  <c r="K144" i="14"/>
  <c r="J144" i="14"/>
  <c r="I144" i="14"/>
  <c r="H144" i="14"/>
  <c r="G144" i="14"/>
  <c r="F144" i="14"/>
  <c r="E144" i="14"/>
  <c r="D144" i="14"/>
  <c r="C144" i="14"/>
  <c r="B144" i="14"/>
  <c r="A144" i="14"/>
  <c r="AJ143" i="14"/>
  <c r="AI143" i="14"/>
  <c r="AH143" i="14"/>
  <c r="AG143" i="14"/>
  <c r="AF143" i="14"/>
  <c r="AE143" i="14"/>
  <c r="AD143" i="14"/>
  <c r="AC143" i="14"/>
  <c r="AB143" i="14"/>
  <c r="AA143" i="14"/>
  <c r="Z143" i="14"/>
  <c r="Y143" i="14"/>
  <c r="X143" i="14"/>
  <c r="W143" i="14"/>
  <c r="V143" i="14"/>
  <c r="U143" i="14"/>
  <c r="T143" i="14"/>
  <c r="S143" i="14"/>
  <c r="R143" i="14"/>
  <c r="Q143" i="14"/>
  <c r="P143" i="14"/>
  <c r="O143" i="14"/>
  <c r="N143" i="14"/>
  <c r="M143" i="14"/>
  <c r="L143" i="14"/>
  <c r="K143" i="14"/>
  <c r="J143" i="14"/>
  <c r="I143" i="14"/>
  <c r="H143" i="14"/>
  <c r="G143" i="14"/>
  <c r="F143" i="14"/>
  <c r="E143" i="14"/>
  <c r="D143" i="14"/>
  <c r="C143" i="14"/>
  <c r="B143" i="14"/>
  <c r="A143" i="14"/>
  <c r="AJ142" i="14"/>
  <c r="AI142" i="14"/>
  <c r="AH142" i="14"/>
  <c r="AG142" i="14"/>
  <c r="AF142" i="14"/>
  <c r="AE142" i="14"/>
  <c r="AD142" i="14"/>
  <c r="AC142" i="14"/>
  <c r="AB142" i="14"/>
  <c r="AA142" i="14"/>
  <c r="Z142" i="14"/>
  <c r="Y142" i="14"/>
  <c r="X142" i="14"/>
  <c r="W142" i="14"/>
  <c r="V142" i="14"/>
  <c r="U142" i="14"/>
  <c r="T142" i="14"/>
  <c r="S142" i="14"/>
  <c r="R142" i="14"/>
  <c r="Q142" i="14"/>
  <c r="P142" i="14"/>
  <c r="O142" i="14"/>
  <c r="N142" i="14"/>
  <c r="M142" i="14"/>
  <c r="L142" i="14"/>
  <c r="K142" i="14"/>
  <c r="J142" i="14"/>
  <c r="I142" i="14"/>
  <c r="H142" i="14"/>
  <c r="G142" i="14"/>
  <c r="F142" i="14"/>
  <c r="E142" i="14"/>
  <c r="D142" i="14"/>
  <c r="C142" i="14"/>
  <c r="B142" i="14"/>
  <c r="A142" i="14"/>
  <c r="AJ141" i="14"/>
  <c r="AI141" i="14"/>
  <c r="AH141" i="14"/>
  <c r="AG141" i="14"/>
  <c r="AF141" i="14"/>
  <c r="AE141" i="14"/>
  <c r="AD141" i="14"/>
  <c r="AC141" i="14"/>
  <c r="AB141" i="14"/>
  <c r="AA141" i="14"/>
  <c r="Z141" i="14"/>
  <c r="Y141" i="14"/>
  <c r="X141" i="14"/>
  <c r="W141" i="14"/>
  <c r="V141" i="14"/>
  <c r="U141" i="14"/>
  <c r="T141" i="14"/>
  <c r="S141" i="14"/>
  <c r="R141" i="14"/>
  <c r="Q141" i="14"/>
  <c r="P141" i="14"/>
  <c r="O141" i="14"/>
  <c r="N141" i="14"/>
  <c r="M141" i="14"/>
  <c r="L141" i="14"/>
  <c r="K141" i="14"/>
  <c r="J141" i="14"/>
  <c r="I141" i="14"/>
  <c r="H141" i="14"/>
  <c r="G141" i="14"/>
  <c r="F141" i="14"/>
  <c r="E141" i="14"/>
  <c r="D141" i="14"/>
  <c r="C141" i="14"/>
  <c r="B141" i="14"/>
  <c r="A141" i="14"/>
  <c r="AJ140" i="14"/>
  <c r="AI140" i="14"/>
  <c r="AH140" i="14"/>
  <c r="AG140" i="14"/>
  <c r="AF140" i="14"/>
  <c r="AE140" i="14"/>
  <c r="AD140" i="14"/>
  <c r="AC140" i="14"/>
  <c r="AB140" i="14"/>
  <c r="AA140" i="14"/>
  <c r="Z140" i="14"/>
  <c r="Y140" i="14"/>
  <c r="X140" i="14"/>
  <c r="W140" i="14"/>
  <c r="V140" i="14"/>
  <c r="U140" i="14"/>
  <c r="T140" i="14"/>
  <c r="S140" i="14"/>
  <c r="R140" i="14"/>
  <c r="Q140" i="14"/>
  <c r="P140" i="14"/>
  <c r="O140" i="14"/>
  <c r="N140" i="14"/>
  <c r="M140" i="14"/>
  <c r="L140" i="14"/>
  <c r="K140" i="14"/>
  <c r="J140" i="14"/>
  <c r="I140" i="14"/>
  <c r="H140" i="14"/>
  <c r="G140" i="14"/>
  <c r="F140" i="14"/>
  <c r="E140" i="14"/>
  <c r="D140" i="14"/>
  <c r="C140" i="14"/>
  <c r="B140" i="14"/>
  <c r="A140" i="14"/>
  <c r="AJ139" i="14"/>
  <c r="AI139" i="14"/>
  <c r="AH139" i="14"/>
  <c r="AG139" i="14"/>
  <c r="AF139" i="14"/>
  <c r="AE139" i="14"/>
  <c r="AD139" i="14"/>
  <c r="AC139" i="14"/>
  <c r="AB139" i="14"/>
  <c r="AA139" i="14"/>
  <c r="Z139" i="14"/>
  <c r="Y139" i="14"/>
  <c r="X139" i="14"/>
  <c r="W139" i="14"/>
  <c r="V139" i="14"/>
  <c r="U139" i="14"/>
  <c r="T139" i="14"/>
  <c r="S139" i="14"/>
  <c r="R139" i="14"/>
  <c r="Q139" i="14"/>
  <c r="P139" i="14"/>
  <c r="O139" i="14"/>
  <c r="N139" i="14"/>
  <c r="M139" i="14"/>
  <c r="L139" i="14"/>
  <c r="K139" i="14"/>
  <c r="J139" i="14"/>
  <c r="I139" i="14"/>
  <c r="H139" i="14"/>
  <c r="G139" i="14"/>
  <c r="F139" i="14"/>
  <c r="E139" i="14"/>
  <c r="D139" i="14"/>
  <c r="C139" i="14"/>
  <c r="B139" i="14"/>
  <c r="A139" i="14"/>
  <c r="AJ138" i="14"/>
  <c r="AI138" i="14"/>
  <c r="AH138" i="14"/>
  <c r="AG138" i="14"/>
  <c r="AF138" i="14"/>
  <c r="AE138" i="14"/>
  <c r="AD138" i="14"/>
  <c r="AC138" i="14"/>
  <c r="AB138" i="14"/>
  <c r="AA138" i="14"/>
  <c r="Z138" i="14"/>
  <c r="Y138" i="14"/>
  <c r="X138" i="14"/>
  <c r="W138" i="14"/>
  <c r="V138" i="14"/>
  <c r="U138" i="14"/>
  <c r="T138" i="14"/>
  <c r="S138" i="14"/>
  <c r="R138" i="14"/>
  <c r="Q138" i="14"/>
  <c r="P138" i="14"/>
  <c r="O138" i="14"/>
  <c r="N138" i="14"/>
  <c r="M138" i="14"/>
  <c r="L138" i="14"/>
  <c r="K138" i="14"/>
  <c r="J138" i="14"/>
  <c r="I138" i="14"/>
  <c r="H138" i="14"/>
  <c r="G138" i="14"/>
  <c r="F138" i="14"/>
  <c r="E138" i="14"/>
  <c r="D138" i="14"/>
  <c r="C138" i="14"/>
  <c r="B138" i="14"/>
  <c r="A138" i="14"/>
  <c r="AJ137" i="14"/>
  <c r="AI137" i="14"/>
  <c r="AH137" i="14"/>
  <c r="AG137" i="14"/>
  <c r="AF137" i="14"/>
  <c r="AE137" i="14"/>
  <c r="AD137" i="14"/>
  <c r="AC137" i="14"/>
  <c r="AB137" i="14"/>
  <c r="AA137" i="14"/>
  <c r="Z137" i="14"/>
  <c r="Y137" i="14"/>
  <c r="X137" i="14"/>
  <c r="W137" i="14"/>
  <c r="V137" i="14"/>
  <c r="U137" i="14"/>
  <c r="T137" i="14"/>
  <c r="S137" i="14"/>
  <c r="R137" i="14"/>
  <c r="Q137" i="14"/>
  <c r="P137" i="14"/>
  <c r="O137" i="14"/>
  <c r="N137" i="14"/>
  <c r="M137" i="14"/>
  <c r="L137" i="14"/>
  <c r="K137" i="14"/>
  <c r="J137" i="14"/>
  <c r="I137" i="14"/>
  <c r="H137" i="14"/>
  <c r="G137" i="14"/>
  <c r="F137" i="14"/>
  <c r="E137" i="14"/>
  <c r="D137" i="14"/>
  <c r="C137" i="14"/>
  <c r="B137" i="14"/>
  <c r="A137" i="14"/>
  <c r="AJ136" i="14"/>
  <c r="AI136" i="14"/>
  <c r="AH136" i="14"/>
  <c r="AG136" i="14"/>
  <c r="AF136" i="14"/>
  <c r="AE136" i="14"/>
  <c r="AD136" i="14"/>
  <c r="AC136" i="14"/>
  <c r="AB136" i="14"/>
  <c r="AA136" i="14"/>
  <c r="Z136" i="14"/>
  <c r="Y136" i="14"/>
  <c r="X136" i="14"/>
  <c r="W136" i="14"/>
  <c r="V136" i="14"/>
  <c r="U136" i="14"/>
  <c r="T136" i="14"/>
  <c r="S136" i="14"/>
  <c r="R136" i="14"/>
  <c r="Q136" i="14"/>
  <c r="P136" i="14"/>
  <c r="O136" i="14"/>
  <c r="N136" i="14"/>
  <c r="M136" i="14"/>
  <c r="L136" i="14"/>
  <c r="K136" i="14"/>
  <c r="J136" i="14"/>
  <c r="I136" i="14"/>
  <c r="H136" i="14"/>
  <c r="G136" i="14"/>
  <c r="F136" i="14"/>
  <c r="E136" i="14"/>
  <c r="D136" i="14"/>
  <c r="C136" i="14"/>
  <c r="B136" i="14"/>
  <c r="A136" i="14"/>
  <c r="AJ135" i="14"/>
  <c r="AI135" i="14"/>
  <c r="AH135" i="14"/>
  <c r="AG135" i="14"/>
  <c r="AF135" i="14"/>
  <c r="AE135" i="14"/>
  <c r="AD135" i="14"/>
  <c r="AC135" i="14"/>
  <c r="AB135" i="14"/>
  <c r="AA135" i="14"/>
  <c r="Z135" i="14"/>
  <c r="Y135" i="14"/>
  <c r="X135" i="14"/>
  <c r="W135" i="14"/>
  <c r="V135" i="14"/>
  <c r="U135" i="14"/>
  <c r="T135" i="14"/>
  <c r="S135" i="14"/>
  <c r="R135" i="14"/>
  <c r="Q135" i="14"/>
  <c r="P135" i="14"/>
  <c r="O135" i="14"/>
  <c r="N135" i="14"/>
  <c r="M135" i="14"/>
  <c r="L135" i="14"/>
  <c r="K135" i="14"/>
  <c r="J135" i="14"/>
  <c r="I135" i="14"/>
  <c r="H135" i="14"/>
  <c r="G135" i="14"/>
  <c r="F135" i="14"/>
  <c r="E135" i="14"/>
  <c r="D135" i="14"/>
  <c r="C135" i="14"/>
  <c r="B135" i="14"/>
  <c r="A135" i="14"/>
  <c r="AJ134" i="14"/>
  <c r="AI134" i="14"/>
  <c r="AH134" i="14"/>
  <c r="AG134" i="14"/>
  <c r="AF134" i="14"/>
  <c r="AE134" i="14"/>
  <c r="AD134" i="14"/>
  <c r="AC134" i="14"/>
  <c r="AB134" i="14"/>
  <c r="AA134" i="14"/>
  <c r="Z134" i="14"/>
  <c r="Y134" i="14"/>
  <c r="X134" i="14"/>
  <c r="W134" i="14"/>
  <c r="V134" i="14"/>
  <c r="U134" i="14"/>
  <c r="T134" i="14"/>
  <c r="S134" i="14"/>
  <c r="R134" i="14"/>
  <c r="Q134" i="14"/>
  <c r="P134" i="14"/>
  <c r="O134" i="14"/>
  <c r="N134" i="14"/>
  <c r="M134" i="14"/>
  <c r="L134" i="14"/>
  <c r="K134" i="14"/>
  <c r="J134" i="14"/>
  <c r="I134" i="14"/>
  <c r="H134" i="14"/>
  <c r="G134" i="14"/>
  <c r="F134" i="14"/>
  <c r="E134" i="14"/>
  <c r="D134" i="14"/>
  <c r="C134" i="14"/>
  <c r="B134" i="14"/>
  <c r="A134" i="14"/>
  <c r="AJ133" i="14"/>
  <c r="AI133" i="14"/>
  <c r="AH133" i="14"/>
  <c r="AG133" i="14"/>
  <c r="AF133" i="14"/>
  <c r="AE133" i="14"/>
  <c r="AD133" i="14"/>
  <c r="AC133" i="14"/>
  <c r="AB133" i="14"/>
  <c r="AA133" i="14"/>
  <c r="Z133" i="14"/>
  <c r="Y133" i="14"/>
  <c r="X133" i="14"/>
  <c r="W133" i="14"/>
  <c r="V133" i="14"/>
  <c r="U133" i="14"/>
  <c r="T133" i="14"/>
  <c r="S133" i="14"/>
  <c r="R133" i="14"/>
  <c r="Q133" i="14"/>
  <c r="P133" i="14"/>
  <c r="O133" i="14"/>
  <c r="N133" i="14"/>
  <c r="M133" i="14"/>
  <c r="L133" i="14"/>
  <c r="K133" i="14"/>
  <c r="J133" i="14"/>
  <c r="I133" i="14"/>
  <c r="H133" i="14"/>
  <c r="G133" i="14"/>
  <c r="F133" i="14"/>
  <c r="E133" i="14"/>
  <c r="D133" i="14"/>
  <c r="C133" i="14"/>
  <c r="B133" i="14"/>
  <c r="A133" i="14"/>
  <c r="AJ132" i="14"/>
  <c r="AI132" i="14"/>
  <c r="AH132" i="14"/>
  <c r="AG132" i="14"/>
  <c r="AF132" i="14"/>
  <c r="AE132" i="14"/>
  <c r="AD132" i="14"/>
  <c r="AC132" i="14"/>
  <c r="AB132" i="14"/>
  <c r="AA132" i="14"/>
  <c r="Z132" i="14"/>
  <c r="Y132" i="14"/>
  <c r="X132" i="14"/>
  <c r="W132" i="14"/>
  <c r="V132" i="14"/>
  <c r="U132" i="14"/>
  <c r="T132" i="14"/>
  <c r="S132" i="14"/>
  <c r="R132" i="14"/>
  <c r="Q132" i="14"/>
  <c r="P132" i="14"/>
  <c r="O132" i="14"/>
  <c r="N132" i="14"/>
  <c r="M132" i="14"/>
  <c r="L132" i="14"/>
  <c r="K132" i="14"/>
  <c r="J132" i="14"/>
  <c r="I132" i="14"/>
  <c r="H132" i="14"/>
  <c r="G132" i="14"/>
  <c r="F132" i="14"/>
  <c r="E132" i="14"/>
  <c r="D132" i="14"/>
  <c r="C132" i="14"/>
  <c r="B132" i="14"/>
  <c r="A132" i="14"/>
  <c r="AJ131" i="14"/>
  <c r="AI131" i="14"/>
  <c r="AH131" i="14"/>
  <c r="AG131" i="14"/>
  <c r="AF131" i="14"/>
  <c r="AE131" i="14"/>
  <c r="AD131" i="14"/>
  <c r="AC131" i="14"/>
  <c r="AB131" i="14"/>
  <c r="AA131" i="14"/>
  <c r="Z131" i="14"/>
  <c r="Y131" i="14"/>
  <c r="X131" i="14"/>
  <c r="W131" i="14"/>
  <c r="V131" i="14"/>
  <c r="U131" i="14"/>
  <c r="T131" i="14"/>
  <c r="S131" i="14"/>
  <c r="R131" i="14"/>
  <c r="Q131" i="14"/>
  <c r="P131" i="14"/>
  <c r="O131" i="14"/>
  <c r="N131" i="14"/>
  <c r="M131" i="14"/>
  <c r="L131" i="14"/>
  <c r="K131" i="14"/>
  <c r="J131" i="14"/>
  <c r="I131" i="14"/>
  <c r="H131" i="14"/>
  <c r="G131" i="14"/>
  <c r="F131" i="14"/>
  <c r="E131" i="14"/>
  <c r="D131" i="14"/>
  <c r="C131" i="14"/>
  <c r="B131" i="14"/>
  <c r="A131" i="14"/>
  <c r="AJ130" i="14"/>
  <c r="AI130" i="14"/>
  <c r="AH130" i="14"/>
  <c r="AG130" i="14"/>
  <c r="AF130" i="14"/>
  <c r="AE130" i="14"/>
  <c r="AD130" i="14"/>
  <c r="AC130" i="14"/>
  <c r="AB130" i="14"/>
  <c r="AA130" i="14"/>
  <c r="Z130" i="14"/>
  <c r="Y130" i="14"/>
  <c r="X130" i="14"/>
  <c r="W130" i="14"/>
  <c r="V130" i="14"/>
  <c r="U130" i="14"/>
  <c r="T130" i="14"/>
  <c r="S130" i="14"/>
  <c r="R130" i="14"/>
  <c r="Q130" i="14"/>
  <c r="P130" i="14"/>
  <c r="O130" i="14"/>
  <c r="N130" i="14"/>
  <c r="M130" i="14"/>
  <c r="L130" i="14"/>
  <c r="K130" i="14"/>
  <c r="J130" i="14"/>
  <c r="I130" i="14"/>
  <c r="H130" i="14"/>
  <c r="G130" i="14"/>
  <c r="F130" i="14"/>
  <c r="E130" i="14"/>
  <c r="D130" i="14"/>
  <c r="C130" i="14"/>
  <c r="B130" i="14"/>
  <c r="A130" i="14"/>
  <c r="AJ129" i="14"/>
  <c r="AI129" i="14"/>
  <c r="AH129" i="14"/>
  <c r="AG129" i="14"/>
  <c r="AF129" i="14"/>
  <c r="AE129" i="14"/>
  <c r="AD129" i="14"/>
  <c r="AC129" i="14"/>
  <c r="AB129" i="14"/>
  <c r="AA129" i="14"/>
  <c r="Z129" i="14"/>
  <c r="Y129" i="14"/>
  <c r="X129" i="14"/>
  <c r="W129" i="14"/>
  <c r="V129" i="14"/>
  <c r="U129" i="14"/>
  <c r="T129" i="14"/>
  <c r="S129" i="14"/>
  <c r="R129" i="14"/>
  <c r="Q129" i="14"/>
  <c r="P129" i="14"/>
  <c r="O129" i="14"/>
  <c r="N129" i="14"/>
  <c r="M129" i="14"/>
  <c r="L129" i="14"/>
  <c r="K129" i="14"/>
  <c r="J129" i="14"/>
  <c r="I129" i="14"/>
  <c r="H129" i="14"/>
  <c r="G129" i="14"/>
  <c r="F129" i="14"/>
  <c r="E129" i="14"/>
  <c r="D129" i="14"/>
  <c r="C129" i="14"/>
  <c r="B129" i="14"/>
  <c r="A129" i="14"/>
  <c r="AJ128" i="14"/>
  <c r="AI128" i="14"/>
  <c r="AH128" i="14"/>
  <c r="AG128" i="14"/>
  <c r="AF128" i="14"/>
  <c r="AE128" i="14"/>
  <c r="AD128" i="14"/>
  <c r="AC128" i="14"/>
  <c r="AB128" i="14"/>
  <c r="AA128" i="14"/>
  <c r="Z128" i="14"/>
  <c r="Y128" i="14"/>
  <c r="X128" i="14"/>
  <c r="W128" i="14"/>
  <c r="V128" i="14"/>
  <c r="U128" i="14"/>
  <c r="T128" i="14"/>
  <c r="S128" i="14"/>
  <c r="R128" i="14"/>
  <c r="Q128" i="14"/>
  <c r="P128" i="14"/>
  <c r="O128" i="14"/>
  <c r="N128" i="14"/>
  <c r="M128" i="14"/>
  <c r="L128" i="14"/>
  <c r="K128" i="14"/>
  <c r="J128" i="14"/>
  <c r="I128" i="14"/>
  <c r="H128" i="14"/>
  <c r="G128" i="14"/>
  <c r="F128" i="14"/>
  <c r="E128" i="14"/>
  <c r="D128" i="14"/>
  <c r="C128" i="14"/>
  <c r="B128" i="14"/>
  <c r="A128" i="14"/>
  <c r="AJ127" i="14"/>
  <c r="AI127" i="14"/>
  <c r="AH127" i="14"/>
  <c r="AG127" i="14"/>
  <c r="AF127" i="14"/>
  <c r="AE127" i="14"/>
  <c r="AD127" i="14"/>
  <c r="AC127" i="14"/>
  <c r="AB127" i="14"/>
  <c r="AA127" i="14"/>
  <c r="Z127" i="14"/>
  <c r="Y127" i="14"/>
  <c r="X127" i="14"/>
  <c r="W127" i="14"/>
  <c r="V127" i="14"/>
  <c r="U127" i="14"/>
  <c r="T127" i="14"/>
  <c r="S127" i="14"/>
  <c r="R127" i="14"/>
  <c r="Q127" i="14"/>
  <c r="P127" i="14"/>
  <c r="O127" i="14"/>
  <c r="N127" i="14"/>
  <c r="M127" i="14"/>
  <c r="L127" i="14"/>
  <c r="K127" i="14"/>
  <c r="J127" i="14"/>
  <c r="I127" i="14"/>
  <c r="H127" i="14"/>
  <c r="G127" i="14"/>
  <c r="F127" i="14"/>
  <c r="E127" i="14"/>
  <c r="D127" i="14"/>
  <c r="C127" i="14"/>
  <c r="B127" i="14"/>
  <c r="A127" i="14"/>
  <c r="AJ126" i="14"/>
  <c r="AI126" i="14"/>
  <c r="AH126" i="14"/>
  <c r="AG126" i="14"/>
  <c r="AF126" i="14"/>
  <c r="AE126" i="14"/>
  <c r="AD126" i="14"/>
  <c r="AC126" i="14"/>
  <c r="AB126" i="14"/>
  <c r="AA126" i="14"/>
  <c r="Z126" i="14"/>
  <c r="Y126" i="14"/>
  <c r="X126" i="14"/>
  <c r="W126" i="14"/>
  <c r="V126" i="14"/>
  <c r="U126" i="14"/>
  <c r="T126" i="14"/>
  <c r="S126" i="14"/>
  <c r="R126" i="14"/>
  <c r="Q126" i="14"/>
  <c r="P126" i="14"/>
  <c r="O126" i="14"/>
  <c r="N126" i="14"/>
  <c r="M126" i="14"/>
  <c r="L126" i="14"/>
  <c r="K126" i="14"/>
  <c r="J126" i="14"/>
  <c r="I126" i="14"/>
  <c r="H126" i="14"/>
  <c r="G126" i="14"/>
  <c r="F126" i="14"/>
  <c r="E126" i="14"/>
  <c r="D126" i="14"/>
  <c r="C126" i="14"/>
  <c r="B126" i="14"/>
  <c r="A126" i="14"/>
  <c r="AJ125" i="14"/>
  <c r="AI125" i="14"/>
  <c r="AH125" i="14"/>
  <c r="AG125" i="14"/>
  <c r="AF125" i="14"/>
  <c r="AE125" i="14"/>
  <c r="AD125" i="14"/>
  <c r="AC125" i="14"/>
  <c r="AB125" i="14"/>
  <c r="AA125" i="14"/>
  <c r="Z125" i="14"/>
  <c r="Y125" i="14"/>
  <c r="X125" i="14"/>
  <c r="W125" i="14"/>
  <c r="V125" i="14"/>
  <c r="U125" i="14"/>
  <c r="T125" i="14"/>
  <c r="S125" i="14"/>
  <c r="R125" i="14"/>
  <c r="Q125" i="14"/>
  <c r="P125" i="14"/>
  <c r="O125" i="14"/>
  <c r="N125" i="14"/>
  <c r="M125" i="14"/>
  <c r="L125" i="14"/>
  <c r="K125" i="14"/>
  <c r="J125" i="14"/>
  <c r="I125" i="14"/>
  <c r="H125" i="14"/>
  <c r="G125" i="14"/>
  <c r="F125" i="14"/>
  <c r="E125" i="14"/>
  <c r="D125" i="14"/>
  <c r="C125" i="14"/>
  <c r="B125" i="14"/>
  <c r="A125" i="14"/>
  <c r="AJ124" i="14"/>
  <c r="AI124" i="14"/>
  <c r="AH124" i="14"/>
  <c r="AG124" i="14"/>
  <c r="AF124" i="14"/>
  <c r="AE124" i="14"/>
  <c r="AD124" i="14"/>
  <c r="AC124" i="14"/>
  <c r="AB124" i="14"/>
  <c r="AA124" i="14"/>
  <c r="Z124" i="14"/>
  <c r="Y124" i="14"/>
  <c r="X124" i="14"/>
  <c r="W124" i="14"/>
  <c r="V124" i="14"/>
  <c r="U124" i="14"/>
  <c r="T124" i="14"/>
  <c r="S124" i="14"/>
  <c r="R124" i="14"/>
  <c r="Q124" i="14"/>
  <c r="P124" i="14"/>
  <c r="O124" i="14"/>
  <c r="N124" i="14"/>
  <c r="M124" i="14"/>
  <c r="L124" i="14"/>
  <c r="K124" i="14"/>
  <c r="J124" i="14"/>
  <c r="I124" i="14"/>
  <c r="H124" i="14"/>
  <c r="G124" i="14"/>
  <c r="F124" i="14"/>
  <c r="E124" i="14"/>
  <c r="D124" i="14"/>
  <c r="C124" i="14"/>
  <c r="B124" i="14"/>
  <c r="A124" i="14"/>
  <c r="AJ123" i="14"/>
  <c r="AI123" i="14"/>
  <c r="AH123" i="14"/>
  <c r="AG123" i="14"/>
  <c r="AF123" i="14"/>
  <c r="AE123" i="14"/>
  <c r="AD123" i="14"/>
  <c r="AC123" i="14"/>
  <c r="AB123" i="14"/>
  <c r="AA123" i="14"/>
  <c r="Z123" i="14"/>
  <c r="Y123" i="14"/>
  <c r="X123" i="14"/>
  <c r="W123" i="14"/>
  <c r="V123" i="14"/>
  <c r="U123" i="14"/>
  <c r="T123" i="14"/>
  <c r="S123" i="14"/>
  <c r="R123" i="14"/>
  <c r="Q123" i="14"/>
  <c r="P123" i="14"/>
  <c r="O123" i="14"/>
  <c r="N123" i="14"/>
  <c r="M123" i="14"/>
  <c r="L123" i="14"/>
  <c r="K123" i="14"/>
  <c r="J123" i="14"/>
  <c r="I123" i="14"/>
  <c r="H123" i="14"/>
  <c r="G123" i="14"/>
  <c r="F123" i="14"/>
  <c r="E123" i="14"/>
  <c r="D123" i="14"/>
  <c r="C123" i="14"/>
  <c r="B123" i="14"/>
  <c r="A123" i="14"/>
  <c r="AJ122" i="14"/>
  <c r="AI122" i="14"/>
  <c r="AH122" i="14"/>
  <c r="AG122" i="14"/>
  <c r="AF122" i="14"/>
  <c r="AE122" i="14"/>
  <c r="AD122" i="14"/>
  <c r="AC122" i="14"/>
  <c r="AB122" i="14"/>
  <c r="AA122" i="14"/>
  <c r="Z122" i="14"/>
  <c r="Y122" i="14"/>
  <c r="X122" i="14"/>
  <c r="W122" i="14"/>
  <c r="V122" i="14"/>
  <c r="U122" i="14"/>
  <c r="T122" i="14"/>
  <c r="S122" i="14"/>
  <c r="R122" i="14"/>
  <c r="Q122" i="14"/>
  <c r="P122" i="14"/>
  <c r="O122" i="14"/>
  <c r="N122" i="14"/>
  <c r="M122" i="14"/>
  <c r="L122" i="14"/>
  <c r="K122" i="14"/>
  <c r="J122" i="14"/>
  <c r="I122" i="14"/>
  <c r="H122" i="14"/>
  <c r="G122" i="14"/>
  <c r="F122" i="14"/>
  <c r="E122" i="14"/>
  <c r="D122" i="14"/>
  <c r="C122" i="14"/>
  <c r="B122" i="14"/>
  <c r="A122" i="14"/>
  <c r="AJ121" i="14"/>
  <c r="AI121" i="14"/>
  <c r="AH121" i="14"/>
  <c r="AG121" i="14"/>
  <c r="AF121" i="14"/>
  <c r="AE121" i="14"/>
  <c r="AD121" i="14"/>
  <c r="AC121" i="14"/>
  <c r="AB121" i="14"/>
  <c r="AA121" i="14"/>
  <c r="Z121" i="14"/>
  <c r="Y121" i="14"/>
  <c r="X121" i="14"/>
  <c r="W121" i="14"/>
  <c r="V121" i="14"/>
  <c r="U121" i="14"/>
  <c r="T121" i="14"/>
  <c r="S121" i="14"/>
  <c r="R121" i="14"/>
  <c r="Q121" i="14"/>
  <c r="P121" i="14"/>
  <c r="O121" i="14"/>
  <c r="N121" i="14"/>
  <c r="M121" i="14"/>
  <c r="L121" i="14"/>
  <c r="K121" i="14"/>
  <c r="J121" i="14"/>
  <c r="I121" i="14"/>
  <c r="H121" i="14"/>
  <c r="G121" i="14"/>
  <c r="F121" i="14"/>
  <c r="E121" i="14"/>
  <c r="D121" i="14"/>
  <c r="C121" i="14"/>
  <c r="B121" i="14"/>
  <c r="A121" i="14"/>
  <c r="AJ120" i="14"/>
  <c r="AI120" i="14"/>
  <c r="AH120" i="14"/>
  <c r="AG120" i="14"/>
  <c r="AF120" i="14"/>
  <c r="AE120" i="14"/>
  <c r="AD120" i="14"/>
  <c r="AC120" i="14"/>
  <c r="AB120" i="14"/>
  <c r="AA120" i="14"/>
  <c r="Z120" i="14"/>
  <c r="Y120" i="14"/>
  <c r="X120" i="14"/>
  <c r="W120" i="14"/>
  <c r="V120" i="14"/>
  <c r="U120" i="14"/>
  <c r="T120" i="14"/>
  <c r="S120" i="14"/>
  <c r="R120" i="14"/>
  <c r="Q120" i="14"/>
  <c r="P120" i="14"/>
  <c r="O120" i="14"/>
  <c r="N120" i="14"/>
  <c r="M120" i="14"/>
  <c r="L120" i="14"/>
  <c r="K120" i="14"/>
  <c r="J120" i="14"/>
  <c r="I120" i="14"/>
  <c r="H120" i="14"/>
  <c r="G120" i="14"/>
  <c r="F120" i="14"/>
  <c r="E120" i="14"/>
  <c r="D120" i="14"/>
  <c r="C120" i="14"/>
  <c r="B120" i="14"/>
  <c r="A120" i="14"/>
  <c r="AJ119" i="14"/>
  <c r="AI119" i="14"/>
  <c r="AH119" i="14"/>
  <c r="AG119" i="14"/>
  <c r="AF119" i="14"/>
  <c r="AE119" i="14"/>
  <c r="AD119" i="14"/>
  <c r="AC119" i="14"/>
  <c r="AB119" i="14"/>
  <c r="AA119" i="14"/>
  <c r="Z119" i="14"/>
  <c r="Y119" i="14"/>
  <c r="X119" i="14"/>
  <c r="W119" i="14"/>
  <c r="V119" i="14"/>
  <c r="U119" i="14"/>
  <c r="T119" i="14"/>
  <c r="S119" i="14"/>
  <c r="R119" i="14"/>
  <c r="Q119" i="14"/>
  <c r="P119" i="14"/>
  <c r="O119" i="14"/>
  <c r="N119" i="14"/>
  <c r="M119" i="14"/>
  <c r="L119" i="14"/>
  <c r="K119" i="14"/>
  <c r="J119" i="14"/>
  <c r="I119" i="14"/>
  <c r="H119" i="14"/>
  <c r="G119" i="14"/>
  <c r="F119" i="14"/>
  <c r="E119" i="14"/>
  <c r="D119" i="14"/>
  <c r="C119" i="14"/>
  <c r="B119" i="14"/>
  <c r="A119" i="14"/>
  <c r="AJ118" i="14"/>
  <c r="AI118" i="14"/>
  <c r="AH118" i="14"/>
  <c r="AG118" i="14"/>
  <c r="AF118" i="14"/>
  <c r="AE118" i="14"/>
  <c r="AD118" i="14"/>
  <c r="AC118" i="14"/>
  <c r="AB118" i="14"/>
  <c r="AA118" i="14"/>
  <c r="Z118" i="14"/>
  <c r="Y118" i="14"/>
  <c r="X118" i="14"/>
  <c r="W118" i="14"/>
  <c r="V118" i="14"/>
  <c r="U118" i="14"/>
  <c r="T118" i="14"/>
  <c r="S118" i="14"/>
  <c r="R118" i="14"/>
  <c r="Q118" i="14"/>
  <c r="P118" i="14"/>
  <c r="O118" i="14"/>
  <c r="N118" i="14"/>
  <c r="M118" i="14"/>
  <c r="L118" i="14"/>
  <c r="K118" i="14"/>
  <c r="J118" i="14"/>
  <c r="I118" i="14"/>
  <c r="H118" i="14"/>
  <c r="G118" i="14"/>
  <c r="F118" i="14"/>
  <c r="E118" i="14"/>
  <c r="D118" i="14"/>
  <c r="C118" i="14"/>
  <c r="B118" i="14"/>
  <c r="A118" i="14"/>
  <c r="AJ117" i="14"/>
  <c r="AI117" i="14"/>
  <c r="AH117" i="14"/>
  <c r="AG117" i="14"/>
  <c r="AF117" i="14"/>
  <c r="AE117" i="14"/>
  <c r="AD117" i="14"/>
  <c r="AC117" i="14"/>
  <c r="AB117" i="14"/>
  <c r="AA117" i="14"/>
  <c r="Z117" i="14"/>
  <c r="Y117" i="14"/>
  <c r="X117" i="14"/>
  <c r="W117" i="14"/>
  <c r="V117" i="14"/>
  <c r="U117" i="14"/>
  <c r="T117" i="14"/>
  <c r="S117" i="14"/>
  <c r="R117" i="14"/>
  <c r="Q117" i="14"/>
  <c r="P117" i="14"/>
  <c r="O117" i="14"/>
  <c r="N117" i="14"/>
  <c r="M117" i="14"/>
  <c r="L117" i="14"/>
  <c r="K117" i="14"/>
  <c r="J117" i="14"/>
  <c r="I117" i="14"/>
  <c r="H117" i="14"/>
  <c r="G117" i="14"/>
  <c r="F117" i="14"/>
  <c r="E117" i="14"/>
  <c r="D117" i="14"/>
  <c r="C117" i="14"/>
  <c r="B117" i="14"/>
  <c r="A117" i="14"/>
  <c r="AJ116" i="14"/>
  <c r="AI116" i="14"/>
  <c r="AH116" i="14"/>
  <c r="AG116" i="14"/>
  <c r="AF116" i="14"/>
  <c r="AE116" i="14"/>
  <c r="AD116" i="14"/>
  <c r="AC116" i="14"/>
  <c r="AB116" i="14"/>
  <c r="AA116" i="14"/>
  <c r="Z116" i="14"/>
  <c r="Y116" i="14"/>
  <c r="X116" i="14"/>
  <c r="W116" i="14"/>
  <c r="V116" i="14"/>
  <c r="U116" i="14"/>
  <c r="T116" i="14"/>
  <c r="S116" i="14"/>
  <c r="R116" i="14"/>
  <c r="Q116" i="14"/>
  <c r="P116" i="14"/>
  <c r="O116" i="14"/>
  <c r="N116" i="14"/>
  <c r="M116" i="14"/>
  <c r="L116" i="14"/>
  <c r="K116" i="14"/>
  <c r="J116" i="14"/>
  <c r="I116" i="14"/>
  <c r="H116" i="14"/>
  <c r="G116" i="14"/>
  <c r="F116" i="14"/>
  <c r="E116" i="14"/>
  <c r="D116" i="14"/>
  <c r="C116" i="14"/>
  <c r="B116" i="14"/>
  <c r="A116" i="14"/>
  <c r="AJ115" i="14"/>
  <c r="AI115" i="14"/>
  <c r="AH115" i="14"/>
  <c r="AG115" i="14"/>
  <c r="AF115" i="14"/>
  <c r="AE115" i="14"/>
  <c r="AD115" i="14"/>
  <c r="AC115" i="14"/>
  <c r="AB115" i="14"/>
  <c r="AA115" i="14"/>
  <c r="Z115" i="14"/>
  <c r="Y115" i="14"/>
  <c r="X115" i="14"/>
  <c r="W115" i="14"/>
  <c r="V115" i="14"/>
  <c r="U115" i="14"/>
  <c r="T115" i="14"/>
  <c r="S115" i="14"/>
  <c r="R115" i="14"/>
  <c r="Q115" i="14"/>
  <c r="P115" i="14"/>
  <c r="O115" i="14"/>
  <c r="N115" i="14"/>
  <c r="M115" i="14"/>
  <c r="L115" i="14"/>
  <c r="K115" i="14"/>
  <c r="J115" i="14"/>
  <c r="I115" i="14"/>
  <c r="H115" i="14"/>
  <c r="G115" i="14"/>
  <c r="F115" i="14"/>
  <c r="E115" i="14"/>
  <c r="D115" i="14"/>
  <c r="C115" i="14"/>
  <c r="B115" i="14"/>
  <c r="A115" i="14"/>
  <c r="AJ114" i="14"/>
  <c r="AI114" i="14"/>
  <c r="AH114" i="14"/>
  <c r="AG114" i="14"/>
  <c r="AF114" i="14"/>
  <c r="AE114" i="14"/>
  <c r="AD114" i="14"/>
  <c r="AC114" i="14"/>
  <c r="AB114" i="14"/>
  <c r="AA114" i="14"/>
  <c r="Z114" i="14"/>
  <c r="Y114" i="14"/>
  <c r="X114" i="14"/>
  <c r="W114" i="14"/>
  <c r="V114" i="14"/>
  <c r="U114" i="14"/>
  <c r="T114" i="14"/>
  <c r="S114" i="14"/>
  <c r="R114" i="14"/>
  <c r="Q114" i="14"/>
  <c r="P114" i="14"/>
  <c r="O114" i="14"/>
  <c r="N114" i="14"/>
  <c r="M114" i="14"/>
  <c r="L114" i="14"/>
  <c r="K114" i="14"/>
  <c r="J114" i="14"/>
  <c r="I114" i="14"/>
  <c r="H114" i="14"/>
  <c r="G114" i="14"/>
  <c r="F114" i="14"/>
  <c r="E114" i="14"/>
  <c r="D114" i="14"/>
  <c r="C114" i="14"/>
  <c r="B114" i="14"/>
  <c r="A114" i="14"/>
  <c r="AJ113" i="14"/>
  <c r="AI113" i="14"/>
  <c r="AH113" i="14"/>
  <c r="AG113" i="14"/>
  <c r="AF113" i="14"/>
  <c r="AE113" i="14"/>
  <c r="AD113" i="14"/>
  <c r="AC113" i="14"/>
  <c r="AB113" i="14"/>
  <c r="AA113" i="14"/>
  <c r="Z113" i="14"/>
  <c r="Y113" i="14"/>
  <c r="X113" i="14"/>
  <c r="W113" i="14"/>
  <c r="V113" i="14"/>
  <c r="U113" i="14"/>
  <c r="T113" i="14"/>
  <c r="S113" i="14"/>
  <c r="R113" i="14"/>
  <c r="Q113" i="14"/>
  <c r="P113" i="14"/>
  <c r="O113" i="14"/>
  <c r="N113" i="14"/>
  <c r="M113" i="14"/>
  <c r="L113" i="14"/>
  <c r="K113" i="14"/>
  <c r="J113" i="14"/>
  <c r="I113" i="14"/>
  <c r="H113" i="14"/>
  <c r="G113" i="14"/>
  <c r="F113" i="14"/>
  <c r="E113" i="14"/>
  <c r="D113" i="14"/>
  <c r="C113" i="14"/>
  <c r="B113" i="14"/>
  <c r="A113" i="14"/>
  <c r="AJ112" i="14"/>
  <c r="AI112" i="14"/>
  <c r="AH112" i="14"/>
  <c r="AG112" i="14"/>
  <c r="AF112" i="14"/>
  <c r="AE112" i="14"/>
  <c r="AD112" i="14"/>
  <c r="AC112" i="14"/>
  <c r="AB112" i="14"/>
  <c r="AA112" i="14"/>
  <c r="Z112" i="14"/>
  <c r="Y112" i="14"/>
  <c r="X112" i="14"/>
  <c r="W112" i="14"/>
  <c r="V112" i="14"/>
  <c r="U112" i="14"/>
  <c r="T112" i="14"/>
  <c r="S112" i="14"/>
  <c r="R112" i="14"/>
  <c r="Q112" i="14"/>
  <c r="P112" i="14"/>
  <c r="O112" i="14"/>
  <c r="N112" i="14"/>
  <c r="M112" i="14"/>
  <c r="L112" i="14"/>
  <c r="K112" i="14"/>
  <c r="J112" i="14"/>
  <c r="I112" i="14"/>
  <c r="H112" i="14"/>
  <c r="G112" i="14"/>
  <c r="F112" i="14"/>
  <c r="E112" i="14"/>
  <c r="D112" i="14"/>
  <c r="C112" i="14"/>
  <c r="B112" i="14"/>
  <c r="A112" i="14"/>
  <c r="AJ111" i="14"/>
  <c r="AI111" i="14"/>
  <c r="AH111" i="14"/>
  <c r="AG111" i="14"/>
  <c r="AF111" i="14"/>
  <c r="AE111" i="14"/>
  <c r="AD111" i="14"/>
  <c r="AC111" i="14"/>
  <c r="AB111" i="14"/>
  <c r="AA111" i="14"/>
  <c r="Z111" i="14"/>
  <c r="Y111" i="14"/>
  <c r="X111" i="14"/>
  <c r="W111" i="14"/>
  <c r="V111" i="14"/>
  <c r="U111" i="14"/>
  <c r="T111" i="14"/>
  <c r="S111" i="14"/>
  <c r="R111" i="14"/>
  <c r="Q111" i="14"/>
  <c r="P111" i="14"/>
  <c r="O111" i="14"/>
  <c r="N111" i="14"/>
  <c r="M111" i="14"/>
  <c r="L111" i="14"/>
  <c r="K111" i="14"/>
  <c r="J111" i="14"/>
  <c r="I111" i="14"/>
  <c r="H111" i="14"/>
  <c r="G111" i="14"/>
  <c r="F111" i="14"/>
  <c r="E111" i="14"/>
  <c r="D111" i="14"/>
  <c r="C111" i="14"/>
  <c r="B111" i="14"/>
  <c r="A111" i="14"/>
  <c r="AJ110" i="14"/>
  <c r="AI110" i="14"/>
  <c r="AH110" i="14"/>
  <c r="AG110" i="14"/>
  <c r="AF110" i="14"/>
  <c r="AE110" i="14"/>
  <c r="AD110" i="14"/>
  <c r="AC110" i="14"/>
  <c r="AB110" i="14"/>
  <c r="AA110" i="14"/>
  <c r="Z110" i="14"/>
  <c r="Y110" i="14"/>
  <c r="X110" i="14"/>
  <c r="W110" i="14"/>
  <c r="V110" i="14"/>
  <c r="U110" i="14"/>
  <c r="T110" i="14"/>
  <c r="S110" i="14"/>
  <c r="R110" i="14"/>
  <c r="Q110" i="14"/>
  <c r="P110" i="14"/>
  <c r="O110" i="14"/>
  <c r="N110" i="14"/>
  <c r="M110" i="14"/>
  <c r="L110" i="14"/>
  <c r="K110" i="14"/>
  <c r="J110" i="14"/>
  <c r="I110" i="14"/>
  <c r="H110" i="14"/>
  <c r="G110" i="14"/>
  <c r="F110" i="14"/>
  <c r="E110" i="14"/>
  <c r="D110" i="14"/>
  <c r="C110" i="14"/>
  <c r="B110" i="14"/>
  <c r="A110" i="14"/>
  <c r="AJ109" i="14"/>
  <c r="AI109" i="14"/>
  <c r="AH109" i="14"/>
  <c r="AG109" i="14"/>
  <c r="AF109" i="14"/>
  <c r="AE109" i="14"/>
  <c r="AD109" i="14"/>
  <c r="AC109" i="14"/>
  <c r="AB109" i="14"/>
  <c r="AA109" i="14"/>
  <c r="Z109" i="14"/>
  <c r="Y109" i="14"/>
  <c r="X109" i="14"/>
  <c r="W109" i="14"/>
  <c r="V109" i="14"/>
  <c r="U109" i="14"/>
  <c r="T109" i="14"/>
  <c r="S109" i="14"/>
  <c r="R109" i="14"/>
  <c r="Q109" i="14"/>
  <c r="P109" i="14"/>
  <c r="O109" i="14"/>
  <c r="N109" i="14"/>
  <c r="M109" i="14"/>
  <c r="L109" i="14"/>
  <c r="K109" i="14"/>
  <c r="J109" i="14"/>
  <c r="I109" i="14"/>
  <c r="H109" i="14"/>
  <c r="G109" i="14"/>
  <c r="F109" i="14"/>
  <c r="E109" i="14"/>
  <c r="D109" i="14"/>
  <c r="C109" i="14"/>
  <c r="B109" i="14"/>
  <c r="A109" i="14"/>
  <c r="AJ108" i="14"/>
  <c r="AI108" i="14"/>
  <c r="AH108" i="14"/>
  <c r="AG108" i="14"/>
  <c r="AF108" i="14"/>
  <c r="AE108" i="14"/>
  <c r="AD108" i="14"/>
  <c r="AC108" i="14"/>
  <c r="AB108" i="14"/>
  <c r="AA108" i="14"/>
  <c r="Z108" i="14"/>
  <c r="Y108" i="14"/>
  <c r="X108" i="14"/>
  <c r="W108" i="14"/>
  <c r="V108" i="14"/>
  <c r="U108" i="14"/>
  <c r="T108" i="14"/>
  <c r="S108" i="14"/>
  <c r="R108" i="14"/>
  <c r="Q108" i="14"/>
  <c r="P108" i="14"/>
  <c r="O108" i="14"/>
  <c r="N108" i="14"/>
  <c r="M108" i="14"/>
  <c r="L108" i="14"/>
  <c r="K108" i="14"/>
  <c r="J108" i="14"/>
  <c r="I108" i="14"/>
  <c r="H108" i="14"/>
  <c r="G108" i="14"/>
  <c r="F108" i="14"/>
  <c r="E108" i="14"/>
  <c r="D108" i="14"/>
  <c r="C108" i="14"/>
  <c r="B108" i="14"/>
  <c r="A108" i="14"/>
  <c r="AJ107" i="14"/>
  <c r="AI107" i="14"/>
  <c r="AH107" i="14"/>
  <c r="AG107" i="14"/>
  <c r="AF107" i="14"/>
  <c r="AE107" i="14"/>
  <c r="AD107" i="14"/>
  <c r="AC107" i="14"/>
  <c r="AB107" i="14"/>
  <c r="AA107" i="14"/>
  <c r="Z107" i="14"/>
  <c r="Y107" i="14"/>
  <c r="X107" i="14"/>
  <c r="W107" i="14"/>
  <c r="V107" i="14"/>
  <c r="U107" i="14"/>
  <c r="T107" i="14"/>
  <c r="S107" i="14"/>
  <c r="R107" i="14"/>
  <c r="Q107" i="14"/>
  <c r="P107" i="14"/>
  <c r="O107" i="14"/>
  <c r="N107" i="14"/>
  <c r="M107" i="14"/>
  <c r="L107" i="14"/>
  <c r="K107" i="14"/>
  <c r="J107" i="14"/>
  <c r="I107" i="14"/>
  <c r="H107" i="14"/>
  <c r="G107" i="14"/>
  <c r="F107" i="14"/>
  <c r="E107" i="14"/>
  <c r="D107" i="14"/>
  <c r="C107" i="14"/>
  <c r="B107" i="14"/>
  <c r="A107" i="14"/>
  <c r="AJ106" i="14"/>
  <c r="AI106" i="14"/>
  <c r="AH106" i="14"/>
  <c r="AG106" i="14"/>
  <c r="AF106" i="14"/>
  <c r="AE106" i="14"/>
  <c r="AD106" i="14"/>
  <c r="AC106" i="14"/>
  <c r="AB106" i="14"/>
  <c r="AA106" i="14"/>
  <c r="Z106" i="14"/>
  <c r="Y106" i="14"/>
  <c r="X106" i="14"/>
  <c r="W106" i="14"/>
  <c r="V106" i="14"/>
  <c r="U106" i="14"/>
  <c r="T106" i="14"/>
  <c r="S106" i="14"/>
  <c r="R106" i="14"/>
  <c r="Q106" i="14"/>
  <c r="P106" i="14"/>
  <c r="O106" i="14"/>
  <c r="N106" i="14"/>
  <c r="M106" i="14"/>
  <c r="L106" i="14"/>
  <c r="K106" i="14"/>
  <c r="J106" i="14"/>
  <c r="I106" i="14"/>
  <c r="H106" i="14"/>
  <c r="G106" i="14"/>
  <c r="F106" i="14"/>
  <c r="E106" i="14"/>
  <c r="D106" i="14"/>
  <c r="C106" i="14"/>
  <c r="B106" i="14"/>
  <c r="A106" i="14"/>
  <c r="AJ105" i="14"/>
  <c r="AI105" i="14"/>
  <c r="AH105" i="14"/>
  <c r="AG105" i="14"/>
  <c r="AF105" i="14"/>
  <c r="AE105" i="14"/>
  <c r="AD105" i="14"/>
  <c r="AC105" i="14"/>
  <c r="AB105" i="14"/>
  <c r="AA105" i="14"/>
  <c r="Z105" i="14"/>
  <c r="Y105" i="14"/>
  <c r="X105" i="14"/>
  <c r="W105" i="14"/>
  <c r="V105" i="14"/>
  <c r="U105" i="14"/>
  <c r="T105" i="14"/>
  <c r="S105" i="14"/>
  <c r="R105" i="14"/>
  <c r="Q105" i="14"/>
  <c r="P105" i="14"/>
  <c r="O105" i="14"/>
  <c r="N105" i="14"/>
  <c r="M105" i="14"/>
  <c r="L105" i="14"/>
  <c r="K105" i="14"/>
  <c r="J105" i="14"/>
  <c r="I105" i="14"/>
  <c r="H105" i="14"/>
  <c r="G105" i="14"/>
  <c r="F105" i="14"/>
  <c r="E105" i="14"/>
  <c r="D105" i="14"/>
  <c r="C105" i="14"/>
  <c r="B105" i="14"/>
  <c r="A105" i="14"/>
  <c r="AJ104" i="14"/>
  <c r="AI104" i="14"/>
  <c r="AH104" i="14"/>
  <c r="AG104" i="14"/>
  <c r="AF104" i="14"/>
  <c r="AE104" i="14"/>
  <c r="AD104" i="14"/>
  <c r="AC104" i="14"/>
  <c r="AB104" i="14"/>
  <c r="AA104" i="14"/>
  <c r="Z104" i="14"/>
  <c r="Y104" i="14"/>
  <c r="X104" i="14"/>
  <c r="W104" i="14"/>
  <c r="V104" i="14"/>
  <c r="U104" i="14"/>
  <c r="T104" i="14"/>
  <c r="S104" i="14"/>
  <c r="R104" i="14"/>
  <c r="Q104" i="14"/>
  <c r="P104" i="14"/>
  <c r="O104" i="14"/>
  <c r="N104" i="14"/>
  <c r="M104" i="14"/>
  <c r="L104" i="14"/>
  <c r="K104" i="14"/>
  <c r="J104" i="14"/>
  <c r="I104" i="14"/>
  <c r="H104" i="14"/>
  <c r="G104" i="14"/>
  <c r="F104" i="14"/>
  <c r="E104" i="14"/>
  <c r="D104" i="14"/>
  <c r="C104" i="14"/>
  <c r="B104" i="14"/>
  <c r="A104" i="14"/>
  <c r="AJ103" i="14"/>
  <c r="AI103" i="14"/>
  <c r="AH103" i="14"/>
  <c r="AG103" i="14"/>
  <c r="AF103" i="14"/>
  <c r="AE103" i="14"/>
  <c r="AD103" i="14"/>
  <c r="AC103" i="14"/>
  <c r="AB103" i="14"/>
  <c r="AA103" i="14"/>
  <c r="Z103" i="14"/>
  <c r="Y103" i="14"/>
  <c r="X103" i="14"/>
  <c r="W103" i="14"/>
  <c r="V103" i="14"/>
  <c r="U103" i="14"/>
  <c r="T103" i="14"/>
  <c r="S103" i="14"/>
  <c r="R103" i="14"/>
  <c r="Q103" i="14"/>
  <c r="P103" i="14"/>
  <c r="O103" i="14"/>
  <c r="N103" i="14"/>
  <c r="M103" i="14"/>
  <c r="L103" i="14"/>
  <c r="K103" i="14"/>
  <c r="J103" i="14"/>
  <c r="I103" i="14"/>
  <c r="H103" i="14"/>
  <c r="G103" i="14"/>
  <c r="F103" i="14"/>
  <c r="E103" i="14"/>
  <c r="D103" i="14"/>
  <c r="C103" i="14"/>
  <c r="B103" i="14"/>
  <c r="A103" i="14"/>
  <c r="AJ102" i="14"/>
  <c r="AI102" i="14"/>
  <c r="AH102" i="14"/>
  <c r="AG102" i="14"/>
  <c r="AF102" i="14"/>
  <c r="AE102" i="14"/>
  <c r="AD102" i="14"/>
  <c r="AC102" i="14"/>
  <c r="AB102" i="14"/>
  <c r="AA102" i="14"/>
  <c r="Z102" i="14"/>
  <c r="Y102" i="14"/>
  <c r="X102" i="14"/>
  <c r="W102" i="14"/>
  <c r="V102" i="14"/>
  <c r="U102" i="14"/>
  <c r="T102" i="14"/>
  <c r="S102" i="14"/>
  <c r="R102" i="14"/>
  <c r="Q102" i="14"/>
  <c r="P102" i="14"/>
  <c r="O102" i="14"/>
  <c r="N102" i="14"/>
  <c r="M102" i="14"/>
  <c r="L102" i="14"/>
  <c r="K102" i="14"/>
  <c r="J102" i="14"/>
  <c r="I102" i="14"/>
  <c r="H102" i="14"/>
  <c r="G102" i="14"/>
  <c r="F102" i="14"/>
  <c r="E102" i="14"/>
  <c r="D102" i="14"/>
  <c r="C102" i="14"/>
  <c r="B102" i="14"/>
  <c r="A102" i="14"/>
  <c r="AJ101" i="14"/>
  <c r="AI101" i="14"/>
  <c r="AH101" i="14"/>
  <c r="AG101" i="14"/>
  <c r="AF101" i="14"/>
  <c r="AE101" i="14"/>
  <c r="AD101" i="14"/>
  <c r="AC101" i="14"/>
  <c r="AB101" i="14"/>
  <c r="AA101" i="14"/>
  <c r="Z101" i="14"/>
  <c r="Y101" i="14"/>
  <c r="X101" i="14"/>
  <c r="W101" i="14"/>
  <c r="V101" i="14"/>
  <c r="U101" i="14"/>
  <c r="T101" i="14"/>
  <c r="S101" i="14"/>
  <c r="R101" i="14"/>
  <c r="Q101" i="14"/>
  <c r="P101" i="14"/>
  <c r="O101" i="14"/>
  <c r="N101" i="14"/>
  <c r="M101" i="14"/>
  <c r="L101" i="14"/>
  <c r="K101" i="14"/>
  <c r="J101" i="14"/>
  <c r="I101" i="14"/>
  <c r="H101" i="14"/>
  <c r="G101" i="14"/>
  <c r="F101" i="14"/>
  <c r="E101" i="14"/>
  <c r="D101" i="14"/>
  <c r="C101" i="14"/>
  <c r="B101" i="14"/>
  <c r="A101" i="14"/>
  <c r="AJ100" i="14"/>
  <c r="AI100" i="14"/>
  <c r="AH100" i="14"/>
  <c r="AG100" i="14"/>
  <c r="AF100" i="14"/>
  <c r="AE100" i="14"/>
  <c r="AD100" i="14"/>
  <c r="AC100" i="14"/>
  <c r="AB100" i="14"/>
  <c r="AA100" i="14"/>
  <c r="Z100" i="14"/>
  <c r="Y100" i="14"/>
  <c r="X100" i="14"/>
  <c r="W100" i="14"/>
  <c r="V100" i="14"/>
  <c r="U100" i="14"/>
  <c r="T100" i="14"/>
  <c r="S100" i="14"/>
  <c r="R100" i="14"/>
  <c r="Q100" i="14"/>
  <c r="P100" i="14"/>
  <c r="O100" i="14"/>
  <c r="N100" i="14"/>
  <c r="M100" i="14"/>
  <c r="L100" i="14"/>
  <c r="K100" i="14"/>
  <c r="J100" i="14"/>
  <c r="I100" i="14"/>
  <c r="H100" i="14"/>
  <c r="G100" i="14"/>
  <c r="F100" i="14"/>
  <c r="E100" i="14"/>
  <c r="D100" i="14"/>
  <c r="C100" i="14"/>
  <c r="B100" i="14"/>
  <c r="A100" i="14"/>
  <c r="AJ99" i="14"/>
  <c r="AI99" i="14"/>
  <c r="AH99" i="14"/>
  <c r="AG99" i="14"/>
  <c r="AF99" i="14"/>
  <c r="AE99" i="14"/>
  <c r="AD99" i="14"/>
  <c r="AC99" i="14"/>
  <c r="AB99" i="14"/>
  <c r="AA99" i="14"/>
  <c r="Z99" i="14"/>
  <c r="Y99" i="14"/>
  <c r="X99" i="14"/>
  <c r="W99" i="14"/>
  <c r="V99" i="14"/>
  <c r="U99" i="14"/>
  <c r="T99" i="14"/>
  <c r="S99" i="14"/>
  <c r="R99" i="14"/>
  <c r="Q99" i="14"/>
  <c r="P99" i="14"/>
  <c r="O99" i="14"/>
  <c r="N99" i="14"/>
  <c r="M99" i="14"/>
  <c r="L99" i="14"/>
  <c r="K99" i="14"/>
  <c r="J99" i="14"/>
  <c r="I99" i="14"/>
  <c r="H99" i="14"/>
  <c r="G99" i="14"/>
  <c r="F99" i="14"/>
  <c r="E99" i="14"/>
  <c r="D99" i="14"/>
  <c r="C99" i="14"/>
  <c r="B99" i="14"/>
  <c r="A99" i="14"/>
  <c r="AJ98" i="14"/>
  <c r="AI98" i="14"/>
  <c r="AH98" i="14"/>
  <c r="AG98" i="14"/>
  <c r="AF98" i="14"/>
  <c r="AE98" i="14"/>
  <c r="AD98" i="14"/>
  <c r="AC98" i="14"/>
  <c r="AB98" i="14"/>
  <c r="AA98" i="14"/>
  <c r="Z98" i="14"/>
  <c r="Y98" i="14"/>
  <c r="X98" i="14"/>
  <c r="W98" i="14"/>
  <c r="V98" i="14"/>
  <c r="U98" i="14"/>
  <c r="T98" i="14"/>
  <c r="S98" i="14"/>
  <c r="R98" i="14"/>
  <c r="Q98" i="14"/>
  <c r="P98" i="14"/>
  <c r="O98" i="14"/>
  <c r="N98" i="14"/>
  <c r="M98" i="14"/>
  <c r="L98" i="14"/>
  <c r="K98" i="14"/>
  <c r="J98" i="14"/>
  <c r="I98" i="14"/>
  <c r="H98" i="14"/>
  <c r="G98" i="14"/>
  <c r="F98" i="14"/>
  <c r="E98" i="14"/>
  <c r="D98" i="14"/>
  <c r="C98" i="14"/>
  <c r="B98" i="14"/>
  <c r="A98" i="14"/>
  <c r="AJ97" i="14"/>
  <c r="AI97" i="14"/>
  <c r="AH97" i="14"/>
  <c r="AG97" i="14"/>
  <c r="AF97" i="14"/>
  <c r="AE97" i="14"/>
  <c r="AD97" i="14"/>
  <c r="AC97" i="14"/>
  <c r="AB97" i="14"/>
  <c r="AA97" i="14"/>
  <c r="Z97" i="14"/>
  <c r="Y97" i="14"/>
  <c r="X97" i="14"/>
  <c r="W97" i="14"/>
  <c r="V97" i="14"/>
  <c r="U97" i="14"/>
  <c r="T97" i="14"/>
  <c r="S97" i="14"/>
  <c r="R97" i="14"/>
  <c r="Q97" i="14"/>
  <c r="P97" i="14"/>
  <c r="O97" i="14"/>
  <c r="N97" i="14"/>
  <c r="M97" i="14"/>
  <c r="L97" i="14"/>
  <c r="K97" i="14"/>
  <c r="J97" i="14"/>
  <c r="I97" i="14"/>
  <c r="H97" i="14"/>
  <c r="G97" i="14"/>
  <c r="F97" i="14"/>
  <c r="E97" i="14"/>
  <c r="D97" i="14"/>
  <c r="C97" i="14"/>
  <c r="B97" i="14"/>
  <c r="A97" i="14"/>
  <c r="AJ96" i="14"/>
  <c r="AI96" i="14"/>
  <c r="AH96" i="14"/>
  <c r="AG96" i="14"/>
  <c r="AF96" i="14"/>
  <c r="AE96" i="14"/>
  <c r="AD96" i="14"/>
  <c r="AC96" i="14"/>
  <c r="AB96" i="14"/>
  <c r="AA96" i="14"/>
  <c r="Z96" i="14"/>
  <c r="Y96" i="14"/>
  <c r="X96" i="14"/>
  <c r="W96" i="14"/>
  <c r="V96" i="14"/>
  <c r="U96" i="14"/>
  <c r="T96" i="14"/>
  <c r="S96" i="14"/>
  <c r="R96" i="14"/>
  <c r="Q96" i="14"/>
  <c r="P96" i="14"/>
  <c r="O96" i="14"/>
  <c r="N96" i="14"/>
  <c r="M96" i="14"/>
  <c r="L96" i="14"/>
  <c r="K96" i="14"/>
  <c r="J96" i="14"/>
  <c r="I96" i="14"/>
  <c r="H96" i="14"/>
  <c r="G96" i="14"/>
  <c r="F96" i="14"/>
  <c r="E96" i="14"/>
  <c r="D96" i="14"/>
  <c r="C96" i="14"/>
  <c r="B96" i="14"/>
  <c r="A96" i="14"/>
  <c r="AJ95" i="14"/>
  <c r="AI95" i="14"/>
  <c r="AH95" i="14"/>
  <c r="AG95" i="14"/>
  <c r="AF95" i="14"/>
  <c r="AE95" i="14"/>
  <c r="AD95" i="14"/>
  <c r="AC95" i="14"/>
  <c r="AB95" i="14"/>
  <c r="AA95" i="14"/>
  <c r="Z95" i="14"/>
  <c r="Y95" i="14"/>
  <c r="X95" i="14"/>
  <c r="W95" i="14"/>
  <c r="V95" i="14"/>
  <c r="U95" i="14"/>
  <c r="T95" i="14"/>
  <c r="S95" i="14"/>
  <c r="R95" i="14"/>
  <c r="Q95" i="14"/>
  <c r="P95" i="14"/>
  <c r="O95" i="14"/>
  <c r="N95" i="14"/>
  <c r="M95" i="14"/>
  <c r="L95" i="14"/>
  <c r="K95" i="14"/>
  <c r="J95" i="14"/>
  <c r="I95" i="14"/>
  <c r="H95" i="14"/>
  <c r="G95" i="14"/>
  <c r="F95" i="14"/>
  <c r="E95" i="14"/>
  <c r="D95" i="14"/>
  <c r="C95" i="14"/>
  <c r="B95" i="14"/>
  <c r="A95" i="14"/>
  <c r="AJ94" i="14"/>
  <c r="AI94" i="14"/>
  <c r="AH94" i="14"/>
  <c r="AG94" i="14"/>
  <c r="AF94" i="14"/>
  <c r="AE94" i="14"/>
  <c r="AD94" i="14"/>
  <c r="AC94" i="14"/>
  <c r="AB94" i="14"/>
  <c r="AA94" i="14"/>
  <c r="Z94" i="14"/>
  <c r="Y94" i="14"/>
  <c r="X94" i="14"/>
  <c r="W94" i="14"/>
  <c r="V94" i="14"/>
  <c r="U94" i="14"/>
  <c r="T94" i="14"/>
  <c r="S94" i="14"/>
  <c r="R94" i="14"/>
  <c r="Q94" i="14"/>
  <c r="P94" i="14"/>
  <c r="O94" i="14"/>
  <c r="N94" i="14"/>
  <c r="M94" i="14"/>
  <c r="L94" i="14"/>
  <c r="K94" i="14"/>
  <c r="J94" i="14"/>
  <c r="I94" i="14"/>
  <c r="H94" i="14"/>
  <c r="G94" i="14"/>
  <c r="F94" i="14"/>
  <c r="E94" i="14"/>
  <c r="D94" i="14"/>
  <c r="C94" i="14"/>
  <c r="B94" i="14"/>
  <c r="A94" i="14"/>
  <c r="AJ93" i="14"/>
  <c r="AI93" i="14"/>
  <c r="AH93" i="14"/>
  <c r="AG93" i="14"/>
  <c r="AF93" i="14"/>
  <c r="AE93" i="14"/>
  <c r="AD93" i="14"/>
  <c r="AC93" i="14"/>
  <c r="AB93" i="14"/>
  <c r="AA93" i="14"/>
  <c r="Z93" i="14"/>
  <c r="Y93" i="14"/>
  <c r="X93" i="14"/>
  <c r="W93" i="14"/>
  <c r="V93" i="14"/>
  <c r="U93" i="14"/>
  <c r="T93" i="14"/>
  <c r="S93" i="14"/>
  <c r="R93" i="14"/>
  <c r="Q93" i="14"/>
  <c r="P93" i="14"/>
  <c r="O93" i="14"/>
  <c r="N93" i="14"/>
  <c r="M93" i="14"/>
  <c r="L93" i="14"/>
  <c r="K93" i="14"/>
  <c r="J93" i="14"/>
  <c r="I93" i="14"/>
  <c r="H93" i="14"/>
  <c r="G93" i="14"/>
  <c r="F93" i="14"/>
  <c r="E93" i="14"/>
  <c r="D93" i="14"/>
  <c r="C93" i="14"/>
  <c r="B93" i="14"/>
  <c r="A93" i="14"/>
  <c r="AJ92" i="14"/>
  <c r="AI92" i="14"/>
  <c r="AH92" i="14"/>
  <c r="AG92" i="14"/>
  <c r="AF92" i="14"/>
  <c r="AE92" i="14"/>
  <c r="AD92" i="14"/>
  <c r="AC92" i="14"/>
  <c r="AB92" i="14"/>
  <c r="AA92" i="14"/>
  <c r="Z92" i="14"/>
  <c r="Y92" i="14"/>
  <c r="X92" i="14"/>
  <c r="W92" i="14"/>
  <c r="V92" i="14"/>
  <c r="U92" i="14"/>
  <c r="T92" i="14"/>
  <c r="S92" i="14"/>
  <c r="R92" i="14"/>
  <c r="Q92" i="14"/>
  <c r="P92" i="14"/>
  <c r="O92" i="14"/>
  <c r="N92" i="14"/>
  <c r="M92" i="14"/>
  <c r="L92" i="14"/>
  <c r="K92" i="14"/>
  <c r="J92" i="14"/>
  <c r="I92" i="14"/>
  <c r="H92" i="14"/>
  <c r="G92" i="14"/>
  <c r="F92" i="14"/>
  <c r="E92" i="14"/>
  <c r="D92" i="14"/>
  <c r="C92" i="14"/>
  <c r="B92" i="14"/>
  <c r="A92" i="14"/>
  <c r="AJ91" i="14"/>
  <c r="AI91" i="14"/>
  <c r="AH91" i="14"/>
  <c r="AG91" i="14"/>
  <c r="AF91" i="14"/>
  <c r="AE91" i="14"/>
  <c r="AD91" i="14"/>
  <c r="AC91" i="14"/>
  <c r="AB91" i="14"/>
  <c r="AA91" i="14"/>
  <c r="Z91" i="14"/>
  <c r="Y91" i="14"/>
  <c r="X91" i="14"/>
  <c r="W91" i="14"/>
  <c r="V91" i="14"/>
  <c r="U91" i="14"/>
  <c r="T91" i="14"/>
  <c r="S91" i="14"/>
  <c r="R91" i="14"/>
  <c r="Q91" i="14"/>
  <c r="P91" i="14"/>
  <c r="O91" i="14"/>
  <c r="N91" i="14"/>
  <c r="M91" i="14"/>
  <c r="L91" i="14"/>
  <c r="K91" i="14"/>
  <c r="J91" i="14"/>
  <c r="I91" i="14"/>
  <c r="H91" i="14"/>
  <c r="G91" i="14"/>
  <c r="F91" i="14"/>
  <c r="E91" i="14"/>
  <c r="D91" i="14"/>
  <c r="C91" i="14"/>
  <c r="B91" i="14"/>
  <c r="A91" i="14"/>
  <c r="AJ90" i="14"/>
  <c r="AI90" i="14"/>
  <c r="AH90" i="14"/>
  <c r="AG90" i="14"/>
  <c r="AF90" i="14"/>
  <c r="AE90" i="14"/>
  <c r="AD90" i="14"/>
  <c r="AC90" i="14"/>
  <c r="AB90" i="14"/>
  <c r="AA90" i="14"/>
  <c r="Z90" i="14"/>
  <c r="Y90" i="14"/>
  <c r="X90" i="14"/>
  <c r="W90" i="14"/>
  <c r="V90" i="14"/>
  <c r="U90" i="14"/>
  <c r="T90" i="14"/>
  <c r="S90" i="14"/>
  <c r="R90" i="14"/>
  <c r="Q90" i="14"/>
  <c r="P90" i="14"/>
  <c r="O90" i="14"/>
  <c r="N90" i="14"/>
  <c r="M90" i="14"/>
  <c r="L90" i="14"/>
  <c r="K90" i="14"/>
  <c r="J90" i="14"/>
  <c r="I90" i="14"/>
  <c r="H90" i="14"/>
  <c r="G90" i="14"/>
  <c r="F90" i="14"/>
  <c r="E90" i="14"/>
  <c r="D90" i="14"/>
  <c r="C90" i="14"/>
  <c r="B90" i="14"/>
  <c r="A90" i="14"/>
  <c r="AJ89" i="14"/>
  <c r="AI89" i="14"/>
  <c r="AH89" i="14"/>
  <c r="AG89" i="14"/>
  <c r="AF89" i="14"/>
  <c r="AE89" i="14"/>
  <c r="AD89" i="14"/>
  <c r="AC89" i="14"/>
  <c r="AB89" i="14"/>
  <c r="AA89" i="14"/>
  <c r="Z89" i="14"/>
  <c r="Y89" i="14"/>
  <c r="X89" i="14"/>
  <c r="W89" i="14"/>
  <c r="V89" i="14"/>
  <c r="U89" i="14"/>
  <c r="T89" i="14"/>
  <c r="S89" i="14"/>
  <c r="R89" i="14"/>
  <c r="Q89" i="14"/>
  <c r="P89" i="14"/>
  <c r="O89" i="14"/>
  <c r="N89" i="14"/>
  <c r="M89" i="14"/>
  <c r="L89" i="14"/>
  <c r="K89" i="14"/>
  <c r="J89" i="14"/>
  <c r="I89" i="14"/>
  <c r="H89" i="14"/>
  <c r="G89" i="14"/>
  <c r="F89" i="14"/>
  <c r="E89" i="14"/>
  <c r="D89" i="14"/>
  <c r="C89" i="14"/>
  <c r="B89" i="14"/>
  <c r="A89" i="14"/>
  <c r="AJ88" i="14"/>
  <c r="AI88" i="14"/>
  <c r="AH88" i="14"/>
  <c r="AG88" i="14"/>
  <c r="AF88" i="14"/>
  <c r="AE88" i="14"/>
  <c r="AD88" i="14"/>
  <c r="AC88" i="14"/>
  <c r="AB88" i="14"/>
  <c r="AA88" i="14"/>
  <c r="Z88" i="14"/>
  <c r="Y88" i="14"/>
  <c r="X88" i="14"/>
  <c r="W88" i="14"/>
  <c r="V88" i="14"/>
  <c r="U88" i="14"/>
  <c r="T88" i="14"/>
  <c r="S88" i="14"/>
  <c r="R88" i="14"/>
  <c r="Q88" i="14"/>
  <c r="P88" i="14"/>
  <c r="O88" i="14"/>
  <c r="N88" i="14"/>
  <c r="M88" i="14"/>
  <c r="L88" i="14"/>
  <c r="K88" i="14"/>
  <c r="J88" i="14"/>
  <c r="I88" i="14"/>
  <c r="H88" i="14"/>
  <c r="G88" i="14"/>
  <c r="F88" i="14"/>
  <c r="E88" i="14"/>
  <c r="D88" i="14"/>
  <c r="C88" i="14"/>
  <c r="B88" i="14"/>
  <c r="A88" i="14"/>
  <c r="AJ87" i="14"/>
  <c r="AI87" i="14"/>
  <c r="AH87" i="14"/>
  <c r="AG87" i="14"/>
  <c r="AF87" i="14"/>
  <c r="AE87" i="14"/>
  <c r="AD87" i="14"/>
  <c r="AC87" i="14"/>
  <c r="AB87" i="14"/>
  <c r="AA87" i="14"/>
  <c r="Z87" i="14"/>
  <c r="Y87" i="14"/>
  <c r="X87" i="14"/>
  <c r="W87" i="14"/>
  <c r="V87" i="14"/>
  <c r="U87" i="14"/>
  <c r="T87" i="14"/>
  <c r="S87" i="14"/>
  <c r="R87" i="14"/>
  <c r="Q87" i="14"/>
  <c r="P87" i="14"/>
  <c r="O87" i="14"/>
  <c r="N87" i="14"/>
  <c r="M87" i="14"/>
  <c r="L87" i="14"/>
  <c r="K87" i="14"/>
  <c r="J87" i="14"/>
  <c r="I87" i="14"/>
  <c r="H87" i="14"/>
  <c r="G87" i="14"/>
  <c r="F87" i="14"/>
  <c r="E87" i="14"/>
  <c r="D87" i="14"/>
  <c r="C87" i="14"/>
  <c r="B87" i="14"/>
  <c r="A87" i="14"/>
  <c r="AJ86" i="14"/>
  <c r="AI86" i="14"/>
  <c r="AH86" i="14"/>
  <c r="AG86" i="14"/>
  <c r="AF86" i="14"/>
  <c r="AE86" i="14"/>
  <c r="AD86" i="14"/>
  <c r="AC86" i="14"/>
  <c r="AB86" i="14"/>
  <c r="AA86" i="14"/>
  <c r="Z86" i="14"/>
  <c r="Y86" i="14"/>
  <c r="X86" i="14"/>
  <c r="W86" i="14"/>
  <c r="V86" i="14"/>
  <c r="U86" i="14"/>
  <c r="T86" i="14"/>
  <c r="S86" i="14"/>
  <c r="R86" i="14"/>
  <c r="Q86" i="14"/>
  <c r="P86" i="14"/>
  <c r="O86" i="14"/>
  <c r="N86" i="14"/>
  <c r="M86" i="14"/>
  <c r="L86" i="14"/>
  <c r="K86" i="14"/>
  <c r="J86" i="14"/>
  <c r="I86" i="14"/>
  <c r="H86" i="14"/>
  <c r="G86" i="14"/>
  <c r="F86" i="14"/>
  <c r="E86" i="14"/>
  <c r="D86" i="14"/>
  <c r="C86" i="14"/>
  <c r="B86" i="14"/>
  <c r="A86" i="14"/>
  <c r="AJ85" i="14"/>
  <c r="AI85" i="14"/>
  <c r="AH85" i="14"/>
  <c r="AG85" i="14"/>
  <c r="AF85" i="14"/>
  <c r="AE85" i="14"/>
  <c r="AD85" i="14"/>
  <c r="AC85" i="14"/>
  <c r="AB85" i="14"/>
  <c r="AA85" i="14"/>
  <c r="Z85" i="14"/>
  <c r="Y85" i="14"/>
  <c r="X85" i="14"/>
  <c r="W85" i="14"/>
  <c r="V85" i="14"/>
  <c r="U85" i="14"/>
  <c r="T85" i="14"/>
  <c r="S85" i="14"/>
  <c r="R85" i="14"/>
  <c r="Q85" i="14"/>
  <c r="P85" i="14"/>
  <c r="O85" i="14"/>
  <c r="N85" i="14"/>
  <c r="M85" i="14"/>
  <c r="L85" i="14"/>
  <c r="K85" i="14"/>
  <c r="J85" i="14"/>
  <c r="I85" i="14"/>
  <c r="H85" i="14"/>
  <c r="G85" i="14"/>
  <c r="F85" i="14"/>
  <c r="E85" i="14"/>
  <c r="D85" i="14"/>
  <c r="C85" i="14"/>
  <c r="B85" i="14"/>
  <c r="A85" i="14"/>
  <c r="AJ84" i="14"/>
  <c r="AI84" i="14"/>
  <c r="AH84" i="14"/>
  <c r="AG84" i="14"/>
  <c r="AF84" i="14"/>
  <c r="AE84" i="14"/>
  <c r="AD84" i="14"/>
  <c r="AC84" i="14"/>
  <c r="AB84" i="14"/>
  <c r="AA84" i="14"/>
  <c r="Z84" i="14"/>
  <c r="Y84" i="14"/>
  <c r="X84" i="14"/>
  <c r="W84" i="14"/>
  <c r="V84" i="14"/>
  <c r="U84" i="14"/>
  <c r="T84" i="14"/>
  <c r="S84" i="14"/>
  <c r="R84" i="14"/>
  <c r="Q84" i="14"/>
  <c r="P84" i="14"/>
  <c r="O84" i="14"/>
  <c r="N84" i="14"/>
  <c r="M84" i="14"/>
  <c r="L84" i="14"/>
  <c r="K84" i="14"/>
  <c r="J84" i="14"/>
  <c r="I84" i="14"/>
  <c r="H84" i="14"/>
  <c r="G84" i="14"/>
  <c r="F84" i="14"/>
  <c r="E84" i="14"/>
  <c r="D84" i="14"/>
  <c r="C84" i="14"/>
  <c r="B84" i="14"/>
  <c r="A84" i="14"/>
  <c r="AJ83" i="14"/>
  <c r="AI83" i="14"/>
  <c r="AH83" i="14"/>
  <c r="AG83" i="14"/>
  <c r="AF83" i="14"/>
  <c r="AE83" i="14"/>
  <c r="AD83" i="14"/>
  <c r="AC83" i="14"/>
  <c r="AB83" i="14"/>
  <c r="AA83" i="14"/>
  <c r="Z83" i="14"/>
  <c r="Y83" i="14"/>
  <c r="X83" i="14"/>
  <c r="W83" i="14"/>
  <c r="V83" i="14"/>
  <c r="U83" i="14"/>
  <c r="T83" i="14"/>
  <c r="S83" i="14"/>
  <c r="R83" i="14"/>
  <c r="Q83" i="14"/>
  <c r="P83" i="14"/>
  <c r="O83" i="14"/>
  <c r="N83" i="14"/>
  <c r="M83" i="14"/>
  <c r="L83" i="14"/>
  <c r="K83" i="14"/>
  <c r="J83" i="14"/>
  <c r="I83" i="14"/>
  <c r="H83" i="14"/>
  <c r="G83" i="14"/>
  <c r="F83" i="14"/>
  <c r="E83" i="14"/>
  <c r="D83" i="14"/>
  <c r="C83" i="14"/>
  <c r="B83" i="14"/>
  <c r="A83" i="14"/>
  <c r="AJ82" i="14"/>
  <c r="AI82" i="14"/>
  <c r="AH82" i="14"/>
  <c r="AG82" i="14"/>
  <c r="AF82" i="14"/>
  <c r="AE82" i="14"/>
  <c r="AD82" i="14"/>
  <c r="AC82" i="14"/>
  <c r="AB82" i="14"/>
  <c r="AA82" i="14"/>
  <c r="Z82" i="14"/>
  <c r="Y82" i="14"/>
  <c r="X82" i="14"/>
  <c r="W82" i="14"/>
  <c r="V82" i="14"/>
  <c r="U82" i="14"/>
  <c r="T82" i="14"/>
  <c r="S82" i="14"/>
  <c r="R82" i="14"/>
  <c r="Q82" i="14"/>
  <c r="P82" i="14"/>
  <c r="O82" i="14"/>
  <c r="N82" i="14"/>
  <c r="M82" i="14"/>
  <c r="L82" i="14"/>
  <c r="K82" i="14"/>
  <c r="J82" i="14"/>
  <c r="I82" i="14"/>
  <c r="H82" i="14"/>
  <c r="G82" i="14"/>
  <c r="F82" i="14"/>
  <c r="E82" i="14"/>
  <c r="D82" i="14"/>
  <c r="C82" i="14"/>
  <c r="B82" i="14"/>
  <c r="A82" i="14"/>
  <c r="AJ81" i="14"/>
  <c r="AI81" i="14"/>
  <c r="AH81" i="14"/>
  <c r="AG81" i="14"/>
  <c r="AF81" i="14"/>
  <c r="AE81" i="14"/>
  <c r="AD81" i="14"/>
  <c r="AC81" i="14"/>
  <c r="AB81" i="14"/>
  <c r="AA81" i="14"/>
  <c r="Z81" i="14"/>
  <c r="Y81" i="14"/>
  <c r="X81" i="14"/>
  <c r="W81" i="14"/>
  <c r="V81" i="14"/>
  <c r="U81" i="14"/>
  <c r="T81" i="14"/>
  <c r="S81" i="14"/>
  <c r="R81" i="14"/>
  <c r="Q81" i="14"/>
  <c r="P81" i="14"/>
  <c r="O81" i="14"/>
  <c r="N81" i="14"/>
  <c r="M81" i="14"/>
  <c r="L81" i="14"/>
  <c r="K81" i="14"/>
  <c r="J81" i="14"/>
  <c r="I81" i="14"/>
  <c r="H81" i="14"/>
  <c r="G81" i="14"/>
  <c r="F81" i="14"/>
  <c r="E81" i="14"/>
  <c r="D81" i="14"/>
  <c r="C81" i="14"/>
  <c r="B81" i="14"/>
  <c r="A81" i="14"/>
  <c r="AJ80" i="14"/>
  <c r="AI80" i="14"/>
  <c r="AH80" i="14"/>
  <c r="AG80" i="14"/>
  <c r="AF80" i="14"/>
  <c r="AE80" i="14"/>
  <c r="AD80" i="14"/>
  <c r="AC80" i="14"/>
  <c r="AB80" i="14"/>
  <c r="AA80" i="14"/>
  <c r="Z80" i="14"/>
  <c r="Y80" i="14"/>
  <c r="X80" i="14"/>
  <c r="W80" i="14"/>
  <c r="V80" i="14"/>
  <c r="U80" i="14"/>
  <c r="T80" i="14"/>
  <c r="S80" i="14"/>
  <c r="R80" i="14"/>
  <c r="Q80" i="14"/>
  <c r="P80" i="14"/>
  <c r="O80" i="14"/>
  <c r="N80" i="14"/>
  <c r="M80" i="14"/>
  <c r="L80" i="14"/>
  <c r="K80" i="14"/>
  <c r="J80" i="14"/>
  <c r="I80" i="14"/>
  <c r="H80" i="14"/>
  <c r="G80" i="14"/>
  <c r="F80" i="14"/>
  <c r="E80" i="14"/>
  <c r="D80" i="14"/>
  <c r="C80" i="14"/>
  <c r="B80" i="14"/>
  <c r="A80" i="14"/>
  <c r="AJ79" i="14"/>
  <c r="AI79" i="14"/>
  <c r="AH79" i="14"/>
  <c r="AG79" i="14"/>
  <c r="AF79" i="14"/>
  <c r="AE79" i="14"/>
  <c r="AD79" i="14"/>
  <c r="AC79" i="14"/>
  <c r="AB79" i="14"/>
  <c r="AA79" i="14"/>
  <c r="Z79" i="14"/>
  <c r="Y79" i="14"/>
  <c r="X79" i="14"/>
  <c r="W79" i="14"/>
  <c r="V79" i="14"/>
  <c r="U79" i="14"/>
  <c r="T79" i="14"/>
  <c r="S79" i="14"/>
  <c r="R79" i="14"/>
  <c r="Q79" i="14"/>
  <c r="P79" i="14"/>
  <c r="O79" i="14"/>
  <c r="N79" i="14"/>
  <c r="M79" i="14"/>
  <c r="L79" i="14"/>
  <c r="K79" i="14"/>
  <c r="J79" i="14"/>
  <c r="I79" i="14"/>
  <c r="H79" i="14"/>
  <c r="G79" i="14"/>
  <c r="F79" i="14"/>
  <c r="E79" i="14"/>
  <c r="D79" i="14"/>
  <c r="C79" i="14"/>
  <c r="B79" i="14"/>
  <c r="A79" i="14"/>
  <c r="AJ78" i="14"/>
  <c r="AI78" i="14"/>
  <c r="AH78" i="14"/>
  <c r="AG78" i="14"/>
  <c r="AF78" i="14"/>
  <c r="AE78" i="14"/>
  <c r="AD78" i="14"/>
  <c r="AC78" i="14"/>
  <c r="AB78" i="14"/>
  <c r="AA78" i="14"/>
  <c r="Z78" i="14"/>
  <c r="Y78" i="14"/>
  <c r="X78" i="14"/>
  <c r="W78" i="14"/>
  <c r="V78" i="14"/>
  <c r="U78" i="14"/>
  <c r="T78" i="14"/>
  <c r="S78" i="14"/>
  <c r="R78" i="14"/>
  <c r="Q78" i="14"/>
  <c r="P78" i="14"/>
  <c r="O78" i="14"/>
  <c r="N78" i="14"/>
  <c r="M78" i="14"/>
  <c r="L78" i="14"/>
  <c r="K78" i="14"/>
  <c r="J78" i="14"/>
  <c r="I78" i="14"/>
  <c r="H78" i="14"/>
  <c r="G78" i="14"/>
  <c r="F78" i="14"/>
  <c r="E78" i="14"/>
  <c r="D78" i="14"/>
  <c r="C78" i="14"/>
  <c r="B78" i="14"/>
  <c r="A78" i="14"/>
  <c r="AJ77" i="14"/>
  <c r="AI77" i="14"/>
  <c r="AH77" i="14"/>
  <c r="AG77" i="14"/>
  <c r="AF77" i="14"/>
  <c r="AE77" i="14"/>
  <c r="AD77" i="14"/>
  <c r="AC77" i="14"/>
  <c r="AB77" i="14"/>
  <c r="AA77" i="14"/>
  <c r="Z77" i="14"/>
  <c r="Y77" i="14"/>
  <c r="X77" i="14"/>
  <c r="W77" i="14"/>
  <c r="V77" i="14"/>
  <c r="U77" i="14"/>
  <c r="T77" i="14"/>
  <c r="S77" i="14"/>
  <c r="R77" i="14"/>
  <c r="Q77" i="14"/>
  <c r="P77" i="14"/>
  <c r="O77" i="14"/>
  <c r="N77" i="14"/>
  <c r="M77" i="14"/>
  <c r="L77" i="14"/>
  <c r="K77" i="14"/>
  <c r="J77" i="14"/>
  <c r="I77" i="14"/>
  <c r="H77" i="14"/>
  <c r="G77" i="14"/>
  <c r="F77" i="14"/>
  <c r="E77" i="14"/>
  <c r="D77" i="14"/>
  <c r="C77" i="14"/>
  <c r="B77" i="14"/>
  <c r="A77" i="14"/>
  <c r="AJ76" i="14"/>
  <c r="AI76" i="14"/>
  <c r="AH76" i="14"/>
  <c r="AG76" i="14"/>
  <c r="AF76" i="14"/>
  <c r="AE76" i="14"/>
  <c r="AD76" i="14"/>
  <c r="AC76" i="14"/>
  <c r="AB76" i="14"/>
  <c r="AA76" i="14"/>
  <c r="Z76" i="14"/>
  <c r="Y76" i="14"/>
  <c r="X76" i="14"/>
  <c r="W76" i="14"/>
  <c r="V76" i="14"/>
  <c r="U76" i="14"/>
  <c r="T76" i="14"/>
  <c r="S76" i="14"/>
  <c r="R76" i="14"/>
  <c r="Q76" i="14"/>
  <c r="P76" i="14"/>
  <c r="O76" i="14"/>
  <c r="N76" i="14"/>
  <c r="M76" i="14"/>
  <c r="L76" i="14"/>
  <c r="K76" i="14"/>
  <c r="J76" i="14"/>
  <c r="I76" i="14"/>
  <c r="H76" i="14"/>
  <c r="G76" i="14"/>
  <c r="F76" i="14"/>
  <c r="E76" i="14"/>
  <c r="D76" i="14"/>
  <c r="C76" i="14"/>
  <c r="B76" i="14"/>
  <c r="A76" i="14"/>
  <c r="AJ75" i="14"/>
  <c r="AI75" i="14"/>
  <c r="AH75" i="14"/>
  <c r="AG75" i="14"/>
  <c r="AF75" i="14"/>
  <c r="AE75" i="14"/>
  <c r="AD75" i="14"/>
  <c r="AC75" i="14"/>
  <c r="AB75" i="14"/>
  <c r="AA75" i="14"/>
  <c r="Z75" i="14"/>
  <c r="Y75" i="14"/>
  <c r="X75" i="14"/>
  <c r="W75" i="14"/>
  <c r="V75" i="14"/>
  <c r="U75" i="14"/>
  <c r="T75" i="14"/>
  <c r="S75" i="14"/>
  <c r="R75" i="14"/>
  <c r="Q75" i="14"/>
  <c r="P75" i="14"/>
  <c r="O75" i="14"/>
  <c r="N75" i="14"/>
  <c r="M75" i="14"/>
  <c r="L75" i="14"/>
  <c r="K75" i="14"/>
  <c r="J75" i="14"/>
  <c r="I75" i="14"/>
  <c r="H75" i="14"/>
  <c r="G75" i="14"/>
  <c r="F75" i="14"/>
  <c r="E75" i="14"/>
  <c r="D75" i="14"/>
  <c r="C75" i="14"/>
  <c r="B75" i="14"/>
  <c r="A75" i="14"/>
  <c r="AJ74" i="14"/>
  <c r="AI74" i="14"/>
  <c r="AH74" i="14"/>
  <c r="AG74" i="14"/>
  <c r="AF74" i="14"/>
  <c r="AE74" i="14"/>
  <c r="AD74" i="14"/>
  <c r="AC74" i="14"/>
  <c r="AB74" i="14"/>
  <c r="AA74" i="14"/>
  <c r="Z74" i="14"/>
  <c r="Y74" i="14"/>
  <c r="X74" i="14"/>
  <c r="W74" i="14"/>
  <c r="V74" i="14"/>
  <c r="U74" i="14"/>
  <c r="T74" i="14"/>
  <c r="S74" i="14"/>
  <c r="R74" i="14"/>
  <c r="Q74" i="14"/>
  <c r="P74" i="14"/>
  <c r="O74" i="14"/>
  <c r="N74" i="14"/>
  <c r="M74" i="14"/>
  <c r="L74" i="14"/>
  <c r="K74" i="14"/>
  <c r="J74" i="14"/>
  <c r="I74" i="14"/>
  <c r="H74" i="14"/>
  <c r="G74" i="14"/>
  <c r="F74" i="14"/>
  <c r="E74" i="14"/>
  <c r="D74" i="14"/>
  <c r="C74" i="14"/>
  <c r="B74" i="14"/>
  <c r="A74" i="14"/>
  <c r="AJ73" i="14"/>
  <c r="AI73" i="14"/>
  <c r="AH73" i="14"/>
  <c r="AG73" i="14"/>
  <c r="AF73" i="14"/>
  <c r="AE73" i="14"/>
  <c r="AD73" i="14"/>
  <c r="AC73" i="14"/>
  <c r="AB73" i="14"/>
  <c r="AA73" i="14"/>
  <c r="Z73" i="14"/>
  <c r="Y73" i="14"/>
  <c r="X73" i="14"/>
  <c r="W73" i="14"/>
  <c r="V73" i="14"/>
  <c r="U73" i="14"/>
  <c r="T73" i="14"/>
  <c r="S73" i="14"/>
  <c r="R73" i="14"/>
  <c r="Q73" i="14"/>
  <c r="P73" i="14"/>
  <c r="O73" i="14"/>
  <c r="N73" i="14"/>
  <c r="M73" i="14"/>
  <c r="L73" i="14"/>
  <c r="K73" i="14"/>
  <c r="J73" i="14"/>
  <c r="I73" i="14"/>
  <c r="H73" i="14"/>
  <c r="G73" i="14"/>
  <c r="F73" i="14"/>
  <c r="E73" i="14"/>
  <c r="D73" i="14"/>
  <c r="C73" i="14"/>
  <c r="B73" i="14"/>
  <c r="A73" i="14"/>
  <c r="AJ72" i="14"/>
  <c r="AI72" i="14"/>
  <c r="AH72" i="14"/>
  <c r="AG72" i="14"/>
  <c r="AF72" i="14"/>
  <c r="AE72" i="14"/>
  <c r="AD72" i="14"/>
  <c r="AC72" i="14"/>
  <c r="AB72" i="14"/>
  <c r="AA72" i="14"/>
  <c r="Z72" i="14"/>
  <c r="Y72" i="14"/>
  <c r="X72" i="14"/>
  <c r="W72" i="14"/>
  <c r="V72" i="14"/>
  <c r="U72" i="14"/>
  <c r="T72" i="14"/>
  <c r="S72" i="14"/>
  <c r="R72" i="14"/>
  <c r="Q72" i="14"/>
  <c r="P72" i="14"/>
  <c r="O72" i="14"/>
  <c r="N72" i="14"/>
  <c r="M72" i="14"/>
  <c r="L72" i="14"/>
  <c r="K72" i="14"/>
  <c r="J72" i="14"/>
  <c r="I72" i="14"/>
  <c r="H72" i="14"/>
  <c r="G72" i="14"/>
  <c r="F72" i="14"/>
  <c r="E72" i="14"/>
  <c r="D72" i="14"/>
  <c r="C72" i="14"/>
  <c r="B72" i="14"/>
  <c r="A72" i="14"/>
  <c r="AJ71" i="14"/>
  <c r="AI71" i="14"/>
  <c r="AH71" i="14"/>
  <c r="AG71" i="14"/>
  <c r="AF71" i="14"/>
  <c r="AE71" i="14"/>
  <c r="AD71" i="14"/>
  <c r="AC71" i="14"/>
  <c r="AB71" i="14"/>
  <c r="AA71" i="14"/>
  <c r="Z71" i="14"/>
  <c r="Y71" i="14"/>
  <c r="X71" i="14"/>
  <c r="W71" i="14"/>
  <c r="V71" i="14"/>
  <c r="U71" i="14"/>
  <c r="T71" i="14"/>
  <c r="S71" i="14"/>
  <c r="R71" i="14"/>
  <c r="Q71" i="14"/>
  <c r="P71" i="14"/>
  <c r="O71" i="14"/>
  <c r="N71" i="14"/>
  <c r="M71" i="14"/>
  <c r="L71" i="14"/>
  <c r="K71" i="14"/>
  <c r="J71" i="14"/>
  <c r="I71" i="14"/>
  <c r="H71" i="14"/>
  <c r="G71" i="14"/>
  <c r="F71" i="14"/>
  <c r="E71" i="14"/>
  <c r="D71" i="14"/>
  <c r="C71" i="14"/>
  <c r="B71" i="14"/>
  <c r="A71" i="14"/>
  <c r="AJ70" i="14"/>
  <c r="AI70" i="14"/>
  <c r="AH70" i="14"/>
  <c r="AG70" i="14"/>
  <c r="AF70" i="14"/>
  <c r="AE70" i="14"/>
  <c r="AD70" i="14"/>
  <c r="AC70" i="14"/>
  <c r="AB70" i="14"/>
  <c r="AA70" i="14"/>
  <c r="Z70" i="14"/>
  <c r="Y70" i="14"/>
  <c r="X70" i="14"/>
  <c r="W70" i="14"/>
  <c r="V70" i="14"/>
  <c r="U70" i="14"/>
  <c r="T70" i="14"/>
  <c r="S70" i="14"/>
  <c r="R70" i="14"/>
  <c r="Q70" i="14"/>
  <c r="P70" i="14"/>
  <c r="O70" i="14"/>
  <c r="N70" i="14"/>
  <c r="M70" i="14"/>
  <c r="L70" i="14"/>
  <c r="K70" i="14"/>
  <c r="J70" i="14"/>
  <c r="I70" i="14"/>
  <c r="H70" i="14"/>
  <c r="G70" i="14"/>
  <c r="F70" i="14"/>
  <c r="E70" i="14"/>
  <c r="D70" i="14"/>
  <c r="C70" i="14"/>
  <c r="B70" i="14"/>
  <c r="A70" i="14"/>
  <c r="AJ69" i="14"/>
  <c r="AI69" i="14"/>
  <c r="AH69" i="14"/>
  <c r="AG69" i="14"/>
  <c r="AF69" i="14"/>
  <c r="AE69" i="14"/>
  <c r="AD69" i="14"/>
  <c r="AC69" i="14"/>
  <c r="AB69" i="14"/>
  <c r="AA69" i="14"/>
  <c r="Z69" i="14"/>
  <c r="Y69" i="14"/>
  <c r="X69" i="14"/>
  <c r="W69" i="14"/>
  <c r="V69" i="14"/>
  <c r="U69" i="14"/>
  <c r="T69" i="14"/>
  <c r="S69" i="14"/>
  <c r="R69" i="14"/>
  <c r="Q69" i="14"/>
  <c r="P69" i="14"/>
  <c r="O69" i="14"/>
  <c r="N69" i="14"/>
  <c r="M69" i="14"/>
  <c r="L69" i="14"/>
  <c r="K69" i="14"/>
  <c r="J69" i="14"/>
  <c r="I69" i="14"/>
  <c r="H69" i="14"/>
  <c r="G69" i="14"/>
  <c r="F69" i="14"/>
  <c r="E69" i="14"/>
  <c r="D69" i="14"/>
  <c r="C69" i="14"/>
  <c r="B69" i="14"/>
  <c r="A69" i="14"/>
  <c r="AJ68" i="14"/>
  <c r="AI68" i="14"/>
  <c r="AH68" i="14"/>
  <c r="AG68" i="14"/>
  <c r="AF68" i="14"/>
  <c r="AE68" i="14"/>
  <c r="AD68" i="14"/>
  <c r="AC68" i="14"/>
  <c r="AB68" i="14"/>
  <c r="AA68" i="14"/>
  <c r="Z68" i="14"/>
  <c r="Y68" i="14"/>
  <c r="X68" i="14"/>
  <c r="W68" i="14"/>
  <c r="V68" i="14"/>
  <c r="U68" i="14"/>
  <c r="T68" i="14"/>
  <c r="S68" i="14"/>
  <c r="R68" i="14"/>
  <c r="Q68" i="14"/>
  <c r="P68" i="14"/>
  <c r="O68" i="14"/>
  <c r="N68" i="14"/>
  <c r="M68" i="14"/>
  <c r="L68" i="14"/>
  <c r="K68" i="14"/>
  <c r="J68" i="14"/>
  <c r="I68" i="14"/>
  <c r="H68" i="14"/>
  <c r="G68" i="14"/>
  <c r="F68" i="14"/>
  <c r="E68" i="14"/>
  <c r="D68" i="14"/>
  <c r="C68" i="14"/>
  <c r="B68" i="14"/>
  <c r="A68" i="14"/>
  <c r="AJ67" i="14"/>
  <c r="AI67" i="14"/>
  <c r="AH67" i="14"/>
  <c r="AG67" i="14"/>
  <c r="AF67" i="14"/>
  <c r="AE67" i="14"/>
  <c r="AD67" i="14"/>
  <c r="AC67" i="14"/>
  <c r="AB67" i="14"/>
  <c r="AA67" i="14"/>
  <c r="Z67" i="14"/>
  <c r="Y67" i="14"/>
  <c r="X67" i="14"/>
  <c r="W67" i="14"/>
  <c r="V67" i="14"/>
  <c r="U67" i="14"/>
  <c r="T67" i="14"/>
  <c r="S67" i="14"/>
  <c r="R67" i="14"/>
  <c r="Q67" i="14"/>
  <c r="P67" i="14"/>
  <c r="O67" i="14"/>
  <c r="N67" i="14"/>
  <c r="M67" i="14"/>
  <c r="L67" i="14"/>
  <c r="K67" i="14"/>
  <c r="J67" i="14"/>
  <c r="I67" i="14"/>
  <c r="H67" i="14"/>
  <c r="G67" i="14"/>
  <c r="F67" i="14"/>
  <c r="E67" i="14"/>
  <c r="D67" i="14"/>
  <c r="C67" i="14"/>
  <c r="B67" i="14"/>
  <c r="A67" i="14"/>
  <c r="AJ66" i="14"/>
  <c r="AI66" i="14"/>
  <c r="AH66" i="14"/>
  <c r="AG66" i="14"/>
  <c r="AF66" i="14"/>
  <c r="AE66" i="14"/>
  <c r="AD66" i="14"/>
  <c r="AC66" i="14"/>
  <c r="AB66" i="14"/>
  <c r="AA66" i="14"/>
  <c r="Z66" i="14"/>
  <c r="Y66" i="14"/>
  <c r="X66" i="14"/>
  <c r="W66" i="14"/>
  <c r="V66" i="14"/>
  <c r="U66" i="14"/>
  <c r="T66" i="14"/>
  <c r="S66" i="14"/>
  <c r="R66" i="14"/>
  <c r="Q66" i="14"/>
  <c r="P66" i="14"/>
  <c r="O66" i="14"/>
  <c r="N66" i="14"/>
  <c r="M66" i="14"/>
  <c r="L66" i="14"/>
  <c r="K66" i="14"/>
  <c r="J66" i="14"/>
  <c r="I66" i="14"/>
  <c r="H66" i="14"/>
  <c r="G66" i="14"/>
  <c r="F66" i="14"/>
  <c r="E66" i="14"/>
  <c r="D66" i="14"/>
  <c r="C66" i="14"/>
  <c r="B66" i="14"/>
  <c r="A66" i="14"/>
  <c r="AJ65" i="14"/>
  <c r="AI65" i="14"/>
  <c r="AH65" i="14"/>
  <c r="AG65" i="14"/>
  <c r="AF65" i="14"/>
  <c r="AE65" i="14"/>
  <c r="AD65" i="14"/>
  <c r="AC65" i="14"/>
  <c r="AB65" i="14"/>
  <c r="AA65" i="14"/>
  <c r="Z65" i="14"/>
  <c r="Y65" i="14"/>
  <c r="X65" i="14"/>
  <c r="W65" i="14"/>
  <c r="V65" i="14"/>
  <c r="U65" i="14"/>
  <c r="T65" i="14"/>
  <c r="S65" i="14"/>
  <c r="R65" i="14"/>
  <c r="Q65" i="14"/>
  <c r="P65" i="14"/>
  <c r="O65" i="14"/>
  <c r="N65" i="14"/>
  <c r="M65" i="14"/>
  <c r="L65" i="14"/>
  <c r="K65" i="14"/>
  <c r="J65" i="14"/>
  <c r="I65" i="14"/>
  <c r="H65" i="14"/>
  <c r="G65" i="14"/>
  <c r="F65" i="14"/>
  <c r="E65" i="14"/>
  <c r="D65" i="14"/>
  <c r="C65" i="14"/>
  <c r="B65" i="14"/>
  <c r="A65" i="14"/>
  <c r="AJ64" i="14"/>
  <c r="AI64" i="14"/>
  <c r="AH64" i="14"/>
  <c r="AG64" i="14"/>
  <c r="AF64" i="14"/>
  <c r="AE64" i="14"/>
  <c r="AD64" i="14"/>
  <c r="AC64" i="14"/>
  <c r="AB64" i="14"/>
  <c r="AA64" i="14"/>
  <c r="Z64" i="14"/>
  <c r="Y64" i="14"/>
  <c r="X64" i="14"/>
  <c r="W64" i="14"/>
  <c r="V64" i="14"/>
  <c r="U64" i="14"/>
  <c r="T64" i="14"/>
  <c r="S64" i="14"/>
  <c r="R64" i="14"/>
  <c r="Q64" i="14"/>
  <c r="P64" i="14"/>
  <c r="O64" i="14"/>
  <c r="N64" i="14"/>
  <c r="M64" i="14"/>
  <c r="L64" i="14"/>
  <c r="K64" i="14"/>
  <c r="J64" i="14"/>
  <c r="I64" i="14"/>
  <c r="H64" i="14"/>
  <c r="G64" i="14"/>
  <c r="F64" i="14"/>
  <c r="E64" i="14"/>
  <c r="D64" i="14"/>
  <c r="C64" i="14"/>
  <c r="B64" i="14"/>
  <c r="A64" i="14"/>
  <c r="AJ63" i="14"/>
  <c r="AI63" i="14"/>
  <c r="AH63" i="14"/>
  <c r="AG63" i="14"/>
  <c r="AF63" i="14"/>
  <c r="AE63" i="14"/>
  <c r="AD63" i="14"/>
  <c r="AC63" i="14"/>
  <c r="AB63" i="14"/>
  <c r="AA63" i="14"/>
  <c r="Z63" i="14"/>
  <c r="Y63" i="14"/>
  <c r="X63" i="14"/>
  <c r="W63" i="14"/>
  <c r="V63" i="14"/>
  <c r="U63" i="14"/>
  <c r="T63" i="14"/>
  <c r="S63" i="14"/>
  <c r="R63" i="14"/>
  <c r="Q63" i="14"/>
  <c r="P63" i="14"/>
  <c r="O63" i="14"/>
  <c r="N63" i="14"/>
  <c r="M63" i="14"/>
  <c r="L63" i="14"/>
  <c r="K63" i="14"/>
  <c r="J63" i="14"/>
  <c r="I63" i="14"/>
  <c r="H63" i="14"/>
  <c r="G63" i="14"/>
  <c r="F63" i="14"/>
  <c r="E63" i="14"/>
  <c r="D63" i="14"/>
  <c r="C63" i="14"/>
  <c r="B63" i="14"/>
  <c r="A63" i="14"/>
  <c r="AJ62" i="14"/>
  <c r="AI62" i="14"/>
  <c r="AH62" i="14"/>
  <c r="AG62" i="14"/>
  <c r="AF62" i="14"/>
  <c r="AE62" i="14"/>
  <c r="AD62" i="14"/>
  <c r="AC62" i="14"/>
  <c r="AB62" i="14"/>
  <c r="AA62" i="14"/>
  <c r="Z62" i="14"/>
  <c r="Y62" i="14"/>
  <c r="X62" i="14"/>
  <c r="W62" i="14"/>
  <c r="V62" i="14"/>
  <c r="U62" i="14"/>
  <c r="T62" i="14"/>
  <c r="S62" i="14"/>
  <c r="R62" i="14"/>
  <c r="Q62" i="14"/>
  <c r="P62" i="14"/>
  <c r="O62" i="14"/>
  <c r="N62" i="14"/>
  <c r="M62" i="14"/>
  <c r="L62" i="14"/>
  <c r="K62" i="14"/>
  <c r="J62" i="14"/>
  <c r="I62" i="14"/>
  <c r="H62" i="14"/>
  <c r="G62" i="14"/>
  <c r="F62" i="14"/>
  <c r="E62" i="14"/>
  <c r="D62" i="14"/>
  <c r="C62" i="14"/>
  <c r="B62" i="14"/>
  <c r="A62" i="14"/>
  <c r="AJ61" i="14"/>
  <c r="AI61" i="14"/>
  <c r="AH61" i="14"/>
  <c r="AG61" i="14"/>
  <c r="AF61" i="14"/>
  <c r="AE61" i="14"/>
  <c r="AD61" i="14"/>
  <c r="AC61" i="14"/>
  <c r="AB61" i="14"/>
  <c r="AA61" i="14"/>
  <c r="Z61" i="14"/>
  <c r="Y61" i="14"/>
  <c r="X61" i="14"/>
  <c r="W61" i="14"/>
  <c r="V61" i="14"/>
  <c r="U61" i="14"/>
  <c r="T61" i="14"/>
  <c r="S61" i="14"/>
  <c r="R61" i="14"/>
  <c r="Q61" i="14"/>
  <c r="P61" i="14"/>
  <c r="O61" i="14"/>
  <c r="N61" i="14"/>
  <c r="M61" i="14"/>
  <c r="L61" i="14"/>
  <c r="K61" i="14"/>
  <c r="J61" i="14"/>
  <c r="I61" i="14"/>
  <c r="H61" i="14"/>
  <c r="G61" i="14"/>
  <c r="F61" i="14"/>
  <c r="E61" i="14"/>
  <c r="D61" i="14"/>
  <c r="C61" i="14"/>
  <c r="B61" i="14"/>
  <c r="A61" i="14"/>
  <c r="AJ60" i="14"/>
  <c r="AI60" i="14"/>
  <c r="AH60" i="14"/>
  <c r="AG60" i="14"/>
  <c r="AF60" i="14"/>
  <c r="AE60" i="14"/>
  <c r="AD60" i="14"/>
  <c r="AC60" i="14"/>
  <c r="AB60" i="14"/>
  <c r="AA60" i="14"/>
  <c r="Z60" i="14"/>
  <c r="Y60" i="14"/>
  <c r="X60" i="14"/>
  <c r="W60" i="14"/>
  <c r="V60" i="14"/>
  <c r="U60" i="14"/>
  <c r="T60" i="14"/>
  <c r="S60" i="14"/>
  <c r="R60" i="14"/>
  <c r="Q60" i="14"/>
  <c r="P60" i="14"/>
  <c r="O60" i="14"/>
  <c r="N60" i="14"/>
  <c r="M60" i="14"/>
  <c r="L60" i="14"/>
  <c r="K60" i="14"/>
  <c r="J60" i="14"/>
  <c r="I60" i="14"/>
  <c r="H60" i="14"/>
  <c r="G60" i="14"/>
  <c r="F60" i="14"/>
  <c r="E60" i="14"/>
  <c r="D60" i="14"/>
  <c r="C60" i="14"/>
  <c r="B60" i="14"/>
  <c r="A60" i="14"/>
  <c r="AJ59" i="14"/>
  <c r="AI59" i="14"/>
  <c r="AH59" i="14"/>
  <c r="AG59" i="14"/>
  <c r="AF59" i="14"/>
  <c r="AE59" i="14"/>
  <c r="AD59" i="14"/>
  <c r="AC59" i="14"/>
  <c r="AB59" i="14"/>
  <c r="AA59" i="14"/>
  <c r="Z59" i="14"/>
  <c r="Y59" i="14"/>
  <c r="X59" i="14"/>
  <c r="W59" i="14"/>
  <c r="V59" i="14"/>
  <c r="U59" i="14"/>
  <c r="T59" i="14"/>
  <c r="S59" i="14"/>
  <c r="R59" i="14"/>
  <c r="Q59" i="14"/>
  <c r="P59" i="14"/>
  <c r="O59" i="14"/>
  <c r="N59" i="14"/>
  <c r="M59" i="14"/>
  <c r="L59" i="14"/>
  <c r="K59" i="14"/>
  <c r="J59" i="14"/>
  <c r="I59" i="14"/>
  <c r="H59" i="14"/>
  <c r="G59" i="14"/>
  <c r="F59" i="14"/>
  <c r="E59" i="14"/>
  <c r="D59" i="14"/>
  <c r="C59" i="14"/>
  <c r="B59" i="14"/>
  <c r="A59" i="14"/>
  <c r="AJ58" i="14"/>
  <c r="AI58" i="14"/>
  <c r="AH58" i="14"/>
  <c r="AG58" i="14"/>
  <c r="AF58" i="14"/>
  <c r="AE58" i="14"/>
  <c r="AD58" i="14"/>
  <c r="AC58" i="14"/>
  <c r="AB58" i="14"/>
  <c r="AA58" i="14"/>
  <c r="Z58" i="14"/>
  <c r="Y58" i="14"/>
  <c r="X58" i="14"/>
  <c r="W58" i="14"/>
  <c r="V58" i="14"/>
  <c r="U58" i="14"/>
  <c r="T58" i="14"/>
  <c r="S58" i="14"/>
  <c r="R58" i="14"/>
  <c r="Q58" i="14"/>
  <c r="P58" i="14"/>
  <c r="O58" i="14"/>
  <c r="N58" i="14"/>
  <c r="M58" i="14"/>
  <c r="L58" i="14"/>
  <c r="K58" i="14"/>
  <c r="J58" i="14"/>
  <c r="I58" i="14"/>
  <c r="H58" i="14"/>
  <c r="G58" i="14"/>
  <c r="F58" i="14"/>
  <c r="E58" i="14"/>
  <c r="D58" i="14"/>
  <c r="C58" i="14"/>
  <c r="B58" i="14"/>
  <c r="A58" i="14"/>
  <c r="AJ57" i="14"/>
  <c r="AI57" i="14"/>
  <c r="AH57" i="14"/>
  <c r="AG57" i="14"/>
  <c r="AF57" i="14"/>
  <c r="AE57" i="14"/>
  <c r="AD57" i="14"/>
  <c r="AC57" i="14"/>
  <c r="AB57" i="14"/>
  <c r="AA57" i="14"/>
  <c r="Z57" i="14"/>
  <c r="Y57" i="14"/>
  <c r="X57" i="14"/>
  <c r="W57" i="14"/>
  <c r="V57" i="14"/>
  <c r="U57" i="14"/>
  <c r="T57" i="14"/>
  <c r="S57" i="14"/>
  <c r="R57" i="14"/>
  <c r="Q57" i="14"/>
  <c r="P57" i="14"/>
  <c r="O57" i="14"/>
  <c r="N57" i="14"/>
  <c r="M57" i="14"/>
  <c r="L57" i="14"/>
  <c r="K57" i="14"/>
  <c r="J57" i="14"/>
  <c r="I57" i="14"/>
  <c r="H57" i="14"/>
  <c r="G57" i="14"/>
  <c r="F57" i="14"/>
  <c r="E57" i="14"/>
  <c r="D57" i="14"/>
  <c r="C57" i="14"/>
  <c r="B57" i="14"/>
  <c r="A57" i="14"/>
  <c r="AJ56" i="14"/>
  <c r="AI56" i="14"/>
  <c r="AH56" i="14"/>
  <c r="AG56" i="14"/>
  <c r="AF56" i="14"/>
  <c r="AE56" i="14"/>
  <c r="AD56" i="14"/>
  <c r="AC56" i="14"/>
  <c r="AB56" i="14"/>
  <c r="AA56" i="14"/>
  <c r="Z56" i="14"/>
  <c r="Y56" i="14"/>
  <c r="X56" i="14"/>
  <c r="W56" i="14"/>
  <c r="V56" i="14"/>
  <c r="U56" i="14"/>
  <c r="T56" i="14"/>
  <c r="S56" i="14"/>
  <c r="R56" i="14"/>
  <c r="Q56" i="14"/>
  <c r="P56" i="14"/>
  <c r="O56" i="14"/>
  <c r="N56" i="14"/>
  <c r="M56" i="14"/>
  <c r="L56" i="14"/>
  <c r="K56" i="14"/>
  <c r="J56" i="14"/>
  <c r="I56" i="14"/>
  <c r="H56" i="14"/>
  <c r="G56" i="14"/>
  <c r="F56" i="14"/>
  <c r="E56" i="14"/>
  <c r="D56" i="14"/>
  <c r="C56" i="14"/>
  <c r="B56" i="14"/>
  <c r="A56" i="14"/>
  <c r="AJ55" i="14"/>
  <c r="AI55" i="14"/>
  <c r="AH55" i="14"/>
  <c r="AG55" i="14"/>
  <c r="AF55" i="14"/>
  <c r="AE55" i="14"/>
  <c r="AD55" i="14"/>
  <c r="AC55" i="14"/>
  <c r="AB55" i="14"/>
  <c r="AA55" i="14"/>
  <c r="Z55" i="14"/>
  <c r="Y55" i="14"/>
  <c r="X55" i="14"/>
  <c r="W55" i="14"/>
  <c r="V55" i="14"/>
  <c r="U55" i="14"/>
  <c r="T55" i="14"/>
  <c r="S55" i="14"/>
  <c r="R55" i="14"/>
  <c r="Q55" i="14"/>
  <c r="P55" i="14"/>
  <c r="O55" i="14"/>
  <c r="N55" i="14"/>
  <c r="M55" i="14"/>
  <c r="L55" i="14"/>
  <c r="K55" i="14"/>
  <c r="J55" i="14"/>
  <c r="I55" i="14"/>
  <c r="H55" i="14"/>
  <c r="G55" i="14"/>
  <c r="F55" i="14"/>
  <c r="E55" i="14"/>
  <c r="D55" i="14"/>
  <c r="C55" i="14"/>
  <c r="B55" i="14"/>
  <c r="A55" i="14"/>
  <c r="AJ54" i="14"/>
  <c r="AI54" i="14"/>
  <c r="AH54" i="14"/>
  <c r="AG54" i="14"/>
  <c r="AF54" i="14"/>
  <c r="AE54" i="14"/>
  <c r="AD54" i="14"/>
  <c r="AC54" i="14"/>
  <c r="AB54" i="14"/>
  <c r="AA54" i="14"/>
  <c r="Z54" i="14"/>
  <c r="Y54" i="14"/>
  <c r="X54" i="14"/>
  <c r="W54" i="14"/>
  <c r="V54" i="14"/>
  <c r="U54" i="14"/>
  <c r="T54" i="14"/>
  <c r="S54" i="14"/>
  <c r="R54" i="14"/>
  <c r="Q54" i="14"/>
  <c r="P54" i="14"/>
  <c r="O54" i="14"/>
  <c r="N54" i="14"/>
  <c r="M54" i="14"/>
  <c r="L54" i="14"/>
  <c r="K54" i="14"/>
  <c r="J54" i="14"/>
  <c r="I54" i="14"/>
  <c r="H54" i="14"/>
  <c r="G54" i="14"/>
  <c r="F54" i="14"/>
  <c r="E54" i="14"/>
  <c r="D54" i="14"/>
  <c r="C54" i="14"/>
  <c r="B54" i="14"/>
  <c r="A54" i="14"/>
  <c r="AJ53" i="14"/>
  <c r="AI53" i="14"/>
  <c r="AH53" i="14"/>
  <c r="AG53" i="14"/>
  <c r="AF53" i="14"/>
  <c r="AE53" i="14"/>
  <c r="AD53" i="14"/>
  <c r="AC53" i="14"/>
  <c r="AB53" i="14"/>
  <c r="AA53" i="14"/>
  <c r="Z53" i="14"/>
  <c r="Y53" i="14"/>
  <c r="X53" i="14"/>
  <c r="W53" i="14"/>
  <c r="V53" i="14"/>
  <c r="U53" i="14"/>
  <c r="T53" i="14"/>
  <c r="S53" i="14"/>
  <c r="R53" i="14"/>
  <c r="Q53" i="14"/>
  <c r="P53" i="14"/>
  <c r="O53" i="14"/>
  <c r="N53" i="14"/>
  <c r="M53" i="14"/>
  <c r="L53" i="14"/>
  <c r="K53" i="14"/>
  <c r="J53" i="14"/>
  <c r="I53" i="14"/>
  <c r="H53" i="14"/>
  <c r="G53" i="14"/>
  <c r="F53" i="14"/>
  <c r="E53" i="14"/>
  <c r="D53" i="14"/>
  <c r="C53" i="14"/>
  <c r="B53" i="14"/>
  <c r="A53" i="14"/>
  <c r="AJ52" i="14"/>
  <c r="AI52" i="14"/>
  <c r="AH52" i="14"/>
  <c r="AG52" i="14"/>
  <c r="AF52" i="14"/>
  <c r="AE52" i="14"/>
  <c r="AD52" i="14"/>
  <c r="AC52" i="14"/>
  <c r="AB52" i="14"/>
  <c r="AA52" i="14"/>
  <c r="Z52" i="14"/>
  <c r="Y52" i="14"/>
  <c r="X52" i="14"/>
  <c r="W52" i="14"/>
  <c r="V52" i="14"/>
  <c r="U52" i="14"/>
  <c r="T52" i="14"/>
  <c r="S52" i="14"/>
  <c r="R52" i="14"/>
  <c r="Q52" i="14"/>
  <c r="P52" i="14"/>
  <c r="O52" i="14"/>
  <c r="N52" i="14"/>
  <c r="M52" i="14"/>
  <c r="L52" i="14"/>
  <c r="K52" i="14"/>
  <c r="J52" i="14"/>
  <c r="I52" i="14"/>
  <c r="H52" i="14"/>
  <c r="G52" i="14"/>
  <c r="F52" i="14"/>
  <c r="E52" i="14"/>
  <c r="D52" i="14"/>
  <c r="C52" i="14"/>
  <c r="B52" i="14"/>
  <c r="A52" i="14"/>
  <c r="AJ51" i="14"/>
  <c r="AI51" i="14"/>
  <c r="AH51" i="14"/>
  <c r="AG51" i="14"/>
  <c r="AF51" i="14"/>
  <c r="AE51" i="14"/>
  <c r="AD51" i="14"/>
  <c r="AC51" i="14"/>
  <c r="AB51" i="14"/>
  <c r="AA51" i="14"/>
  <c r="Z51" i="14"/>
  <c r="Y51" i="14"/>
  <c r="X51" i="14"/>
  <c r="W51" i="14"/>
  <c r="V51" i="14"/>
  <c r="U51" i="14"/>
  <c r="T51" i="14"/>
  <c r="S51" i="14"/>
  <c r="R51" i="14"/>
  <c r="Q51" i="14"/>
  <c r="P51" i="14"/>
  <c r="O51" i="14"/>
  <c r="N51" i="14"/>
  <c r="M51" i="14"/>
  <c r="L51" i="14"/>
  <c r="K51" i="14"/>
  <c r="J51" i="14"/>
  <c r="I51" i="14"/>
  <c r="H51" i="14"/>
  <c r="G51" i="14"/>
  <c r="F51" i="14"/>
  <c r="E51" i="14"/>
  <c r="D51" i="14"/>
  <c r="C51" i="14"/>
  <c r="B51" i="14"/>
  <c r="A51" i="14"/>
  <c r="AJ50" i="14"/>
  <c r="AI50" i="14"/>
  <c r="AH50" i="14"/>
  <c r="AG50" i="14"/>
  <c r="AF50" i="14"/>
  <c r="AE50" i="14"/>
  <c r="AD50" i="14"/>
  <c r="AC50" i="14"/>
  <c r="AB50" i="14"/>
  <c r="AA50" i="14"/>
  <c r="Z50" i="14"/>
  <c r="Y50" i="14"/>
  <c r="X50" i="14"/>
  <c r="W50" i="14"/>
  <c r="V50" i="14"/>
  <c r="U50" i="14"/>
  <c r="T50" i="14"/>
  <c r="S50" i="14"/>
  <c r="R50" i="14"/>
  <c r="Q50" i="14"/>
  <c r="P50" i="14"/>
  <c r="O50" i="14"/>
  <c r="N50" i="14"/>
  <c r="M50" i="14"/>
  <c r="L50" i="14"/>
  <c r="K50" i="14"/>
  <c r="J50" i="14"/>
  <c r="I50" i="14"/>
  <c r="H50" i="14"/>
  <c r="G50" i="14"/>
  <c r="F50" i="14"/>
  <c r="E50" i="14"/>
  <c r="D50" i="14"/>
  <c r="C50" i="14"/>
  <c r="B50" i="14"/>
  <c r="A50" i="14"/>
  <c r="AJ49" i="14"/>
  <c r="AI49" i="14"/>
  <c r="AH49" i="14"/>
  <c r="AG49" i="14"/>
  <c r="AF49" i="14"/>
  <c r="AE49" i="14"/>
  <c r="AD49" i="14"/>
  <c r="AC49" i="14"/>
  <c r="AB49" i="14"/>
  <c r="AA49" i="14"/>
  <c r="Z49" i="14"/>
  <c r="Y49" i="14"/>
  <c r="X49" i="14"/>
  <c r="W49" i="14"/>
  <c r="V49" i="14"/>
  <c r="U49" i="14"/>
  <c r="T49" i="14"/>
  <c r="S49" i="14"/>
  <c r="R49" i="14"/>
  <c r="Q49" i="14"/>
  <c r="P49" i="14"/>
  <c r="O49" i="14"/>
  <c r="N49" i="14"/>
  <c r="M49" i="14"/>
  <c r="L49" i="14"/>
  <c r="K49" i="14"/>
  <c r="J49" i="14"/>
  <c r="I49" i="14"/>
  <c r="H49" i="14"/>
  <c r="G49" i="14"/>
  <c r="F49" i="14"/>
  <c r="E49" i="14"/>
  <c r="D49" i="14"/>
  <c r="C49" i="14"/>
  <c r="B49" i="14"/>
  <c r="A49" i="14"/>
  <c r="AJ48" i="14"/>
  <c r="AI48" i="14"/>
  <c r="AH48" i="14"/>
  <c r="AG48" i="14"/>
  <c r="AF48" i="14"/>
  <c r="AE48" i="14"/>
  <c r="AD48" i="14"/>
  <c r="AC48" i="14"/>
  <c r="AB48" i="14"/>
  <c r="AA48" i="14"/>
  <c r="Z48" i="14"/>
  <c r="Y48" i="14"/>
  <c r="X48" i="14"/>
  <c r="W48" i="14"/>
  <c r="V48" i="14"/>
  <c r="U48" i="14"/>
  <c r="T48" i="14"/>
  <c r="S48" i="14"/>
  <c r="R48" i="14"/>
  <c r="Q48" i="14"/>
  <c r="P48" i="14"/>
  <c r="O48" i="14"/>
  <c r="N48" i="14"/>
  <c r="M48" i="14"/>
  <c r="L48" i="14"/>
  <c r="K48" i="14"/>
  <c r="J48" i="14"/>
  <c r="I48" i="14"/>
  <c r="H48" i="14"/>
  <c r="G48" i="14"/>
  <c r="F48" i="14"/>
  <c r="E48" i="14"/>
  <c r="D48" i="14"/>
  <c r="C48" i="14"/>
  <c r="B48" i="14"/>
  <c r="A48" i="14"/>
  <c r="AJ47" i="14"/>
  <c r="AI47" i="14"/>
  <c r="AH47" i="14"/>
  <c r="AG47" i="14"/>
  <c r="AF47" i="14"/>
  <c r="AE47" i="14"/>
  <c r="AD47" i="14"/>
  <c r="AC47" i="14"/>
  <c r="AB47" i="14"/>
  <c r="AA47" i="14"/>
  <c r="Z47" i="14"/>
  <c r="Y47" i="14"/>
  <c r="X47" i="14"/>
  <c r="W47" i="14"/>
  <c r="V47" i="14"/>
  <c r="U47" i="14"/>
  <c r="T47" i="14"/>
  <c r="S47" i="14"/>
  <c r="R47" i="14"/>
  <c r="Q47" i="14"/>
  <c r="P47" i="14"/>
  <c r="O47" i="14"/>
  <c r="N47" i="14"/>
  <c r="M47" i="14"/>
  <c r="L47" i="14"/>
  <c r="K47" i="14"/>
  <c r="J47" i="14"/>
  <c r="I47" i="14"/>
  <c r="H47" i="14"/>
  <c r="G47" i="14"/>
  <c r="F47" i="14"/>
  <c r="E47" i="14"/>
  <c r="D47" i="14"/>
  <c r="C47" i="14"/>
  <c r="B47" i="14"/>
  <c r="A47" i="14"/>
  <c r="AJ46" i="14"/>
  <c r="AI46" i="14"/>
  <c r="AH46" i="14"/>
  <c r="AG46" i="14"/>
  <c r="AF46" i="14"/>
  <c r="AE46" i="14"/>
  <c r="AD46" i="14"/>
  <c r="AC46" i="14"/>
  <c r="AB46" i="14"/>
  <c r="AA46" i="14"/>
  <c r="Z46" i="14"/>
  <c r="Y46" i="14"/>
  <c r="X46" i="14"/>
  <c r="W46" i="14"/>
  <c r="V46" i="14"/>
  <c r="U46" i="14"/>
  <c r="T46" i="14"/>
  <c r="S46" i="14"/>
  <c r="R46" i="14"/>
  <c r="Q46" i="14"/>
  <c r="P46" i="14"/>
  <c r="O46" i="14"/>
  <c r="N46" i="14"/>
  <c r="M46" i="14"/>
  <c r="L46" i="14"/>
  <c r="K46" i="14"/>
  <c r="J46" i="14"/>
  <c r="I46" i="14"/>
  <c r="H46" i="14"/>
  <c r="G46" i="14"/>
  <c r="F46" i="14"/>
  <c r="E46" i="14"/>
  <c r="D46" i="14"/>
  <c r="C46" i="14"/>
  <c r="B46" i="14"/>
  <c r="A46" i="14"/>
  <c r="AJ45" i="14"/>
  <c r="AI45" i="14"/>
  <c r="AH45" i="14"/>
  <c r="AG45" i="14"/>
  <c r="AF45" i="14"/>
  <c r="AE45" i="14"/>
  <c r="AD45" i="14"/>
  <c r="AC45" i="14"/>
  <c r="AB45" i="14"/>
  <c r="AA45" i="14"/>
  <c r="Z45" i="14"/>
  <c r="Y45" i="14"/>
  <c r="X45" i="14"/>
  <c r="W45" i="14"/>
  <c r="V45" i="14"/>
  <c r="U45" i="14"/>
  <c r="T45" i="14"/>
  <c r="S45" i="14"/>
  <c r="R45" i="14"/>
  <c r="Q45" i="14"/>
  <c r="P45" i="14"/>
  <c r="O45" i="14"/>
  <c r="N45" i="14"/>
  <c r="M45" i="14"/>
  <c r="L45" i="14"/>
  <c r="K45" i="14"/>
  <c r="J45" i="14"/>
  <c r="I45" i="14"/>
  <c r="H45" i="14"/>
  <c r="G45" i="14"/>
  <c r="F45" i="14"/>
  <c r="E45" i="14"/>
  <c r="D45" i="14"/>
  <c r="C45" i="14"/>
  <c r="B45" i="14"/>
  <c r="A45" i="14"/>
  <c r="AJ44" i="14"/>
  <c r="AI44" i="14"/>
  <c r="AH44" i="14"/>
  <c r="AG44" i="14"/>
  <c r="AF44" i="14"/>
  <c r="AE44" i="14"/>
  <c r="AD44" i="14"/>
  <c r="AC44" i="14"/>
  <c r="AB44" i="14"/>
  <c r="AA44" i="14"/>
  <c r="Z44" i="14"/>
  <c r="Y44" i="14"/>
  <c r="X44" i="14"/>
  <c r="W44" i="14"/>
  <c r="V44" i="14"/>
  <c r="U44" i="14"/>
  <c r="T44" i="14"/>
  <c r="S44" i="14"/>
  <c r="R44" i="14"/>
  <c r="Q44" i="14"/>
  <c r="P44" i="14"/>
  <c r="O44" i="14"/>
  <c r="N44" i="14"/>
  <c r="M44" i="14"/>
  <c r="L44" i="14"/>
  <c r="K44" i="14"/>
  <c r="J44" i="14"/>
  <c r="I44" i="14"/>
  <c r="H44" i="14"/>
  <c r="G44" i="14"/>
  <c r="F44" i="14"/>
  <c r="E44" i="14"/>
  <c r="D44" i="14"/>
  <c r="C44" i="14"/>
  <c r="B44" i="14"/>
  <c r="A44" i="14"/>
  <c r="AJ43" i="14"/>
  <c r="AI43" i="14"/>
  <c r="AH43" i="14"/>
  <c r="AG43" i="14"/>
  <c r="AF43" i="14"/>
  <c r="AE43" i="14"/>
  <c r="AD43" i="14"/>
  <c r="AC43" i="14"/>
  <c r="AB43" i="14"/>
  <c r="AA43" i="14"/>
  <c r="Z43" i="14"/>
  <c r="Y43" i="14"/>
  <c r="X43" i="14"/>
  <c r="W43" i="14"/>
  <c r="V43" i="14"/>
  <c r="U43" i="14"/>
  <c r="T43" i="14"/>
  <c r="S43" i="14"/>
  <c r="R43" i="14"/>
  <c r="Q43" i="14"/>
  <c r="P43" i="14"/>
  <c r="O43" i="14"/>
  <c r="N43" i="14"/>
  <c r="M43" i="14"/>
  <c r="L43" i="14"/>
  <c r="K43" i="14"/>
  <c r="J43" i="14"/>
  <c r="I43" i="14"/>
  <c r="H43" i="14"/>
  <c r="G43" i="14"/>
  <c r="F43" i="14"/>
  <c r="E43" i="14"/>
  <c r="D43" i="14"/>
  <c r="C43" i="14"/>
  <c r="B43" i="14"/>
  <c r="A43" i="14"/>
  <c r="AJ42" i="14"/>
  <c r="AI42" i="14"/>
  <c r="AH42" i="14"/>
  <c r="AG42" i="14"/>
  <c r="AF42" i="14"/>
  <c r="AE42" i="14"/>
  <c r="AD42" i="14"/>
  <c r="AC42" i="14"/>
  <c r="AB42" i="14"/>
  <c r="AA42" i="14"/>
  <c r="Z42" i="14"/>
  <c r="Y42" i="14"/>
  <c r="X42" i="14"/>
  <c r="W42" i="14"/>
  <c r="V42" i="14"/>
  <c r="U42" i="14"/>
  <c r="T42" i="14"/>
  <c r="S42" i="14"/>
  <c r="R42" i="14"/>
  <c r="Q42" i="14"/>
  <c r="P42" i="14"/>
  <c r="O42" i="14"/>
  <c r="N42" i="14"/>
  <c r="M42" i="14"/>
  <c r="L42" i="14"/>
  <c r="K42" i="14"/>
  <c r="J42" i="14"/>
  <c r="I42" i="14"/>
  <c r="H42" i="14"/>
  <c r="G42" i="14"/>
  <c r="F42" i="14"/>
  <c r="E42" i="14"/>
  <c r="D42" i="14"/>
  <c r="C42" i="14"/>
  <c r="B42" i="14"/>
  <c r="A42" i="14"/>
  <c r="AJ41" i="14"/>
  <c r="AI41" i="14"/>
  <c r="AH41" i="14"/>
  <c r="AG41" i="14"/>
  <c r="AF41" i="14"/>
  <c r="AE41" i="14"/>
  <c r="AD41" i="14"/>
  <c r="AC41" i="14"/>
  <c r="AB41" i="14"/>
  <c r="AA41" i="14"/>
  <c r="Z41" i="14"/>
  <c r="Y41" i="14"/>
  <c r="X41" i="14"/>
  <c r="W41" i="14"/>
  <c r="V41" i="14"/>
  <c r="U41" i="14"/>
  <c r="T41" i="14"/>
  <c r="S41" i="14"/>
  <c r="R41" i="14"/>
  <c r="Q41" i="14"/>
  <c r="P41" i="14"/>
  <c r="O41" i="14"/>
  <c r="N41" i="14"/>
  <c r="M41" i="14"/>
  <c r="L41" i="14"/>
  <c r="K41" i="14"/>
  <c r="J41" i="14"/>
  <c r="I41" i="14"/>
  <c r="H41" i="14"/>
  <c r="G41" i="14"/>
  <c r="F41" i="14"/>
  <c r="E41" i="14"/>
  <c r="D41" i="14"/>
  <c r="C41" i="14"/>
  <c r="B41" i="14"/>
  <c r="A41" i="14"/>
  <c r="AJ40" i="14"/>
  <c r="AI40" i="14"/>
  <c r="AH40" i="14"/>
  <c r="AG40" i="14"/>
  <c r="AF40" i="14"/>
  <c r="AE40" i="14"/>
  <c r="AD40" i="14"/>
  <c r="AC40" i="14"/>
  <c r="AB40" i="14"/>
  <c r="AA40" i="14"/>
  <c r="Z40" i="14"/>
  <c r="Y40" i="14"/>
  <c r="X40" i="14"/>
  <c r="W40" i="14"/>
  <c r="V40" i="14"/>
  <c r="U40" i="14"/>
  <c r="T40" i="14"/>
  <c r="S40" i="14"/>
  <c r="R40" i="14"/>
  <c r="Q40" i="14"/>
  <c r="P40" i="14"/>
  <c r="O40" i="14"/>
  <c r="N40" i="14"/>
  <c r="M40" i="14"/>
  <c r="L40" i="14"/>
  <c r="K40" i="14"/>
  <c r="J40" i="14"/>
  <c r="I40" i="14"/>
  <c r="H40" i="14"/>
  <c r="G40" i="14"/>
  <c r="F40" i="14"/>
  <c r="E40" i="14"/>
  <c r="D40" i="14"/>
  <c r="C40" i="14"/>
  <c r="B40" i="14"/>
  <c r="A40" i="14"/>
  <c r="AJ39" i="14"/>
  <c r="AI39" i="14"/>
  <c r="AH39" i="14"/>
  <c r="AG39" i="14"/>
  <c r="AF39" i="14"/>
  <c r="AE39" i="14"/>
  <c r="AD39" i="14"/>
  <c r="AC39" i="14"/>
  <c r="AB39" i="14"/>
  <c r="AA39" i="14"/>
  <c r="Z39" i="14"/>
  <c r="Y39" i="14"/>
  <c r="X39" i="14"/>
  <c r="W39" i="14"/>
  <c r="V39" i="14"/>
  <c r="U39" i="14"/>
  <c r="T39" i="14"/>
  <c r="S39" i="14"/>
  <c r="R39" i="14"/>
  <c r="Q39" i="14"/>
  <c r="P39" i="14"/>
  <c r="O39" i="14"/>
  <c r="N39" i="14"/>
  <c r="M39" i="14"/>
  <c r="L39" i="14"/>
  <c r="K39" i="14"/>
  <c r="J39" i="14"/>
  <c r="I39" i="14"/>
  <c r="H39" i="14"/>
  <c r="G39" i="14"/>
  <c r="F39" i="14"/>
  <c r="E39" i="14"/>
  <c r="D39" i="14"/>
  <c r="C39" i="14"/>
  <c r="B39" i="14"/>
  <c r="A39" i="14"/>
  <c r="AJ38" i="14"/>
  <c r="AI38" i="14"/>
  <c r="AH38" i="14"/>
  <c r="AG38" i="14"/>
  <c r="AF38" i="14"/>
  <c r="AE38" i="14"/>
  <c r="AD38" i="14"/>
  <c r="AC38" i="14"/>
  <c r="AB38" i="14"/>
  <c r="AA38" i="14"/>
  <c r="Z38" i="14"/>
  <c r="Y38" i="14"/>
  <c r="X38" i="14"/>
  <c r="W38" i="14"/>
  <c r="V38" i="14"/>
  <c r="U38" i="14"/>
  <c r="T38" i="14"/>
  <c r="S38" i="14"/>
  <c r="R38" i="14"/>
  <c r="Q38" i="14"/>
  <c r="P38" i="14"/>
  <c r="O38" i="14"/>
  <c r="N38" i="14"/>
  <c r="M38" i="14"/>
  <c r="L38" i="14"/>
  <c r="K38" i="14"/>
  <c r="J38" i="14"/>
  <c r="I38" i="14"/>
  <c r="H38" i="14"/>
  <c r="G38" i="14"/>
  <c r="F38" i="14"/>
  <c r="E38" i="14"/>
  <c r="D38" i="14"/>
  <c r="C38" i="14"/>
  <c r="B38" i="14"/>
  <c r="A38" i="14"/>
  <c r="AJ37" i="14"/>
  <c r="AI37" i="14"/>
  <c r="AH37" i="14"/>
  <c r="AG37" i="14"/>
  <c r="AF37" i="14"/>
  <c r="AE37" i="14"/>
  <c r="AD37" i="14"/>
  <c r="AC37" i="14"/>
  <c r="AB37" i="14"/>
  <c r="AA37" i="14"/>
  <c r="Z37" i="14"/>
  <c r="Y37" i="14"/>
  <c r="X37" i="14"/>
  <c r="W37" i="14"/>
  <c r="V37" i="14"/>
  <c r="U37" i="14"/>
  <c r="T37" i="14"/>
  <c r="S37" i="14"/>
  <c r="R37" i="14"/>
  <c r="Q37" i="14"/>
  <c r="P37" i="14"/>
  <c r="O37" i="14"/>
  <c r="N37" i="14"/>
  <c r="M37" i="14"/>
  <c r="L37" i="14"/>
  <c r="K37" i="14"/>
  <c r="J37" i="14"/>
  <c r="I37" i="14"/>
  <c r="H37" i="14"/>
  <c r="G37" i="14"/>
  <c r="F37" i="14"/>
  <c r="E37" i="14"/>
  <c r="D37" i="14"/>
  <c r="C37" i="14"/>
  <c r="B37" i="14"/>
  <c r="A37" i="14"/>
  <c r="AJ36" i="14"/>
  <c r="AI36" i="14"/>
  <c r="AH36" i="14"/>
  <c r="AG36" i="14"/>
  <c r="AF36" i="14"/>
  <c r="AE36" i="14"/>
  <c r="AD36" i="14"/>
  <c r="AC36" i="14"/>
  <c r="AB36" i="14"/>
  <c r="AA36" i="14"/>
  <c r="Z36" i="14"/>
  <c r="Y36" i="14"/>
  <c r="X36" i="14"/>
  <c r="W36" i="14"/>
  <c r="V36" i="14"/>
  <c r="U36" i="14"/>
  <c r="T36" i="14"/>
  <c r="S36" i="14"/>
  <c r="R36" i="14"/>
  <c r="Q36" i="14"/>
  <c r="P36" i="14"/>
  <c r="O36" i="14"/>
  <c r="N36" i="14"/>
  <c r="M36" i="14"/>
  <c r="L36" i="14"/>
  <c r="K36" i="14"/>
  <c r="J36" i="14"/>
  <c r="I36" i="14"/>
  <c r="H36" i="14"/>
  <c r="G36" i="14"/>
  <c r="F36" i="14"/>
  <c r="E36" i="14"/>
  <c r="D36" i="14"/>
  <c r="C36" i="14"/>
  <c r="B36" i="14"/>
  <c r="A36" i="14"/>
  <c r="AJ35" i="14"/>
  <c r="AI35" i="14"/>
  <c r="AH35" i="14"/>
  <c r="AG35" i="14"/>
  <c r="AF35" i="14"/>
  <c r="AE35" i="14"/>
  <c r="AD35" i="14"/>
  <c r="AC35" i="14"/>
  <c r="AB35" i="14"/>
  <c r="AA35" i="14"/>
  <c r="Z35" i="14"/>
  <c r="Y35" i="14"/>
  <c r="X35" i="14"/>
  <c r="W35" i="14"/>
  <c r="V35" i="14"/>
  <c r="U35" i="14"/>
  <c r="T35" i="14"/>
  <c r="S35" i="14"/>
  <c r="R35" i="14"/>
  <c r="Q35" i="14"/>
  <c r="P35" i="14"/>
  <c r="O35" i="14"/>
  <c r="N35" i="14"/>
  <c r="M35" i="14"/>
  <c r="L35" i="14"/>
  <c r="K35" i="14"/>
  <c r="J35" i="14"/>
  <c r="I35" i="14"/>
  <c r="H35" i="14"/>
  <c r="G35" i="14"/>
  <c r="F35" i="14"/>
  <c r="E35" i="14"/>
  <c r="D35" i="14"/>
  <c r="C35" i="14"/>
  <c r="B35" i="14"/>
  <c r="A35" i="14"/>
  <c r="AJ34" i="14"/>
  <c r="AI34" i="14"/>
  <c r="AH34" i="14"/>
  <c r="AG34" i="14"/>
  <c r="AF34" i="14"/>
  <c r="AE34" i="14"/>
  <c r="AD34" i="14"/>
  <c r="AC34" i="14"/>
  <c r="AB34" i="14"/>
  <c r="AA34" i="14"/>
  <c r="Z34" i="14"/>
  <c r="Y34" i="14"/>
  <c r="X34" i="14"/>
  <c r="W34" i="14"/>
  <c r="V34" i="14"/>
  <c r="U34" i="14"/>
  <c r="T34" i="14"/>
  <c r="S34" i="14"/>
  <c r="R34" i="14"/>
  <c r="Q34" i="14"/>
  <c r="P34" i="14"/>
  <c r="O34" i="14"/>
  <c r="N34" i="14"/>
  <c r="M34" i="14"/>
  <c r="L34" i="14"/>
  <c r="K34" i="14"/>
  <c r="J34" i="14"/>
  <c r="I34" i="14"/>
  <c r="H34" i="14"/>
  <c r="G34" i="14"/>
  <c r="F34" i="14"/>
  <c r="E34" i="14"/>
  <c r="D34" i="14"/>
  <c r="C34" i="14"/>
  <c r="B34" i="14"/>
  <c r="A34" i="14"/>
  <c r="AJ33" i="14"/>
  <c r="AI33" i="14"/>
  <c r="AH33" i="14"/>
  <c r="AG33" i="14"/>
  <c r="AF33" i="14"/>
  <c r="AE33" i="14"/>
  <c r="AD33" i="14"/>
  <c r="AC33" i="14"/>
  <c r="AB33" i="14"/>
  <c r="AA33" i="14"/>
  <c r="Z33" i="14"/>
  <c r="Y33" i="14"/>
  <c r="X33" i="14"/>
  <c r="W33" i="14"/>
  <c r="V33" i="14"/>
  <c r="U33" i="14"/>
  <c r="T33" i="14"/>
  <c r="S33" i="14"/>
  <c r="R33" i="14"/>
  <c r="Q33" i="14"/>
  <c r="P33" i="14"/>
  <c r="O33" i="14"/>
  <c r="N33" i="14"/>
  <c r="M33" i="14"/>
  <c r="L33" i="14"/>
  <c r="K33" i="14"/>
  <c r="J33" i="14"/>
  <c r="I33" i="14"/>
  <c r="H33" i="14"/>
  <c r="G33" i="14"/>
  <c r="F33" i="14"/>
  <c r="E33" i="14"/>
  <c r="D33" i="14"/>
  <c r="C33" i="14"/>
  <c r="B33" i="14"/>
  <c r="A33" i="14"/>
  <c r="AJ32" i="14"/>
  <c r="AI32" i="14"/>
  <c r="AH32" i="14"/>
  <c r="AG32" i="14"/>
  <c r="AF32" i="14"/>
  <c r="AE32" i="14"/>
  <c r="AD32" i="14"/>
  <c r="AC32" i="14"/>
  <c r="AB32" i="14"/>
  <c r="AA32" i="14"/>
  <c r="Z32" i="14"/>
  <c r="Y32" i="14"/>
  <c r="X32" i="14"/>
  <c r="W32" i="14"/>
  <c r="V32" i="14"/>
  <c r="U32" i="14"/>
  <c r="T32" i="14"/>
  <c r="S32" i="14"/>
  <c r="R32" i="14"/>
  <c r="Q32" i="14"/>
  <c r="P32" i="14"/>
  <c r="O32" i="14"/>
  <c r="N32" i="14"/>
  <c r="M32" i="14"/>
  <c r="L32" i="14"/>
  <c r="K32" i="14"/>
  <c r="J32" i="14"/>
  <c r="I32" i="14"/>
  <c r="H32" i="14"/>
  <c r="G32" i="14"/>
  <c r="F32" i="14"/>
  <c r="E32" i="14"/>
  <c r="D32" i="14"/>
  <c r="C32" i="14"/>
  <c r="B32" i="14"/>
  <c r="A32" i="14"/>
  <c r="AJ31" i="14"/>
  <c r="AI31" i="14"/>
  <c r="AH31" i="14"/>
  <c r="AG31" i="14"/>
  <c r="AF31" i="14"/>
  <c r="AE31" i="14"/>
  <c r="AD31" i="14"/>
  <c r="AC31" i="14"/>
  <c r="AB31" i="14"/>
  <c r="AA31" i="14"/>
  <c r="Z31" i="14"/>
  <c r="Y31" i="14"/>
  <c r="X31" i="14"/>
  <c r="W31" i="14"/>
  <c r="V31" i="14"/>
  <c r="U31" i="14"/>
  <c r="T31" i="14"/>
  <c r="S31" i="14"/>
  <c r="R31" i="14"/>
  <c r="Q31" i="14"/>
  <c r="P31" i="14"/>
  <c r="O31" i="14"/>
  <c r="N31" i="14"/>
  <c r="M31" i="14"/>
  <c r="L31" i="14"/>
  <c r="K31" i="14"/>
  <c r="J31" i="14"/>
  <c r="I31" i="14"/>
  <c r="H31" i="14"/>
  <c r="G31" i="14"/>
  <c r="F31" i="14"/>
  <c r="E31" i="14"/>
  <c r="D31" i="14"/>
  <c r="C31" i="14"/>
  <c r="B31" i="14"/>
  <c r="A31" i="14"/>
  <c r="AJ30" i="14"/>
  <c r="AI30" i="14"/>
  <c r="AH30" i="14"/>
  <c r="AG30" i="14"/>
  <c r="AF30" i="14"/>
  <c r="AE30" i="14"/>
  <c r="AD30" i="14"/>
  <c r="AC30" i="14"/>
  <c r="AB30" i="14"/>
  <c r="AA30" i="14"/>
  <c r="Z30" i="14"/>
  <c r="Y30" i="14"/>
  <c r="X30" i="14"/>
  <c r="W30" i="14"/>
  <c r="V30" i="14"/>
  <c r="U30" i="14"/>
  <c r="T30" i="14"/>
  <c r="S30" i="14"/>
  <c r="R30" i="14"/>
  <c r="Q30" i="14"/>
  <c r="P30" i="14"/>
  <c r="O30" i="14"/>
  <c r="N30" i="14"/>
  <c r="M30" i="14"/>
  <c r="L30" i="14"/>
  <c r="K30" i="14"/>
  <c r="J30" i="14"/>
  <c r="I30" i="14"/>
  <c r="H30" i="14"/>
  <c r="G30" i="14"/>
  <c r="F30" i="14"/>
  <c r="E30" i="14"/>
  <c r="D30" i="14"/>
  <c r="C30" i="14"/>
  <c r="B30" i="14"/>
  <c r="A30" i="14"/>
  <c r="AJ29" i="14"/>
  <c r="AI29" i="14"/>
  <c r="AH29" i="14"/>
  <c r="AG29" i="14"/>
  <c r="AF29" i="14"/>
  <c r="AE29" i="14"/>
  <c r="AD29" i="14"/>
  <c r="AC29" i="14"/>
  <c r="AB29" i="14"/>
  <c r="AA29" i="14"/>
  <c r="Z29" i="14"/>
  <c r="Y29" i="14"/>
  <c r="X29" i="14"/>
  <c r="W29" i="14"/>
  <c r="V29" i="14"/>
  <c r="U29" i="14"/>
  <c r="T29" i="14"/>
  <c r="S29" i="14"/>
  <c r="R29" i="14"/>
  <c r="Q29" i="14"/>
  <c r="P29" i="14"/>
  <c r="O29" i="14"/>
  <c r="N29" i="14"/>
  <c r="M29" i="14"/>
  <c r="L29" i="14"/>
  <c r="K29" i="14"/>
  <c r="J29" i="14"/>
  <c r="I29" i="14"/>
  <c r="H29" i="14"/>
  <c r="G29" i="14"/>
  <c r="F29" i="14"/>
  <c r="E29" i="14"/>
  <c r="D29" i="14"/>
  <c r="C29" i="14"/>
  <c r="B29" i="14"/>
  <c r="A29" i="14"/>
  <c r="AJ28" i="14"/>
  <c r="AI28" i="14"/>
  <c r="AH28" i="14"/>
  <c r="AG28" i="14"/>
  <c r="AF28" i="14"/>
  <c r="AE28" i="14"/>
  <c r="AD28" i="14"/>
  <c r="AC28" i="14"/>
  <c r="AB28" i="14"/>
  <c r="AA28" i="14"/>
  <c r="Z28" i="14"/>
  <c r="Y28" i="14"/>
  <c r="X28" i="14"/>
  <c r="W28" i="14"/>
  <c r="V28" i="14"/>
  <c r="U28" i="14"/>
  <c r="T28" i="14"/>
  <c r="S28" i="14"/>
  <c r="R28" i="14"/>
  <c r="Q28" i="14"/>
  <c r="P28" i="14"/>
  <c r="O28" i="14"/>
  <c r="N28" i="14"/>
  <c r="M28" i="14"/>
  <c r="L28" i="14"/>
  <c r="K28" i="14"/>
  <c r="J28" i="14"/>
  <c r="I28" i="14"/>
  <c r="H28" i="14"/>
  <c r="G28" i="14"/>
  <c r="F28" i="14"/>
  <c r="E28" i="14"/>
  <c r="D28" i="14"/>
  <c r="C28" i="14"/>
  <c r="B28" i="14"/>
  <c r="A28" i="14"/>
  <c r="AJ27" i="14"/>
  <c r="AI27" i="14"/>
  <c r="AH27" i="14"/>
  <c r="AG27" i="14"/>
  <c r="AF27" i="14"/>
  <c r="AE27" i="14"/>
  <c r="AD27" i="14"/>
  <c r="AC27" i="14"/>
  <c r="AB27" i="14"/>
  <c r="AA27" i="14"/>
  <c r="Z27" i="14"/>
  <c r="Y27" i="14"/>
  <c r="X27" i="14"/>
  <c r="W27" i="14"/>
  <c r="V27" i="14"/>
  <c r="U27" i="14"/>
  <c r="T27" i="14"/>
  <c r="S27" i="14"/>
  <c r="R27" i="14"/>
  <c r="Q27" i="14"/>
  <c r="P27" i="14"/>
  <c r="O27" i="14"/>
  <c r="N27" i="14"/>
  <c r="M27" i="14"/>
  <c r="L27" i="14"/>
  <c r="K27" i="14"/>
  <c r="J27" i="14"/>
  <c r="I27" i="14"/>
  <c r="H27" i="14"/>
  <c r="G27" i="14"/>
  <c r="F27" i="14"/>
  <c r="E27" i="14"/>
  <c r="D27" i="14"/>
  <c r="C27" i="14"/>
  <c r="B27" i="14"/>
  <c r="A27" i="14"/>
  <c r="AJ26" i="14"/>
  <c r="AI26" i="14"/>
  <c r="AH26" i="14"/>
  <c r="AG26" i="14"/>
  <c r="AF26" i="14"/>
  <c r="AE26" i="14"/>
  <c r="AD26" i="14"/>
  <c r="AC26" i="14"/>
  <c r="AB26" i="14"/>
  <c r="AA26" i="14"/>
  <c r="Z26" i="14"/>
  <c r="Y26" i="14"/>
  <c r="X26" i="14"/>
  <c r="W26" i="14"/>
  <c r="V26" i="14"/>
  <c r="U26" i="14"/>
  <c r="T26" i="14"/>
  <c r="S26" i="14"/>
  <c r="R26" i="14"/>
  <c r="Q26" i="14"/>
  <c r="P26" i="14"/>
  <c r="O26" i="14"/>
  <c r="N26" i="14"/>
  <c r="M26" i="14"/>
  <c r="L26" i="14"/>
  <c r="K26" i="14"/>
  <c r="J26" i="14"/>
  <c r="I26" i="14"/>
  <c r="H26" i="14"/>
  <c r="G26" i="14"/>
  <c r="F26" i="14"/>
  <c r="E26" i="14"/>
  <c r="D26" i="14"/>
  <c r="C26" i="14"/>
  <c r="B26" i="14"/>
  <c r="A26" i="14"/>
  <c r="AJ25" i="14"/>
  <c r="AI25" i="14"/>
  <c r="AH25" i="14"/>
  <c r="AG25" i="14"/>
  <c r="AF25" i="14"/>
  <c r="AE25" i="14"/>
  <c r="AD25" i="14"/>
  <c r="AC25" i="14"/>
  <c r="AB25" i="14"/>
  <c r="AA25" i="14"/>
  <c r="Z25" i="14"/>
  <c r="Y25" i="14"/>
  <c r="X25" i="14"/>
  <c r="W25" i="14"/>
  <c r="V25" i="14"/>
  <c r="U25" i="14"/>
  <c r="T25" i="14"/>
  <c r="S25" i="14"/>
  <c r="R25" i="14"/>
  <c r="Q25" i="14"/>
  <c r="P25" i="14"/>
  <c r="O25" i="14"/>
  <c r="N25" i="14"/>
  <c r="M25" i="14"/>
  <c r="L25" i="14"/>
  <c r="K25" i="14"/>
  <c r="J25" i="14"/>
  <c r="I25" i="14"/>
  <c r="H25" i="14"/>
  <c r="G25" i="14"/>
  <c r="F25" i="14"/>
  <c r="E25" i="14"/>
  <c r="D25" i="14"/>
  <c r="C25" i="14"/>
  <c r="B25" i="14"/>
  <c r="A25" i="14"/>
  <c r="AJ24" i="14"/>
  <c r="AI24" i="14"/>
  <c r="AH24" i="14"/>
  <c r="AG24" i="14"/>
  <c r="AF24" i="14"/>
  <c r="AE24" i="14"/>
  <c r="AD24" i="14"/>
  <c r="AC24" i="14"/>
  <c r="AB24" i="14"/>
  <c r="AA24" i="14"/>
  <c r="Z24" i="14"/>
  <c r="Y24" i="14"/>
  <c r="X24" i="14"/>
  <c r="W24" i="14"/>
  <c r="V24" i="14"/>
  <c r="U24" i="14"/>
  <c r="T24" i="14"/>
  <c r="S24" i="14"/>
  <c r="R24" i="14"/>
  <c r="Q24" i="14"/>
  <c r="P24" i="14"/>
  <c r="O24" i="14"/>
  <c r="N24" i="14"/>
  <c r="M24" i="14"/>
  <c r="L24" i="14"/>
  <c r="K24" i="14"/>
  <c r="J24" i="14"/>
  <c r="I24" i="14"/>
  <c r="H24" i="14"/>
  <c r="G24" i="14"/>
  <c r="F24" i="14"/>
  <c r="E24" i="14"/>
  <c r="D24" i="14"/>
  <c r="C24" i="14"/>
  <c r="B24" i="14"/>
  <c r="A24" i="14"/>
  <c r="AJ23" i="14"/>
  <c r="AI23" i="14"/>
  <c r="AH23" i="14"/>
  <c r="AG23" i="14"/>
  <c r="AF23" i="14"/>
  <c r="AE23" i="14"/>
  <c r="AD23" i="14"/>
  <c r="AC23" i="14"/>
  <c r="AB23" i="14"/>
  <c r="AA23" i="14"/>
  <c r="Z23" i="14"/>
  <c r="Y23" i="14"/>
  <c r="X23" i="14"/>
  <c r="W23" i="14"/>
  <c r="V23" i="14"/>
  <c r="U23" i="14"/>
  <c r="T23" i="14"/>
  <c r="S23" i="14"/>
  <c r="R23" i="14"/>
  <c r="Q23" i="14"/>
  <c r="P23" i="14"/>
  <c r="O23" i="14"/>
  <c r="N23" i="14"/>
  <c r="M23" i="14"/>
  <c r="L23" i="14"/>
  <c r="K23" i="14"/>
  <c r="J23" i="14"/>
  <c r="I23" i="14"/>
  <c r="H23" i="14"/>
  <c r="G23" i="14"/>
  <c r="F23" i="14"/>
  <c r="E23" i="14"/>
  <c r="D23" i="14"/>
  <c r="C23" i="14"/>
  <c r="B23" i="14"/>
  <c r="A23" i="14"/>
  <c r="AJ22" i="14"/>
  <c r="AI22" i="14"/>
  <c r="AH22" i="14"/>
  <c r="AG22" i="14"/>
  <c r="AF22" i="14"/>
  <c r="AE22" i="14"/>
  <c r="AD22" i="14"/>
  <c r="AC22" i="14"/>
  <c r="AB22" i="14"/>
  <c r="AA22" i="14"/>
  <c r="Z22" i="14"/>
  <c r="Y22" i="14"/>
  <c r="X22" i="14"/>
  <c r="W22" i="14"/>
  <c r="V22" i="14"/>
  <c r="U22" i="14"/>
  <c r="T22" i="14"/>
  <c r="S22" i="14"/>
  <c r="R22" i="14"/>
  <c r="Q22" i="14"/>
  <c r="P22" i="14"/>
  <c r="O22" i="14"/>
  <c r="N22" i="14"/>
  <c r="M22" i="14"/>
  <c r="L22" i="14"/>
  <c r="K22" i="14"/>
  <c r="J22" i="14"/>
  <c r="I22" i="14"/>
  <c r="H22" i="14"/>
  <c r="G22" i="14"/>
  <c r="F22" i="14"/>
  <c r="E22" i="14"/>
  <c r="D22" i="14"/>
  <c r="C22" i="14"/>
  <c r="B22" i="14"/>
  <c r="A22" i="14"/>
  <c r="AJ21" i="14"/>
  <c r="AI21" i="14"/>
  <c r="AH21" i="14"/>
  <c r="AG21" i="14"/>
  <c r="AF21" i="14"/>
  <c r="AE21" i="14"/>
  <c r="AD21" i="14"/>
  <c r="AC21" i="14"/>
  <c r="AB21" i="14"/>
  <c r="AA21" i="14"/>
  <c r="Z21" i="14"/>
  <c r="Y21" i="14"/>
  <c r="X21" i="14"/>
  <c r="W21" i="14"/>
  <c r="V21" i="14"/>
  <c r="U21" i="14"/>
  <c r="T21" i="14"/>
  <c r="S21" i="14"/>
  <c r="R21" i="14"/>
  <c r="Q21" i="14"/>
  <c r="P21" i="14"/>
  <c r="O21" i="14"/>
  <c r="N21" i="14"/>
  <c r="M21" i="14"/>
  <c r="L21" i="14"/>
  <c r="K21" i="14"/>
  <c r="J21" i="14"/>
  <c r="I21" i="14"/>
  <c r="H21" i="14"/>
  <c r="G21" i="14"/>
  <c r="F21" i="14"/>
  <c r="E21" i="14"/>
  <c r="D21" i="14"/>
  <c r="C21" i="14"/>
  <c r="B21" i="14"/>
  <c r="A21" i="14"/>
  <c r="AJ20" i="14"/>
  <c r="AI20" i="14"/>
  <c r="AH20" i="14"/>
  <c r="AG20" i="14"/>
  <c r="AF20" i="14"/>
  <c r="AE20" i="14"/>
  <c r="AD20" i="14"/>
  <c r="AC20" i="14"/>
  <c r="AB20" i="14"/>
  <c r="AA20" i="14"/>
  <c r="Z20" i="14"/>
  <c r="Y20" i="14"/>
  <c r="X20" i="14"/>
  <c r="W20" i="14"/>
  <c r="V20" i="14"/>
  <c r="U20" i="14"/>
  <c r="T20" i="14"/>
  <c r="S20" i="14"/>
  <c r="R20" i="14"/>
  <c r="Q20" i="14"/>
  <c r="P20" i="14"/>
  <c r="O20" i="14"/>
  <c r="N20" i="14"/>
  <c r="M20" i="14"/>
  <c r="L20" i="14"/>
  <c r="K20" i="14"/>
  <c r="J20" i="14"/>
  <c r="I20" i="14"/>
  <c r="H20" i="14"/>
  <c r="G20" i="14"/>
  <c r="F20" i="14"/>
  <c r="E20" i="14"/>
  <c r="D20" i="14"/>
  <c r="C20" i="14"/>
  <c r="B20" i="14"/>
  <c r="A20" i="14"/>
  <c r="AJ19" i="14"/>
  <c r="AI19" i="14"/>
  <c r="AH19" i="14"/>
  <c r="AG19" i="14"/>
  <c r="AF19" i="14"/>
  <c r="AE19" i="14"/>
  <c r="AD19" i="14"/>
  <c r="AC19" i="14"/>
  <c r="AB19" i="14"/>
  <c r="AA19" i="14"/>
  <c r="Z19" i="14"/>
  <c r="Y19" i="14"/>
  <c r="X19" i="14"/>
  <c r="W19" i="14"/>
  <c r="V19" i="14"/>
  <c r="U19" i="14"/>
  <c r="T19" i="14"/>
  <c r="S19" i="14"/>
  <c r="R19" i="14"/>
  <c r="Q19" i="14"/>
  <c r="P19" i="14"/>
  <c r="O19" i="14"/>
  <c r="N19" i="14"/>
  <c r="M19" i="14"/>
  <c r="L19" i="14"/>
  <c r="K19" i="14"/>
  <c r="J19" i="14"/>
  <c r="I19" i="14"/>
  <c r="H19" i="14"/>
  <c r="G19" i="14"/>
  <c r="F19" i="14"/>
  <c r="E19" i="14"/>
  <c r="D19" i="14"/>
  <c r="C19" i="14"/>
  <c r="B19" i="14"/>
  <c r="A19" i="14"/>
  <c r="AJ18" i="14"/>
  <c r="AI18" i="14"/>
  <c r="AH18" i="14"/>
  <c r="AG18" i="14"/>
  <c r="AF18" i="14"/>
  <c r="AE18" i="14"/>
  <c r="AD18" i="14"/>
  <c r="AC18" i="14"/>
  <c r="AB18" i="14"/>
  <c r="AA18" i="14"/>
  <c r="Z18" i="14"/>
  <c r="Y18" i="14"/>
  <c r="X18" i="14"/>
  <c r="W18" i="14"/>
  <c r="V18" i="14"/>
  <c r="U18" i="14"/>
  <c r="T18" i="14"/>
  <c r="S18" i="14"/>
  <c r="R18" i="14"/>
  <c r="Q18" i="14"/>
  <c r="P18" i="14"/>
  <c r="O18" i="14"/>
  <c r="N18" i="14"/>
  <c r="M18" i="14"/>
  <c r="L18" i="14"/>
  <c r="K18" i="14"/>
  <c r="J18" i="14"/>
  <c r="I18" i="14"/>
  <c r="H18" i="14"/>
  <c r="G18" i="14"/>
  <c r="F18" i="14"/>
  <c r="E18" i="14"/>
  <c r="D18" i="14"/>
  <c r="C18" i="14"/>
  <c r="B18" i="14"/>
  <c r="A18" i="14"/>
  <c r="AJ17" i="14"/>
  <c r="AI17" i="14"/>
  <c r="AH17" i="14"/>
  <c r="AG17" i="14"/>
  <c r="AF17" i="14"/>
  <c r="AE17" i="14"/>
  <c r="AD17" i="14"/>
  <c r="AC17" i="14"/>
  <c r="AB17" i="14"/>
  <c r="AA17" i="14"/>
  <c r="Z17" i="14"/>
  <c r="Y17" i="14"/>
  <c r="X17" i="14"/>
  <c r="W17" i="14"/>
  <c r="V17" i="14"/>
  <c r="U17" i="14"/>
  <c r="T17" i="14"/>
  <c r="S17" i="14"/>
  <c r="R17" i="14"/>
  <c r="Q17" i="14"/>
  <c r="P17" i="14"/>
  <c r="O17" i="14"/>
  <c r="N17" i="14"/>
  <c r="M17" i="14"/>
  <c r="L17" i="14"/>
  <c r="K17" i="14"/>
  <c r="J17" i="14"/>
  <c r="I17" i="14"/>
  <c r="H17" i="14"/>
  <c r="G17" i="14"/>
  <c r="F17" i="14"/>
  <c r="E17" i="14"/>
  <c r="D17" i="14"/>
  <c r="C17" i="14"/>
  <c r="B17" i="14"/>
  <c r="A17" i="14"/>
  <c r="AJ16" i="14"/>
  <c r="AI16" i="14"/>
  <c r="AH16" i="14"/>
  <c r="AG16" i="14"/>
  <c r="AF16" i="14"/>
  <c r="AE16" i="14"/>
  <c r="AD16" i="14"/>
  <c r="AC16" i="14"/>
  <c r="AB16" i="14"/>
  <c r="AA16" i="14"/>
  <c r="Z16" i="14"/>
  <c r="Y16" i="14"/>
  <c r="X16" i="14"/>
  <c r="W16" i="14"/>
  <c r="V16" i="14"/>
  <c r="U16" i="14"/>
  <c r="T16" i="14"/>
  <c r="S16" i="14"/>
  <c r="R16" i="14"/>
  <c r="Q16" i="14"/>
  <c r="P16" i="14"/>
  <c r="O16" i="14"/>
  <c r="N16" i="14"/>
  <c r="M16" i="14"/>
  <c r="L16" i="14"/>
  <c r="K16" i="14"/>
  <c r="J16" i="14"/>
  <c r="I16" i="14"/>
  <c r="H16" i="14"/>
  <c r="G16" i="14"/>
  <c r="F16" i="14"/>
  <c r="E16" i="14"/>
  <c r="D16" i="14"/>
  <c r="C16" i="14"/>
  <c r="B16" i="14"/>
  <c r="A16" i="14"/>
  <c r="AJ15" i="14"/>
  <c r="AI15" i="14"/>
  <c r="AH15" i="14"/>
  <c r="AG15" i="14"/>
  <c r="AF15" i="14"/>
  <c r="AE15" i="14"/>
  <c r="AD15" i="14"/>
  <c r="AC15" i="14"/>
  <c r="AB15" i="14"/>
  <c r="AA15" i="14"/>
  <c r="Z15" i="14"/>
  <c r="Y15" i="14"/>
  <c r="X15" i="14"/>
  <c r="W15" i="14"/>
  <c r="V15" i="14"/>
  <c r="U15" i="14"/>
  <c r="T15" i="14"/>
  <c r="S15" i="14"/>
  <c r="R15" i="14"/>
  <c r="Q15" i="14"/>
  <c r="P15" i="14"/>
  <c r="O15" i="14"/>
  <c r="N15" i="14"/>
  <c r="M15" i="14"/>
  <c r="L15" i="14"/>
  <c r="K15" i="14"/>
  <c r="J15" i="14"/>
  <c r="I15" i="14"/>
  <c r="H15" i="14"/>
  <c r="G15" i="14"/>
  <c r="F15" i="14"/>
  <c r="E15" i="14"/>
  <c r="D15" i="14"/>
  <c r="C15" i="14"/>
  <c r="B15" i="14"/>
  <c r="A15" i="14"/>
  <c r="AJ14" i="14"/>
  <c r="AI14" i="14"/>
  <c r="AH14" i="14"/>
  <c r="AG14" i="14"/>
  <c r="AF14" i="14"/>
  <c r="AE14" i="14"/>
  <c r="AD14" i="14"/>
  <c r="AC14" i="14"/>
  <c r="AB14" i="14"/>
  <c r="AA14" i="14"/>
  <c r="Z14" i="14"/>
  <c r="Y14" i="14"/>
  <c r="X14" i="14"/>
  <c r="W14" i="14"/>
  <c r="V14" i="14"/>
  <c r="U14" i="14"/>
  <c r="T14" i="14"/>
  <c r="S14" i="14"/>
  <c r="R14" i="14"/>
  <c r="Q14" i="14"/>
  <c r="P14" i="14"/>
  <c r="O14" i="14"/>
  <c r="N14" i="14"/>
  <c r="M14" i="14"/>
  <c r="L14" i="14"/>
  <c r="K14" i="14"/>
  <c r="J14" i="14"/>
  <c r="I14" i="14"/>
  <c r="H14" i="14"/>
  <c r="G14" i="14"/>
  <c r="F14" i="14"/>
  <c r="E14" i="14"/>
  <c r="D14" i="14"/>
  <c r="C14" i="14"/>
  <c r="B14" i="14"/>
  <c r="A14" i="14"/>
  <c r="AJ13" i="14"/>
  <c r="AI13" i="14"/>
  <c r="AH13" i="14"/>
  <c r="AG13" i="14"/>
  <c r="AF13" i="14"/>
  <c r="AE13" i="14"/>
  <c r="AD13" i="14"/>
  <c r="AC13" i="14"/>
  <c r="AB13" i="14"/>
  <c r="AA13" i="14"/>
  <c r="Z13" i="14"/>
  <c r="Y13" i="14"/>
  <c r="X13" i="14"/>
  <c r="W13" i="14"/>
  <c r="V13" i="14"/>
  <c r="U13" i="14"/>
  <c r="T13" i="14"/>
  <c r="S13" i="14"/>
  <c r="R13" i="14"/>
  <c r="Q13" i="14"/>
  <c r="P13" i="14"/>
  <c r="O13" i="14"/>
  <c r="N13" i="14"/>
  <c r="M13" i="14"/>
  <c r="L13" i="14"/>
  <c r="K13" i="14"/>
  <c r="J13" i="14"/>
  <c r="I13" i="14"/>
  <c r="H13" i="14"/>
  <c r="G13" i="14"/>
  <c r="F13" i="14"/>
  <c r="E13" i="14"/>
  <c r="D13" i="14"/>
  <c r="C13" i="14"/>
  <c r="B13" i="14"/>
  <c r="A13" i="14"/>
  <c r="AJ12" i="14"/>
  <c r="AI12" i="14"/>
  <c r="AH12" i="14"/>
  <c r="AG12" i="14"/>
  <c r="AF12" i="14"/>
  <c r="AE12" i="14"/>
  <c r="AD12" i="14"/>
  <c r="AC12" i="14"/>
  <c r="AB12" i="14"/>
  <c r="AA12" i="14"/>
  <c r="Z12" i="14"/>
  <c r="Y12" i="14"/>
  <c r="X12" i="14"/>
  <c r="W12" i="14"/>
  <c r="V12" i="14"/>
  <c r="U12" i="14"/>
  <c r="T12" i="14"/>
  <c r="S12" i="14"/>
  <c r="R12" i="14"/>
  <c r="Q12" i="14"/>
  <c r="P12" i="14"/>
  <c r="O12" i="14"/>
  <c r="N12" i="14"/>
  <c r="M12" i="14"/>
  <c r="L12" i="14"/>
  <c r="K12" i="14"/>
  <c r="J12" i="14"/>
  <c r="I12" i="14"/>
  <c r="H12" i="14"/>
  <c r="G12" i="14"/>
  <c r="F12" i="14"/>
  <c r="E12" i="14"/>
  <c r="D12" i="14"/>
  <c r="C12" i="14"/>
  <c r="B12" i="14"/>
  <c r="A12" i="14"/>
  <c r="AJ11" i="14"/>
  <c r="AI11" i="14"/>
  <c r="AH11" i="14"/>
  <c r="AG11" i="14"/>
  <c r="AF11" i="14"/>
  <c r="AE11" i="14"/>
  <c r="AD11" i="14"/>
  <c r="AC11" i="14"/>
  <c r="AB11" i="14"/>
  <c r="AA11" i="14"/>
  <c r="Z11" i="14"/>
  <c r="Y11" i="14"/>
  <c r="X11" i="14"/>
  <c r="W11" i="14"/>
  <c r="V11" i="14"/>
  <c r="U11" i="14"/>
  <c r="T11" i="14"/>
  <c r="S11" i="14"/>
  <c r="R11" i="14"/>
  <c r="Q11" i="14"/>
  <c r="P11" i="14"/>
  <c r="O11" i="14"/>
  <c r="N11" i="14"/>
  <c r="M11" i="14"/>
  <c r="L11" i="14"/>
  <c r="K11" i="14"/>
  <c r="J11" i="14"/>
  <c r="I11" i="14"/>
  <c r="H11" i="14"/>
  <c r="G11" i="14"/>
  <c r="F11" i="14"/>
  <c r="E11" i="14"/>
  <c r="D11" i="14"/>
  <c r="C11" i="14"/>
  <c r="B11" i="14"/>
  <c r="A11" i="14"/>
  <c r="AJ10" i="14"/>
  <c r="AI10" i="14"/>
  <c r="AH10" i="14"/>
  <c r="AG10" i="14"/>
  <c r="AF10" i="14"/>
  <c r="AE10" i="14"/>
  <c r="AD10" i="14"/>
  <c r="AC10" i="14"/>
  <c r="AB10" i="14"/>
  <c r="AA10" i="14"/>
  <c r="Z10" i="14"/>
  <c r="Y10" i="14"/>
  <c r="X10" i="14"/>
  <c r="W10" i="14"/>
  <c r="V10" i="14"/>
  <c r="U10" i="14"/>
  <c r="T10" i="14"/>
  <c r="S10" i="14"/>
  <c r="R10" i="14"/>
  <c r="Q10" i="14"/>
  <c r="P10" i="14"/>
  <c r="O10" i="14"/>
  <c r="N10" i="14"/>
  <c r="M10" i="14"/>
  <c r="L10" i="14"/>
  <c r="K10" i="14"/>
  <c r="J10" i="14"/>
  <c r="I10" i="14"/>
  <c r="H10" i="14"/>
  <c r="G10" i="14"/>
  <c r="F10" i="14"/>
  <c r="E10" i="14"/>
  <c r="D10" i="14"/>
  <c r="C10" i="14"/>
  <c r="B10" i="14"/>
  <c r="A10" i="14"/>
  <c r="AJ9" i="14"/>
  <c r="AI9" i="14"/>
  <c r="AH9" i="14"/>
  <c r="AG9" i="14"/>
  <c r="AF9" i="14"/>
  <c r="AE9" i="14"/>
  <c r="AD9" i="14"/>
  <c r="AC9" i="14"/>
  <c r="AB9" i="14"/>
  <c r="AA9" i="14"/>
  <c r="Z9" i="14"/>
  <c r="Y9" i="14"/>
  <c r="X9" i="14"/>
  <c r="W9" i="14"/>
  <c r="V9" i="14"/>
  <c r="U9" i="14"/>
  <c r="T9" i="14"/>
  <c r="S9" i="14"/>
  <c r="R9" i="14"/>
  <c r="Q9" i="14"/>
  <c r="P9" i="14"/>
  <c r="O9" i="14"/>
  <c r="N9" i="14"/>
  <c r="M9" i="14"/>
  <c r="L9" i="14"/>
  <c r="K9" i="14"/>
  <c r="J9" i="14"/>
  <c r="I9" i="14"/>
  <c r="H9" i="14"/>
  <c r="G9" i="14"/>
  <c r="F9" i="14"/>
  <c r="E9" i="14"/>
  <c r="D9" i="14"/>
  <c r="C9" i="14"/>
  <c r="B9" i="14"/>
  <c r="A9" i="14"/>
  <c r="AJ8" i="14"/>
  <c r="AI8" i="14"/>
  <c r="AH8" i="14"/>
  <c r="AG8" i="14"/>
  <c r="AF8" i="14"/>
  <c r="AE8" i="14"/>
  <c r="AD8" i="14"/>
  <c r="AC8" i="14"/>
  <c r="AB8" i="14"/>
  <c r="AA8" i="14"/>
  <c r="Z8" i="14"/>
  <c r="Y8" i="14"/>
  <c r="X8" i="14"/>
  <c r="W8" i="14"/>
  <c r="V8" i="14"/>
  <c r="U8" i="14"/>
  <c r="T8" i="14"/>
  <c r="S8" i="14"/>
  <c r="R8" i="14"/>
  <c r="Q8" i="14"/>
  <c r="P8" i="14"/>
  <c r="O8" i="14"/>
  <c r="N8" i="14"/>
  <c r="M8" i="14"/>
  <c r="L8" i="14"/>
  <c r="K8" i="14"/>
  <c r="J8" i="14"/>
  <c r="I8" i="14"/>
  <c r="H8" i="14"/>
  <c r="G8" i="14"/>
  <c r="F8" i="14"/>
  <c r="E8" i="14"/>
  <c r="D8" i="14"/>
  <c r="C8" i="14"/>
  <c r="B8" i="14"/>
  <c r="A8" i="14"/>
  <c r="AJ7" i="14"/>
  <c r="AI7" i="14"/>
  <c r="AH7" i="14"/>
  <c r="AG7" i="14"/>
  <c r="AF7" i="14"/>
  <c r="AE7" i="14"/>
  <c r="AD7" i="14"/>
  <c r="AC7" i="14"/>
  <c r="AB7" i="14"/>
  <c r="AA7" i="14"/>
  <c r="Z7" i="14"/>
  <c r="Y7" i="14"/>
  <c r="X7" i="14"/>
  <c r="W7" i="14"/>
  <c r="V7" i="14"/>
  <c r="U7" i="14"/>
  <c r="T7" i="14"/>
  <c r="S7" i="14"/>
  <c r="R7" i="14"/>
  <c r="Q7" i="14"/>
  <c r="P7" i="14"/>
  <c r="O7" i="14"/>
  <c r="N7" i="14"/>
  <c r="M7" i="14"/>
  <c r="L7" i="14"/>
  <c r="K7" i="14"/>
  <c r="J7" i="14"/>
  <c r="I7" i="14"/>
  <c r="H7" i="14"/>
  <c r="G7" i="14"/>
  <c r="F7" i="14"/>
  <c r="E7" i="14"/>
  <c r="D7" i="14"/>
  <c r="C7" i="14"/>
  <c r="B7" i="14"/>
  <c r="A7" i="14"/>
  <c r="AJ6" i="14"/>
  <c r="AI6" i="14"/>
  <c r="AH6" i="14"/>
  <c r="AG6" i="14"/>
  <c r="AF6" i="14"/>
  <c r="AE6" i="14"/>
  <c r="AD6" i="14"/>
  <c r="AC6" i="14"/>
  <c r="AB6" i="14"/>
  <c r="AA6" i="14"/>
  <c r="Z6" i="14"/>
  <c r="Y6" i="14"/>
  <c r="X6" i="14"/>
  <c r="W6" i="14"/>
  <c r="V6" i="14"/>
  <c r="U6" i="14"/>
  <c r="T6" i="14"/>
  <c r="S6" i="14"/>
  <c r="R6" i="14"/>
  <c r="Q6" i="14"/>
  <c r="P6" i="14"/>
  <c r="O6" i="14"/>
  <c r="N6" i="14"/>
  <c r="M6" i="14"/>
  <c r="L6" i="14"/>
  <c r="K6" i="14"/>
  <c r="J6" i="14"/>
  <c r="I6" i="14"/>
  <c r="H6" i="14"/>
  <c r="G6" i="14"/>
  <c r="F6" i="14"/>
  <c r="E6" i="14"/>
  <c r="D6" i="14"/>
  <c r="C6" i="14"/>
  <c r="B6" i="14"/>
  <c r="A6" i="14"/>
  <c r="AJ5" i="14"/>
  <c r="AI5" i="14"/>
  <c r="AH5" i="14"/>
  <c r="AG5" i="14"/>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B5" i="14"/>
  <c r="A5" i="14"/>
  <c r="AJ4" i="14"/>
  <c r="AI4" i="14"/>
  <c r="AH4" i="14"/>
  <c r="AG4" i="14"/>
  <c r="AF4" i="14"/>
  <c r="AE4" i="14"/>
  <c r="AD4" i="14"/>
  <c r="AC4" i="14"/>
  <c r="AB4" i="14"/>
  <c r="AA4" i="14"/>
  <c r="Z4" i="14"/>
  <c r="Y4" i="14"/>
  <c r="X4" i="14"/>
  <c r="W4" i="14"/>
  <c r="V4" i="14"/>
  <c r="U4" i="14"/>
  <c r="T4" i="14"/>
  <c r="S4" i="14"/>
  <c r="R4" i="14"/>
  <c r="Q4" i="14"/>
  <c r="P4" i="14"/>
  <c r="O4" i="14"/>
  <c r="N4" i="14"/>
  <c r="M4" i="14"/>
  <c r="L4" i="14"/>
  <c r="K4" i="14"/>
  <c r="J4" i="14"/>
  <c r="I4" i="14"/>
  <c r="H4" i="14"/>
  <c r="G4" i="14"/>
  <c r="F4" i="14"/>
  <c r="E4" i="14"/>
  <c r="D4" i="14"/>
  <c r="C4" i="14"/>
  <c r="B4" i="14"/>
  <c r="A4" i="14"/>
  <c r="AJ3" i="14"/>
  <c r="AI3" i="14"/>
  <c r="AH3" i="14"/>
  <c r="AG3" i="14"/>
  <c r="AF3" i="14"/>
  <c r="AE3" i="14"/>
  <c r="AD3" i="14"/>
  <c r="AC3" i="14"/>
  <c r="AB3" i="14"/>
  <c r="AA3" i="14"/>
  <c r="Z3" i="14"/>
  <c r="Y3" i="14"/>
  <c r="X3" i="14"/>
  <c r="W3" i="14"/>
  <c r="V3" i="14"/>
  <c r="U3" i="14"/>
  <c r="T3" i="14"/>
  <c r="S3" i="14"/>
  <c r="R3" i="14"/>
  <c r="Q3" i="14"/>
  <c r="P3" i="14"/>
  <c r="O3" i="14"/>
  <c r="N3" i="14"/>
  <c r="M3" i="14"/>
  <c r="L3" i="14"/>
  <c r="K3" i="14"/>
  <c r="J3" i="14"/>
  <c r="I3" i="14"/>
  <c r="H3" i="14"/>
  <c r="G3" i="14"/>
  <c r="F3" i="14"/>
  <c r="E3" i="14"/>
  <c r="D3" i="14"/>
  <c r="C3" i="14"/>
  <c r="B3" i="14"/>
  <c r="A3" i="14"/>
  <c r="AJ2" i="14"/>
  <c r="AI2" i="14"/>
  <c r="AH2" i="14"/>
  <c r="AG2" i="14"/>
  <c r="AE2" i="14"/>
  <c r="AD2" i="14"/>
  <c r="AC2" i="14"/>
  <c r="AB2" i="14"/>
  <c r="AA2" i="14"/>
  <c r="Z2" i="14"/>
  <c r="Y2" i="14"/>
  <c r="X2" i="14"/>
  <c r="W2" i="14"/>
  <c r="V2" i="14"/>
  <c r="U2" i="14"/>
  <c r="T2" i="14"/>
  <c r="S2" i="14"/>
  <c r="R2" i="14"/>
  <c r="Q2" i="14"/>
  <c r="P2" i="14"/>
  <c r="O2" i="14"/>
  <c r="N2" i="14"/>
  <c r="M2" i="14"/>
  <c r="L2" i="14"/>
  <c r="K2" i="14"/>
  <c r="J2" i="14"/>
  <c r="I2" i="14"/>
  <c r="H2" i="14"/>
  <c r="G2" i="14"/>
  <c r="F2" i="14"/>
  <c r="E2" i="14"/>
  <c r="D2" i="14"/>
  <c r="C2" i="14"/>
  <c r="B2" i="14"/>
  <c r="A2" i="14"/>
  <c r="Q80" i="13"/>
  <c r="P80" i="13"/>
  <c r="O80" i="13"/>
  <c r="N80" i="13"/>
  <c r="Q79" i="13"/>
  <c r="P79" i="13"/>
  <c r="O79" i="13"/>
  <c r="N79" i="13"/>
  <c r="B79" i="13"/>
  <c r="O78" i="13"/>
  <c r="N78" i="13"/>
  <c r="B78" i="13"/>
  <c r="Q77" i="13"/>
  <c r="P77" i="13"/>
  <c r="O77" i="13"/>
  <c r="N77" i="13"/>
  <c r="B77" i="13"/>
  <c r="Q76" i="13"/>
  <c r="P76" i="13"/>
  <c r="O76" i="13"/>
  <c r="N76" i="13"/>
  <c r="B76" i="13"/>
  <c r="Q75" i="13"/>
  <c r="P75" i="13"/>
  <c r="O75" i="13"/>
  <c r="N75" i="13"/>
  <c r="B75" i="13"/>
  <c r="P74" i="13"/>
  <c r="O74" i="13"/>
  <c r="N74" i="13"/>
  <c r="B74" i="13"/>
  <c r="Q73" i="13"/>
  <c r="P73" i="13"/>
  <c r="O73" i="13"/>
  <c r="N73" i="13"/>
  <c r="C73" i="13"/>
  <c r="B73" i="13"/>
  <c r="Q72" i="13"/>
  <c r="P72" i="13"/>
  <c r="O72" i="13"/>
  <c r="N72" i="13"/>
  <c r="C72" i="13"/>
  <c r="B72" i="13"/>
  <c r="Q71" i="13"/>
  <c r="P71" i="13"/>
  <c r="N71" i="13"/>
  <c r="C71" i="13"/>
  <c r="B71" i="13"/>
  <c r="Q70" i="13"/>
  <c r="P70" i="13"/>
  <c r="O70" i="13"/>
  <c r="N70" i="13"/>
  <c r="C70" i="13"/>
  <c r="B70" i="13"/>
  <c r="Q69" i="13"/>
  <c r="P69" i="13"/>
  <c r="O69" i="13"/>
  <c r="N69" i="13"/>
  <c r="C69" i="13"/>
  <c r="B69" i="13"/>
  <c r="Q68" i="13"/>
  <c r="P68" i="13"/>
  <c r="O68" i="13"/>
  <c r="N68" i="13"/>
  <c r="E68" i="13"/>
  <c r="C68" i="13"/>
  <c r="B68" i="13"/>
  <c r="Q67" i="13"/>
  <c r="P67" i="13"/>
  <c r="O67" i="13"/>
  <c r="N67" i="13"/>
  <c r="C67" i="13"/>
  <c r="B67" i="13"/>
  <c r="Q66" i="13"/>
  <c r="P66" i="13"/>
  <c r="N66" i="13"/>
  <c r="C66" i="13"/>
  <c r="B66" i="13"/>
  <c r="Q65" i="13"/>
  <c r="P65" i="13"/>
  <c r="C65" i="13"/>
  <c r="B65" i="13"/>
  <c r="Q64" i="13"/>
  <c r="P64" i="13"/>
  <c r="C64" i="13"/>
  <c r="B64" i="13"/>
  <c r="Q63" i="13"/>
  <c r="P63" i="13"/>
  <c r="Q62" i="13"/>
  <c r="P62" i="13"/>
  <c r="C62" i="13"/>
  <c r="B62" i="13"/>
  <c r="Q61" i="13"/>
  <c r="P61" i="13"/>
  <c r="C61" i="13"/>
  <c r="B61" i="13"/>
  <c r="Q60" i="13"/>
  <c r="P60" i="13"/>
  <c r="C60" i="13"/>
  <c r="B60" i="13"/>
  <c r="Q59" i="13"/>
  <c r="P59" i="13"/>
  <c r="C59" i="13"/>
  <c r="B59" i="13"/>
  <c r="Q58" i="13"/>
  <c r="P58" i="13"/>
  <c r="C58" i="13"/>
  <c r="B58" i="13"/>
  <c r="Q57" i="13"/>
  <c r="P57" i="13"/>
  <c r="C57" i="13"/>
  <c r="B57" i="13"/>
  <c r="Q56" i="13"/>
  <c r="P56" i="13"/>
  <c r="C56" i="13"/>
  <c r="B56" i="13"/>
  <c r="Q55" i="13"/>
  <c r="P55" i="13"/>
  <c r="C55" i="13"/>
  <c r="B55" i="13"/>
  <c r="Q54" i="13"/>
  <c r="P54" i="13"/>
  <c r="C54" i="13"/>
  <c r="B54" i="13"/>
  <c r="Q53" i="13"/>
  <c r="P53" i="13"/>
  <c r="C53" i="13"/>
  <c r="B53" i="13"/>
  <c r="P52" i="13"/>
  <c r="C52" i="13"/>
  <c r="B52" i="13"/>
  <c r="Q51" i="13"/>
  <c r="P51" i="13"/>
  <c r="C51" i="13"/>
  <c r="B51" i="13"/>
  <c r="C50" i="13"/>
  <c r="B50" i="13"/>
  <c r="C49" i="13"/>
  <c r="B49" i="13"/>
  <c r="C48" i="13"/>
  <c r="B48" i="13"/>
  <c r="C47" i="13"/>
  <c r="B47" i="13"/>
  <c r="C46" i="13"/>
  <c r="B46" i="13"/>
  <c r="C45" i="13"/>
  <c r="B45" i="13"/>
  <c r="C44" i="13"/>
  <c r="B44" i="13"/>
  <c r="G43" i="13"/>
  <c r="F43" i="13"/>
  <c r="C43" i="13"/>
  <c r="B43" i="13"/>
  <c r="M42" i="13"/>
  <c r="L42" i="13"/>
  <c r="G42" i="13"/>
  <c r="F42" i="13"/>
  <c r="E42" i="13"/>
  <c r="D42" i="13"/>
  <c r="C42" i="13"/>
  <c r="B42" i="13"/>
  <c r="M41" i="13"/>
  <c r="L41" i="13"/>
  <c r="G41" i="13"/>
  <c r="F41" i="13"/>
  <c r="E41" i="13"/>
  <c r="D41" i="13"/>
  <c r="B41" i="13"/>
  <c r="B40" i="13"/>
  <c r="K38" i="13"/>
  <c r="J38" i="13"/>
  <c r="G38" i="13"/>
  <c r="F38" i="13"/>
  <c r="E38" i="13"/>
  <c r="D38" i="13"/>
  <c r="C38" i="13"/>
  <c r="B38" i="13"/>
  <c r="K37" i="13"/>
  <c r="J37" i="13"/>
  <c r="I37" i="13"/>
  <c r="H37" i="13"/>
  <c r="G37" i="13"/>
  <c r="F37" i="13"/>
  <c r="E37" i="13"/>
  <c r="D37" i="13"/>
  <c r="C37" i="13"/>
  <c r="B37" i="13"/>
  <c r="O36" i="13"/>
  <c r="N36" i="13"/>
  <c r="K36" i="13"/>
  <c r="J36" i="13"/>
  <c r="I36" i="13"/>
  <c r="H36" i="13"/>
  <c r="G36" i="13"/>
  <c r="F36" i="13"/>
  <c r="E36" i="13"/>
  <c r="D36" i="13"/>
  <c r="C36" i="13"/>
  <c r="B36" i="13"/>
  <c r="O35" i="13"/>
  <c r="N35" i="13"/>
  <c r="K35" i="13"/>
  <c r="J35" i="13"/>
  <c r="I35" i="13"/>
  <c r="H35" i="13"/>
  <c r="G35" i="13"/>
  <c r="F35" i="13"/>
  <c r="E35" i="13"/>
  <c r="D35" i="13"/>
  <c r="C35" i="13"/>
  <c r="B35" i="13"/>
  <c r="Q34" i="13"/>
  <c r="P34" i="13"/>
  <c r="O34" i="13"/>
  <c r="N34" i="13"/>
  <c r="K34" i="13"/>
  <c r="J34" i="13"/>
  <c r="I34" i="13"/>
  <c r="H34" i="13"/>
  <c r="E34" i="13"/>
  <c r="D34" i="13"/>
  <c r="B34" i="13"/>
  <c r="Q33" i="13"/>
  <c r="P33" i="13"/>
  <c r="O33" i="13"/>
  <c r="N33" i="13"/>
  <c r="K33" i="13"/>
  <c r="J33" i="13"/>
  <c r="I33" i="13"/>
  <c r="H33" i="13"/>
  <c r="E33" i="13"/>
  <c r="D33" i="13"/>
  <c r="C33" i="13"/>
  <c r="B33" i="13"/>
  <c r="Q32" i="13"/>
  <c r="P32" i="13"/>
  <c r="O32" i="13"/>
  <c r="N32" i="13"/>
  <c r="M32" i="13"/>
  <c r="L32" i="13"/>
  <c r="K32" i="13"/>
  <c r="J32" i="13"/>
  <c r="I32" i="13"/>
  <c r="H32" i="13"/>
  <c r="E32" i="13"/>
  <c r="D32" i="13"/>
  <c r="C32" i="13"/>
  <c r="B32" i="13"/>
  <c r="Q31" i="13"/>
  <c r="P31" i="13"/>
  <c r="O31" i="13"/>
  <c r="N31" i="13"/>
  <c r="M31" i="13"/>
  <c r="L31" i="13"/>
  <c r="K31" i="13"/>
  <c r="J31" i="13"/>
  <c r="I31" i="13"/>
  <c r="H31" i="13"/>
  <c r="G31" i="13"/>
  <c r="F31" i="13"/>
  <c r="E31" i="13"/>
  <c r="D31" i="13"/>
  <c r="C31" i="13"/>
  <c r="B31" i="13"/>
  <c r="Q30" i="13"/>
  <c r="P30" i="13"/>
  <c r="O30" i="13"/>
  <c r="N30" i="13"/>
  <c r="M30" i="13"/>
  <c r="L30" i="13"/>
  <c r="K30" i="13"/>
  <c r="J30" i="13"/>
  <c r="I30" i="13"/>
  <c r="H30" i="13"/>
  <c r="G30" i="13"/>
  <c r="F30" i="13"/>
  <c r="E30" i="13"/>
  <c r="D30" i="13"/>
  <c r="C30" i="13"/>
  <c r="B30" i="13"/>
  <c r="Q29" i="13"/>
  <c r="P29" i="13"/>
  <c r="O29" i="13"/>
  <c r="N29" i="13"/>
  <c r="M29" i="13"/>
  <c r="L29" i="13"/>
  <c r="K29" i="13"/>
  <c r="J29" i="13"/>
  <c r="I29" i="13"/>
  <c r="H29" i="13"/>
  <c r="G29" i="13"/>
  <c r="F29" i="13"/>
  <c r="E29" i="13"/>
  <c r="D29" i="13"/>
  <c r="C29" i="13"/>
  <c r="B29" i="13"/>
  <c r="N28" i="13"/>
  <c r="L28" i="13"/>
  <c r="J28" i="13"/>
  <c r="H28" i="13"/>
  <c r="F28" i="13"/>
  <c r="D28" i="13"/>
  <c r="B28" i="13"/>
  <c r="Q26" i="13"/>
  <c r="P26" i="13"/>
  <c r="O26" i="13"/>
  <c r="N26" i="13"/>
  <c r="K26" i="13"/>
  <c r="J26" i="13"/>
  <c r="I26" i="13"/>
  <c r="H26" i="13"/>
  <c r="G26" i="13"/>
  <c r="F26" i="13"/>
  <c r="E26" i="13"/>
  <c r="D26" i="13"/>
  <c r="C26" i="13"/>
  <c r="B26" i="13"/>
  <c r="Q25" i="13"/>
  <c r="P25" i="13"/>
  <c r="O25" i="13"/>
  <c r="N25" i="13"/>
  <c r="K25" i="13"/>
  <c r="J25" i="13"/>
  <c r="I25" i="13"/>
  <c r="H25" i="13"/>
  <c r="G25" i="13"/>
  <c r="F25" i="13"/>
  <c r="E25" i="13"/>
  <c r="D25" i="13"/>
  <c r="C25" i="13"/>
  <c r="B25" i="13"/>
  <c r="Q24" i="13"/>
  <c r="P24" i="13"/>
  <c r="O24" i="13"/>
  <c r="N24" i="13"/>
  <c r="K24" i="13"/>
  <c r="J24" i="13"/>
  <c r="I24" i="13"/>
  <c r="H24" i="13"/>
  <c r="G24" i="13"/>
  <c r="F24" i="13"/>
  <c r="E24" i="13"/>
  <c r="D24" i="13"/>
  <c r="C24" i="13"/>
  <c r="B24" i="13"/>
  <c r="Q23" i="13"/>
  <c r="P23" i="13"/>
  <c r="O23" i="13"/>
  <c r="N23" i="13"/>
  <c r="M23" i="13"/>
  <c r="L23" i="13"/>
  <c r="K23" i="13"/>
  <c r="J23" i="13"/>
  <c r="I23" i="13"/>
  <c r="H23" i="13"/>
  <c r="G23" i="13"/>
  <c r="F23" i="13"/>
  <c r="E23" i="13"/>
  <c r="D23" i="13"/>
  <c r="C23" i="13"/>
  <c r="B23" i="13"/>
  <c r="P22" i="13"/>
  <c r="N22" i="13"/>
  <c r="M22" i="13"/>
  <c r="L22" i="13"/>
  <c r="K22" i="13"/>
  <c r="J22" i="13"/>
  <c r="I22" i="13"/>
  <c r="H22" i="13"/>
  <c r="G22" i="13"/>
  <c r="F22" i="13"/>
  <c r="E22" i="13"/>
  <c r="D22" i="13"/>
  <c r="C22" i="13"/>
  <c r="B22" i="13"/>
  <c r="Q21" i="13"/>
  <c r="P21" i="13"/>
  <c r="O21" i="13"/>
  <c r="N21" i="13"/>
  <c r="M21" i="13"/>
  <c r="L21" i="13"/>
  <c r="K21" i="13"/>
  <c r="J21" i="13"/>
  <c r="I21" i="13"/>
  <c r="H21" i="13"/>
  <c r="G21" i="13"/>
  <c r="F21" i="13"/>
  <c r="E21" i="13"/>
  <c r="D21" i="13"/>
  <c r="C21" i="13"/>
  <c r="B21" i="13"/>
  <c r="Q20" i="13"/>
  <c r="P20" i="13"/>
  <c r="O20" i="13"/>
  <c r="N20" i="13"/>
  <c r="M20" i="13"/>
  <c r="L20" i="13"/>
  <c r="K20" i="13"/>
  <c r="J20" i="13"/>
  <c r="I20" i="13"/>
  <c r="H20" i="13"/>
  <c r="G20" i="13"/>
  <c r="F20" i="13"/>
  <c r="C20" i="13"/>
  <c r="B20" i="13"/>
  <c r="O19" i="13"/>
  <c r="N19" i="13"/>
  <c r="M19" i="13"/>
  <c r="L19" i="13"/>
  <c r="K19" i="13"/>
  <c r="J19" i="13"/>
  <c r="I19" i="13"/>
  <c r="H19" i="13"/>
  <c r="G19" i="13"/>
  <c r="F19" i="13"/>
  <c r="E19" i="13"/>
  <c r="D19" i="13"/>
  <c r="C19" i="13"/>
  <c r="B19" i="13"/>
  <c r="O18" i="13"/>
  <c r="N18" i="13"/>
  <c r="M18" i="13"/>
  <c r="L18" i="13"/>
  <c r="K18" i="13"/>
  <c r="J18" i="13"/>
  <c r="I18" i="13"/>
  <c r="H18" i="13"/>
  <c r="G18" i="13"/>
  <c r="F18" i="13"/>
  <c r="E18" i="13"/>
  <c r="D18" i="13"/>
  <c r="C18" i="13"/>
  <c r="B18" i="13"/>
  <c r="Q17" i="13"/>
  <c r="P17" i="13"/>
  <c r="O17" i="13"/>
  <c r="N17" i="13"/>
  <c r="M17" i="13"/>
  <c r="L17" i="13"/>
  <c r="K17" i="13"/>
  <c r="J17" i="13"/>
  <c r="I17" i="13"/>
  <c r="H17" i="13"/>
  <c r="G17" i="13"/>
  <c r="F17" i="13"/>
  <c r="E17" i="13"/>
  <c r="D17" i="13"/>
  <c r="C17" i="13"/>
  <c r="B17" i="13"/>
  <c r="P16" i="13"/>
  <c r="N16" i="13"/>
  <c r="L16" i="13"/>
  <c r="J16" i="13"/>
  <c r="H16" i="13"/>
  <c r="F16" i="13"/>
  <c r="D16" i="13"/>
  <c r="B16" i="13"/>
  <c r="Q14" i="13"/>
  <c r="P14" i="13"/>
  <c r="O14" i="13"/>
  <c r="N14" i="13"/>
  <c r="M14" i="13"/>
  <c r="L14" i="13"/>
  <c r="K14" i="13"/>
  <c r="J14" i="13"/>
  <c r="I14" i="13"/>
  <c r="H14" i="13"/>
  <c r="G14" i="13"/>
  <c r="F14" i="13"/>
  <c r="E14" i="13"/>
  <c r="D14" i="13"/>
  <c r="C14" i="13"/>
  <c r="B14" i="13"/>
  <c r="O12" i="13"/>
  <c r="N12" i="13"/>
  <c r="M12" i="13"/>
  <c r="L12" i="13"/>
  <c r="K12" i="13"/>
  <c r="J12" i="13"/>
  <c r="I12" i="13"/>
  <c r="H12" i="13"/>
  <c r="G12" i="13"/>
  <c r="F12" i="13"/>
  <c r="E12" i="13"/>
  <c r="D12" i="13"/>
  <c r="C12" i="13"/>
  <c r="B12" i="13"/>
  <c r="O11" i="13"/>
  <c r="N11" i="13"/>
  <c r="M11" i="13"/>
  <c r="L11" i="13"/>
  <c r="K11" i="13"/>
  <c r="J11" i="13"/>
  <c r="I11" i="13"/>
  <c r="H11" i="13"/>
  <c r="G11" i="13"/>
  <c r="F11" i="13"/>
  <c r="E11" i="13"/>
  <c r="D11" i="13"/>
  <c r="C11" i="13"/>
  <c r="B11" i="13"/>
  <c r="O10" i="13"/>
  <c r="N10" i="13"/>
  <c r="M10" i="13"/>
  <c r="L10" i="13"/>
  <c r="K10" i="13"/>
  <c r="J10" i="13"/>
  <c r="I10" i="13"/>
  <c r="H10" i="13"/>
  <c r="G10" i="13"/>
  <c r="F10" i="13"/>
  <c r="C10" i="13"/>
  <c r="B10" i="13"/>
  <c r="M9" i="13"/>
  <c r="L9" i="13"/>
  <c r="K9" i="13"/>
  <c r="J9" i="13"/>
  <c r="I9" i="13"/>
  <c r="H9" i="13"/>
  <c r="G9" i="13"/>
  <c r="F9" i="13"/>
  <c r="E9" i="13"/>
  <c r="D9" i="13"/>
  <c r="C9" i="13"/>
  <c r="B9" i="13"/>
  <c r="M8" i="13"/>
  <c r="L8" i="13"/>
  <c r="K8" i="13"/>
  <c r="J8" i="13"/>
  <c r="I8" i="13"/>
  <c r="H8" i="13"/>
  <c r="G8" i="13"/>
  <c r="F8" i="13"/>
  <c r="C8" i="13"/>
  <c r="B8" i="13"/>
  <c r="M7" i="13"/>
  <c r="L7" i="13"/>
  <c r="K7" i="13"/>
  <c r="J7" i="13"/>
  <c r="I7" i="13"/>
  <c r="H7" i="13"/>
  <c r="G7" i="13"/>
  <c r="F7" i="13"/>
  <c r="E7" i="13"/>
  <c r="D7" i="13"/>
  <c r="C7" i="13"/>
  <c r="B7" i="13"/>
  <c r="Q6" i="13"/>
  <c r="P6" i="13"/>
  <c r="O6" i="13"/>
  <c r="N6" i="13"/>
  <c r="M6" i="13"/>
  <c r="L6" i="13"/>
  <c r="K6" i="13"/>
  <c r="J6" i="13"/>
  <c r="I6" i="13"/>
  <c r="H6" i="13"/>
  <c r="G6" i="13"/>
  <c r="F6" i="13"/>
  <c r="C6" i="13"/>
  <c r="B6" i="13"/>
  <c r="Q5" i="13"/>
  <c r="P5" i="13"/>
  <c r="O5" i="13"/>
  <c r="N5" i="13"/>
  <c r="M5" i="13"/>
  <c r="L5" i="13"/>
  <c r="K5" i="13"/>
  <c r="J5" i="13"/>
  <c r="I5" i="13"/>
  <c r="H5" i="13"/>
  <c r="G5" i="13"/>
  <c r="F5" i="13"/>
  <c r="C5" i="13"/>
  <c r="B5" i="13"/>
  <c r="Q4" i="13"/>
  <c r="P4" i="13"/>
  <c r="O4" i="13"/>
  <c r="N4" i="13"/>
  <c r="M4" i="13"/>
  <c r="L4" i="13"/>
  <c r="K4" i="13"/>
  <c r="J4" i="13"/>
  <c r="I4" i="13"/>
  <c r="H4" i="13"/>
  <c r="G4" i="13"/>
  <c r="F4" i="13"/>
  <c r="E4" i="13"/>
  <c r="D4" i="13"/>
  <c r="C4" i="13"/>
  <c r="B4" i="13"/>
  <c r="Q3" i="13"/>
  <c r="P3" i="13"/>
  <c r="O3" i="13"/>
  <c r="N3" i="13"/>
  <c r="M3" i="13"/>
  <c r="L3" i="13"/>
  <c r="K3" i="13"/>
  <c r="J3" i="13"/>
  <c r="I3" i="13"/>
  <c r="H3" i="13"/>
  <c r="G3" i="13"/>
  <c r="F3" i="13"/>
  <c r="E3" i="13"/>
  <c r="D3" i="13"/>
  <c r="C3" i="13"/>
  <c r="B3" i="13"/>
  <c r="P2" i="13"/>
  <c r="N2" i="13"/>
  <c r="L2" i="13"/>
  <c r="J2" i="13"/>
  <c r="H2" i="13"/>
  <c r="F2" i="13"/>
  <c r="D2" i="13"/>
  <c r="B2" i="13"/>
  <c r="G30" i="12"/>
  <c r="F30" i="12"/>
  <c r="H30" i="12" s="1"/>
  <c r="C17" i="2" s="1"/>
  <c r="B30" i="12"/>
  <c r="A30" i="12"/>
  <c r="A25" i="12"/>
  <c r="A26" i="12" s="1"/>
  <c r="A27" i="12" s="1"/>
  <c r="A28" i="12" s="1"/>
  <c r="A29" i="12" s="1"/>
  <c r="J10" i="12"/>
  <c r="G10" i="12"/>
  <c r="G11" i="12" s="1"/>
  <c r="G12" i="12" s="1"/>
  <c r="G13" i="12" s="1"/>
  <c r="G14" i="12" s="1"/>
  <c r="G15" i="12" s="1"/>
  <c r="G16" i="12" s="1"/>
  <c r="G17" i="12" s="1"/>
  <c r="G18" i="12" s="1"/>
  <c r="G19" i="12" s="1"/>
  <c r="G20" i="12" s="1"/>
  <c r="G21" i="12" s="1"/>
  <c r="G22" i="12" s="1"/>
  <c r="G23" i="12" s="1"/>
  <c r="G24" i="12" s="1"/>
  <c r="G25" i="12" s="1"/>
  <c r="G26" i="12" s="1"/>
  <c r="G27" i="12" s="1"/>
  <c r="G28" i="12" s="1"/>
  <c r="G29" i="12" s="1"/>
  <c r="G6" i="12"/>
  <c r="G7" i="12" s="1"/>
  <c r="G8" i="12" s="1"/>
  <c r="G9" i="12" s="1"/>
  <c r="H5" i="12"/>
  <c r="G5" i="12"/>
  <c r="F5" i="12"/>
  <c r="F6" i="12" s="1"/>
  <c r="B5" i="12"/>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A5" i="12"/>
  <c r="A6" i="12" s="1"/>
  <c r="A7" i="12" s="1"/>
  <c r="A8" i="12" s="1"/>
  <c r="A9" i="12" s="1"/>
  <c r="A10" i="12" s="1"/>
  <c r="A11" i="12" s="1"/>
  <c r="A12" i="12" s="1"/>
  <c r="A13" i="12" s="1"/>
  <c r="A14" i="12" s="1"/>
  <c r="A15" i="12" s="1"/>
  <c r="A16" i="12" s="1"/>
  <c r="A17" i="12" s="1"/>
  <c r="A18" i="12" s="1"/>
  <c r="A19" i="12" s="1"/>
  <c r="A20" i="12" s="1"/>
  <c r="A21" i="12" s="1"/>
  <c r="A22" i="12" s="1"/>
  <c r="A23" i="12" s="1"/>
  <c r="A24" i="12" s="1"/>
  <c r="H4" i="12"/>
  <c r="F4" i="12"/>
  <c r="I4" i="12" s="1"/>
  <c r="B4" i="12"/>
  <c r="H3" i="12"/>
  <c r="J2" i="12"/>
  <c r="H2" i="12"/>
  <c r="A9" i="11"/>
  <c r="A8" i="11"/>
  <c r="A7" i="11"/>
  <c r="A6" i="11"/>
  <c r="A5" i="11"/>
  <c r="A4" i="11"/>
  <c r="A3" i="11"/>
  <c r="A2" i="11"/>
  <c r="A1" i="11"/>
  <c r="U25" i="10"/>
  <c r="S25" i="10"/>
  <c r="Q25" i="10"/>
  <c r="M25" i="10"/>
  <c r="O25" i="10" s="1"/>
  <c r="I25" i="10"/>
  <c r="E25" i="10"/>
  <c r="C25" i="10"/>
  <c r="A25" i="10"/>
  <c r="U24" i="10"/>
  <c r="S24" i="10"/>
  <c r="Q24" i="10"/>
  <c r="M24" i="10"/>
  <c r="O24" i="10" s="1"/>
  <c r="I24" i="10"/>
  <c r="K24" i="10" s="1"/>
  <c r="E24" i="10"/>
  <c r="G24" i="10" s="1"/>
  <c r="C24" i="10"/>
  <c r="A24" i="10"/>
  <c r="U23" i="10"/>
  <c r="Q23" i="10"/>
  <c r="O23" i="10"/>
  <c r="M23" i="10"/>
  <c r="I23" i="10"/>
  <c r="K23" i="10" s="1"/>
  <c r="F23" i="10"/>
  <c r="E23" i="10"/>
  <c r="G23" i="10" s="1"/>
  <c r="H23" i="10" s="1"/>
  <c r="C23" i="10"/>
  <c r="A23" i="10"/>
  <c r="U22" i="10"/>
  <c r="T22" i="10"/>
  <c r="S22" i="10"/>
  <c r="R22" i="10"/>
  <c r="Q22" i="10"/>
  <c r="O22" i="10"/>
  <c r="P22" i="10" s="1"/>
  <c r="N22" i="10"/>
  <c r="M22" i="10"/>
  <c r="J22" i="10"/>
  <c r="I22" i="10"/>
  <c r="G22" i="10"/>
  <c r="H22" i="10" s="1"/>
  <c r="F22" i="10"/>
  <c r="E22" i="10"/>
  <c r="B22" i="10"/>
  <c r="A22" i="10"/>
  <c r="U21" i="10"/>
  <c r="R21" i="10"/>
  <c r="Q21" i="10"/>
  <c r="S21" i="10" s="1"/>
  <c r="T21" i="10" s="1"/>
  <c r="N21" i="10"/>
  <c r="M21" i="10"/>
  <c r="O21" i="10" s="1"/>
  <c r="P21" i="10" s="1"/>
  <c r="L21" i="10"/>
  <c r="J21" i="10"/>
  <c r="I21" i="10"/>
  <c r="K21" i="10" s="1"/>
  <c r="F21" i="10"/>
  <c r="E21" i="10"/>
  <c r="G21" i="10" s="1"/>
  <c r="H21" i="10" s="1"/>
  <c r="B21" i="10"/>
  <c r="A21" i="10"/>
  <c r="C21" i="10" s="1"/>
  <c r="D21" i="10" s="1"/>
  <c r="U20" i="10"/>
  <c r="R20" i="10"/>
  <c r="Q20" i="10"/>
  <c r="S20" i="10" s="1"/>
  <c r="T20" i="10" s="1"/>
  <c r="N20" i="10"/>
  <c r="M20" i="10"/>
  <c r="O20" i="10" s="1"/>
  <c r="J20" i="10"/>
  <c r="I20" i="10"/>
  <c r="K20" i="10" s="1"/>
  <c r="L20" i="10" s="1"/>
  <c r="H20" i="10"/>
  <c r="F20" i="10"/>
  <c r="E20" i="10"/>
  <c r="G20" i="10" s="1"/>
  <c r="B20" i="10"/>
  <c r="A20" i="10"/>
  <c r="C20" i="10" s="1"/>
  <c r="D20" i="10" s="1"/>
  <c r="X19" i="10"/>
  <c r="V19" i="10"/>
  <c r="U19" i="10"/>
  <c r="S19" i="10"/>
  <c r="Q19" i="10"/>
  <c r="M19" i="10"/>
  <c r="O19" i="10" s="1"/>
  <c r="I19" i="10"/>
  <c r="K19" i="10" s="1"/>
  <c r="E19" i="10"/>
  <c r="G19" i="10" s="1"/>
  <c r="C19" i="10"/>
  <c r="A19" i="10"/>
  <c r="U18" i="10"/>
  <c r="Q18" i="10"/>
  <c r="O18" i="10"/>
  <c r="M18" i="10"/>
  <c r="I18" i="10"/>
  <c r="K18" i="10" s="1"/>
  <c r="G18" i="10"/>
  <c r="E18" i="10"/>
  <c r="A18" i="10"/>
  <c r="U17" i="10"/>
  <c r="Q17" i="10"/>
  <c r="S17" i="10" s="1"/>
  <c r="O17" i="10"/>
  <c r="M17" i="10"/>
  <c r="I17" i="10"/>
  <c r="K17" i="10" s="1"/>
  <c r="E17" i="10"/>
  <c r="G17" i="10" s="1"/>
  <c r="A17" i="10"/>
  <c r="C17" i="10" s="1"/>
  <c r="X16" i="10"/>
  <c r="W16" i="10"/>
  <c r="V16" i="10"/>
  <c r="U16" i="10"/>
  <c r="R16" i="10"/>
  <c r="Q16" i="10"/>
  <c r="S16" i="10" s="1"/>
  <c r="O16" i="10"/>
  <c r="P16" i="10" s="1"/>
  <c r="N16" i="10"/>
  <c r="M16" i="10"/>
  <c r="J16" i="10"/>
  <c r="I16" i="10"/>
  <c r="K16" i="10" s="1"/>
  <c r="L16" i="10" s="1"/>
  <c r="G16" i="10"/>
  <c r="H16" i="10" s="1"/>
  <c r="F16" i="10"/>
  <c r="E16" i="10"/>
  <c r="B16" i="10"/>
  <c r="A16" i="10"/>
  <c r="C16" i="10" s="1"/>
  <c r="D16" i="10" s="1"/>
  <c r="W15" i="10"/>
  <c r="X15" i="10" s="1"/>
  <c r="V15" i="10"/>
  <c r="U15" i="10"/>
  <c r="T15" i="10"/>
  <c r="R15" i="10"/>
  <c r="Q15" i="10"/>
  <c r="S15" i="10" s="1"/>
  <c r="O15" i="10"/>
  <c r="P15" i="10" s="1"/>
  <c r="N15" i="10"/>
  <c r="M15" i="10"/>
  <c r="J15" i="10"/>
  <c r="I15" i="10"/>
  <c r="K15" i="10" s="1"/>
  <c r="L15" i="10" s="1"/>
  <c r="G15" i="10"/>
  <c r="H15" i="10" s="1"/>
  <c r="F15" i="10"/>
  <c r="E15" i="10"/>
  <c r="B15" i="10"/>
  <c r="A15" i="10"/>
  <c r="C15" i="10" s="1"/>
  <c r="D15" i="10" s="1"/>
  <c r="W14" i="10"/>
  <c r="X14" i="10" s="1"/>
  <c r="V14" i="10"/>
  <c r="U14" i="10"/>
  <c r="R14" i="10"/>
  <c r="Q14" i="10"/>
  <c r="S14" i="10" s="1"/>
  <c r="T14" i="10" s="1"/>
  <c r="O14" i="10"/>
  <c r="P14" i="10" s="1"/>
  <c r="N14" i="10"/>
  <c r="M14" i="10"/>
  <c r="J14" i="10"/>
  <c r="I14" i="10"/>
  <c r="K14" i="10" s="1"/>
  <c r="L14" i="10" s="1"/>
  <c r="G14" i="10"/>
  <c r="H14" i="10" s="1"/>
  <c r="F14" i="10"/>
  <c r="E14" i="10"/>
  <c r="B14" i="10"/>
  <c r="A14" i="10"/>
  <c r="C14" i="10" s="1"/>
  <c r="D14" i="10" s="1"/>
  <c r="X13" i="10"/>
  <c r="V13" i="10"/>
  <c r="U13" i="10"/>
  <c r="Q13" i="10"/>
  <c r="S13" i="10" s="1"/>
  <c r="M13" i="10"/>
  <c r="O13" i="10" s="1"/>
  <c r="I13" i="10"/>
  <c r="K13" i="10" s="1"/>
  <c r="G13" i="10"/>
  <c r="E13" i="10"/>
  <c r="A13" i="10"/>
  <c r="C13" i="10" s="1"/>
  <c r="U12" i="10"/>
  <c r="S12" i="10"/>
  <c r="Q12" i="10"/>
  <c r="M12" i="10"/>
  <c r="O12" i="10" s="1"/>
  <c r="I12" i="10"/>
  <c r="E12" i="10"/>
  <c r="C12" i="10"/>
  <c r="A12" i="10"/>
  <c r="Y11" i="10"/>
  <c r="U11" i="10"/>
  <c r="Q11" i="10"/>
  <c r="S11" i="10" s="1"/>
  <c r="M11" i="10"/>
  <c r="O11" i="10" s="1"/>
  <c r="I11" i="10"/>
  <c r="K11" i="10" s="1"/>
  <c r="G11" i="10"/>
  <c r="E11" i="10"/>
  <c r="A11" i="10"/>
  <c r="C11" i="10" s="1"/>
  <c r="Y10" i="10"/>
  <c r="V10" i="10"/>
  <c r="W10" i="10" s="1"/>
  <c r="X10" i="10" s="1"/>
  <c r="U10" i="10"/>
  <c r="R10" i="10"/>
  <c r="Q10" i="10"/>
  <c r="S10" i="10" s="1"/>
  <c r="T10" i="10" s="1"/>
  <c r="O10" i="10"/>
  <c r="P10" i="10" s="1"/>
  <c r="N10" i="10"/>
  <c r="M10" i="10"/>
  <c r="J10" i="10"/>
  <c r="I10" i="10"/>
  <c r="K10" i="10" s="1"/>
  <c r="G10" i="10"/>
  <c r="H10" i="10" s="1"/>
  <c r="F10" i="10"/>
  <c r="E10" i="10"/>
  <c r="B10" i="10"/>
  <c r="A10" i="10"/>
  <c r="C10" i="10" s="1"/>
  <c r="Y9" i="10"/>
  <c r="X9" i="10"/>
  <c r="W9" i="10"/>
  <c r="V9" i="10"/>
  <c r="U9" i="10"/>
  <c r="S9" i="10"/>
  <c r="T9" i="10" s="1"/>
  <c r="R9" i="10"/>
  <c r="Q9" i="10"/>
  <c r="P9" i="10"/>
  <c r="O9" i="10"/>
  <c r="N9" i="10"/>
  <c r="M9" i="10"/>
  <c r="K9" i="10"/>
  <c r="L9" i="10" s="1"/>
  <c r="Z5" i="10" s="1"/>
  <c r="J9" i="10"/>
  <c r="I9" i="10"/>
  <c r="H9" i="10"/>
  <c r="G9" i="10"/>
  <c r="F9" i="10"/>
  <c r="E9" i="10"/>
  <c r="C9" i="10"/>
  <c r="D9" i="10" s="1"/>
  <c r="B9" i="10"/>
  <c r="A9" i="10"/>
  <c r="Y8" i="10"/>
  <c r="W8" i="10"/>
  <c r="X8" i="10" s="1"/>
  <c r="V8" i="10"/>
  <c r="U8" i="10"/>
  <c r="T8" i="10"/>
  <c r="S8" i="10"/>
  <c r="R8" i="10"/>
  <c r="Q8" i="10"/>
  <c r="N8" i="10"/>
  <c r="M8" i="10"/>
  <c r="O8" i="10" s="1"/>
  <c r="P8" i="10" s="1"/>
  <c r="J8" i="10"/>
  <c r="I8" i="10"/>
  <c r="F8" i="10"/>
  <c r="E8" i="10"/>
  <c r="G8" i="10" s="1"/>
  <c r="B8" i="10"/>
  <c r="A8" i="10"/>
  <c r="Y7" i="10"/>
  <c r="X7" i="10"/>
  <c r="V7" i="10"/>
  <c r="U7" i="10"/>
  <c r="Q7" i="10"/>
  <c r="S7" i="10" s="1"/>
  <c r="O7" i="10"/>
  <c r="M7" i="10"/>
  <c r="I7" i="10"/>
  <c r="G7" i="10"/>
  <c r="E7" i="10"/>
  <c r="A7" i="10"/>
  <c r="C7" i="10" s="1"/>
  <c r="Y6" i="10"/>
  <c r="U6" i="10"/>
  <c r="Q6" i="10"/>
  <c r="S6" i="10" s="1"/>
  <c r="M6" i="10"/>
  <c r="O6" i="10" s="1"/>
  <c r="K6" i="10"/>
  <c r="I6" i="10"/>
  <c r="E6" i="10"/>
  <c r="G6" i="10" s="1"/>
  <c r="A6" i="10"/>
  <c r="C6" i="10" s="1"/>
  <c r="Y5" i="10"/>
  <c r="U5" i="10"/>
  <c r="S5" i="10"/>
  <c r="Q5" i="10"/>
  <c r="O5" i="10"/>
  <c r="M5" i="10"/>
  <c r="K5" i="10"/>
  <c r="I5" i="10"/>
  <c r="G5" i="10"/>
  <c r="F5" i="10"/>
  <c r="E5" i="10"/>
  <c r="B5" i="10"/>
  <c r="A5" i="10"/>
  <c r="C5" i="10" s="1"/>
  <c r="D5" i="10" s="1"/>
  <c r="Y4" i="10"/>
  <c r="V4" i="10"/>
  <c r="W4" i="10" s="1"/>
  <c r="X4" i="10" s="1"/>
  <c r="Z8" i="10" s="1"/>
  <c r="U4" i="10"/>
  <c r="R4" i="10"/>
  <c r="Q4" i="10"/>
  <c r="S4" i="10" s="1"/>
  <c r="N4" i="10"/>
  <c r="M4" i="10"/>
  <c r="J4" i="10"/>
  <c r="I4" i="10"/>
  <c r="K4" i="10" s="1"/>
  <c r="F4" i="10"/>
  <c r="E4" i="10"/>
  <c r="D4" i="10"/>
  <c r="B4" i="10"/>
  <c r="A4" i="10"/>
  <c r="C4" i="10" s="1"/>
  <c r="Y3" i="10"/>
  <c r="V3" i="10"/>
  <c r="W3" i="10" s="1"/>
  <c r="X3" i="10" s="1"/>
  <c r="U3" i="10"/>
  <c r="S3" i="10"/>
  <c r="T3" i="10" s="1"/>
  <c r="R3" i="10"/>
  <c r="Q3" i="10"/>
  <c r="N3" i="10"/>
  <c r="M3" i="10"/>
  <c r="O3" i="10" s="1"/>
  <c r="P3" i="10" s="1"/>
  <c r="K3" i="10"/>
  <c r="L3" i="10" s="1"/>
  <c r="J3" i="10"/>
  <c r="I3" i="10"/>
  <c r="F3" i="10"/>
  <c r="E3" i="10"/>
  <c r="G3" i="10" s="1"/>
  <c r="H3" i="10" s="1"/>
  <c r="C3" i="10"/>
  <c r="B3" i="10"/>
  <c r="A3" i="10"/>
  <c r="Y2" i="10"/>
  <c r="X2" i="10"/>
  <c r="V2" i="10"/>
  <c r="W2" i="10" s="1"/>
  <c r="U2" i="10"/>
  <c r="T2" i="10"/>
  <c r="R2" i="10"/>
  <c r="Q2" i="10"/>
  <c r="N2" i="10"/>
  <c r="M2" i="10"/>
  <c r="O2" i="10" s="1"/>
  <c r="J2" i="10"/>
  <c r="I2" i="10"/>
  <c r="H2" i="10"/>
  <c r="F2" i="10"/>
  <c r="E2" i="10"/>
  <c r="G2" i="10" s="1"/>
  <c r="B2" i="10"/>
  <c r="A2" i="10"/>
  <c r="Y1" i="10"/>
  <c r="X1" i="10"/>
  <c r="W1" i="10"/>
  <c r="U1" i="10"/>
  <c r="T1" i="10"/>
  <c r="S1" i="10"/>
  <c r="Q1" i="10"/>
  <c r="S2" i="10" s="1"/>
  <c r="P1" i="10"/>
  <c r="O1" i="10"/>
  <c r="M1" i="10"/>
  <c r="O4" i="10" s="1"/>
  <c r="P4" i="10" s="1"/>
  <c r="L1" i="10"/>
  <c r="K1" i="10"/>
  <c r="I1" i="10"/>
  <c r="K8" i="10" s="1"/>
  <c r="L8" i="10" s="1"/>
  <c r="H1" i="10"/>
  <c r="G1" i="10"/>
  <c r="E1" i="10"/>
  <c r="G4" i="10" s="1"/>
  <c r="H4" i="10" s="1"/>
  <c r="D1" i="10"/>
  <c r="C1" i="10"/>
  <c r="A1" i="10"/>
  <c r="C8" i="10" s="1"/>
  <c r="D8" i="10" s="1"/>
  <c r="AO224" i="9"/>
  <c r="AN224" i="9"/>
  <c r="AM224" i="9"/>
  <c r="AB224" i="9"/>
  <c r="N224" i="9"/>
  <c r="G224" i="9"/>
  <c r="AP224" i="9" s="1"/>
  <c r="B224" i="9"/>
  <c r="AO223" i="9"/>
  <c r="AN223" i="9"/>
  <c r="AM223" i="9"/>
  <c r="H223" i="9"/>
  <c r="AP223" i="9" s="1"/>
  <c r="B223" i="9"/>
  <c r="AO222" i="9"/>
  <c r="AN222" i="9"/>
  <c r="AM222" i="9"/>
  <c r="AF222" i="9"/>
  <c r="C222" i="9"/>
  <c r="AP222" i="9" s="1"/>
  <c r="B222" i="9"/>
  <c r="AN221" i="9"/>
  <c r="B36" i="2" s="1"/>
  <c r="AO218" i="9"/>
  <c r="AN218" i="9"/>
  <c r="AM218" i="9"/>
  <c r="AG218" i="9"/>
  <c r="M218" i="9"/>
  <c r="B218" i="9"/>
  <c r="AO217" i="9"/>
  <c r="AN217" i="9"/>
  <c r="AM217" i="9"/>
  <c r="K217" i="9"/>
  <c r="C217" i="9"/>
  <c r="B217" i="9"/>
  <c r="AO216" i="9"/>
  <c r="AN216" i="9"/>
  <c r="AM216" i="9"/>
  <c r="M216" i="9"/>
  <c r="K216" i="9"/>
  <c r="G216" i="9"/>
  <c r="C216" i="9"/>
  <c r="B216" i="9"/>
  <c r="AO215" i="9"/>
  <c r="AN215" i="9"/>
  <c r="AM215" i="9"/>
  <c r="H215" i="9"/>
  <c r="F215" i="9"/>
  <c r="C215" i="9"/>
  <c r="B215" i="9"/>
  <c r="AO214" i="9"/>
  <c r="AN214" i="9"/>
  <c r="AM214" i="9"/>
  <c r="B214" i="9"/>
  <c r="AO213" i="9"/>
  <c r="AN213" i="9"/>
  <c r="AM213" i="9"/>
  <c r="M213" i="9"/>
  <c r="C213" i="9"/>
  <c r="B213" i="9"/>
  <c r="AO212" i="9"/>
  <c r="AN212" i="9"/>
  <c r="AM212" i="9"/>
  <c r="M212" i="9"/>
  <c r="J212" i="9"/>
  <c r="I212" i="9"/>
  <c r="B212" i="9"/>
  <c r="AO211" i="9"/>
  <c r="AN211" i="9"/>
  <c r="AM211" i="9"/>
  <c r="H211" i="9"/>
  <c r="C211" i="9"/>
  <c r="B211" i="9"/>
  <c r="AO210" i="9"/>
  <c r="AN210" i="9"/>
  <c r="AM210" i="9"/>
  <c r="M210" i="9"/>
  <c r="L210" i="9"/>
  <c r="B210" i="9"/>
  <c r="AO209" i="9"/>
  <c r="AN209" i="9"/>
  <c r="AM209" i="9"/>
  <c r="M209" i="9"/>
  <c r="H209" i="9"/>
  <c r="F209" i="9"/>
  <c r="C209" i="9"/>
  <c r="B209" i="9"/>
  <c r="AO208" i="9"/>
  <c r="AN208" i="9"/>
  <c r="AM208" i="9"/>
  <c r="M208" i="9"/>
  <c r="H208" i="9"/>
  <c r="E208" i="9"/>
  <c r="B208" i="9"/>
  <c r="AO207" i="9"/>
  <c r="AN207" i="9"/>
  <c r="AM207" i="9"/>
  <c r="M207" i="9"/>
  <c r="J207" i="9"/>
  <c r="AP207" i="9" s="1"/>
  <c r="I207" i="9"/>
  <c r="C207" i="9"/>
  <c r="B207" i="9"/>
  <c r="AO206" i="9"/>
  <c r="AN206" i="9"/>
  <c r="AM206" i="9"/>
  <c r="H206" i="9"/>
  <c r="E206" i="9"/>
  <c r="B206" i="9"/>
  <c r="AO205" i="9"/>
  <c r="AN205" i="9"/>
  <c r="AM205" i="9"/>
  <c r="M205" i="9"/>
  <c r="C205" i="9"/>
  <c r="B205" i="9"/>
  <c r="AO204" i="9"/>
  <c r="AN204" i="9"/>
  <c r="AM204" i="9"/>
  <c r="AA204" i="9"/>
  <c r="L204" i="9"/>
  <c r="B204" i="9"/>
  <c r="AO203" i="9"/>
  <c r="AN203" i="9"/>
  <c r="AM203" i="9"/>
  <c r="M203" i="9"/>
  <c r="I203" i="9"/>
  <c r="B203" i="9"/>
  <c r="AO202" i="9"/>
  <c r="AN202" i="9"/>
  <c r="AM202" i="9"/>
  <c r="M202" i="9"/>
  <c r="H202" i="9"/>
  <c r="C202" i="9"/>
  <c r="B202" i="9"/>
  <c r="AO201" i="9"/>
  <c r="AN201" i="9"/>
  <c r="AM201" i="9"/>
  <c r="AJ201" i="9"/>
  <c r="M201" i="9"/>
  <c r="D201" i="9"/>
  <c r="C201" i="9"/>
  <c r="AP201" i="9" s="1"/>
  <c r="B201" i="9"/>
  <c r="AO200" i="9"/>
  <c r="AN200" i="9"/>
  <c r="AM200" i="9"/>
  <c r="U200" i="9"/>
  <c r="H200" i="9"/>
  <c r="G200" i="9"/>
  <c r="B200" i="9"/>
  <c r="AO199" i="9"/>
  <c r="AN199" i="9"/>
  <c r="AM199" i="9"/>
  <c r="AB199" i="9"/>
  <c r="N199" i="9"/>
  <c r="G199" i="9"/>
  <c r="B199" i="9"/>
  <c r="AO198" i="9"/>
  <c r="AN198" i="9"/>
  <c r="AM198" i="9"/>
  <c r="R198" i="9"/>
  <c r="L198" i="9"/>
  <c r="K198" i="9"/>
  <c r="B198" i="9"/>
  <c r="AO197" i="9"/>
  <c r="AN197" i="9"/>
  <c r="AM197" i="9"/>
  <c r="M197" i="9"/>
  <c r="E197" i="9"/>
  <c r="C197" i="9"/>
  <c r="B197" i="9"/>
  <c r="AO196" i="9"/>
  <c r="AN196" i="9"/>
  <c r="AM196" i="9"/>
  <c r="M196" i="9"/>
  <c r="C196" i="9"/>
  <c r="B196" i="9"/>
  <c r="AO195" i="9"/>
  <c r="AN195" i="9"/>
  <c r="AM195" i="9"/>
  <c r="AB195" i="9"/>
  <c r="O195" i="9"/>
  <c r="M195" i="9"/>
  <c r="G195" i="9"/>
  <c r="AP195" i="9" s="1"/>
  <c r="B195" i="9"/>
  <c r="AO194" i="9"/>
  <c r="AM194" i="9"/>
  <c r="F194" i="9"/>
  <c r="C194" i="9"/>
  <c r="B194" i="9"/>
  <c r="AO193" i="9"/>
  <c r="AN193" i="9"/>
  <c r="AM193" i="9"/>
  <c r="O193" i="9"/>
  <c r="G193" i="9"/>
  <c r="B193" i="9"/>
  <c r="AO192" i="9"/>
  <c r="AN192" i="9"/>
  <c r="AM192" i="9"/>
  <c r="M192" i="9"/>
  <c r="AP192" i="9" s="1"/>
  <c r="G192" i="9"/>
  <c r="C192" i="9"/>
  <c r="B192" i="9"/>
  <c r="AO191" i="9"/>
  <c r="AN191" i="9"/>
  <c r="AM191" i="9"/>
  <c r="M191" i="9"/>
  <c r="E191" i="9"/>
  <c r="C191" i="9"/>
  <c r="B191" i="9"/>
  <c r="AO188" i="9"/>
  <c r="AN188" i="9"/>
  <c r="AM188" i="9"/>
  <c r="AG188" i="9"/>
  <c r="M188" i="9"/>
  <c r="B188" i="9"/>
  <c r="AO187" i="9"/>
  <c r="AN187" i="9"/>
  <c r="AM187" i="9"/>
  <c r="K187" i="9"/>
  <c r="C187" i="9"/>
  <c r="B187" i="9"/>
  <c r="AO186" i="9"/>
  <c r="AN186" i="9"/>
  <c r="AM186" i="9"/>
  <c r="M186" i="9"/>
  <c r="K186" i="9"/>
  <c r="G186" i="9"/>
  <c r="C186" i="9"/>
  <c r="B186" i="9"/>
  <c r="AO185" i="9"/>
  <c r="AN185" i="9"/>
  <c r="AM185" i="9"/>
  <c r="AJ185" i="9"/>
  <c r="H185" i="9"/>
  <c r="F185" i="9"/>
  <c r="C185" i="9"/>
  <c r="B185" i="9"/>
  <c r="AO184" i="9"/>
  <c r="AN184" i="9"/>
  <c r="AM184" i="9"/>
  <c r="B184" i="9"/>
  <c r="AO183" i="9"/>
  <c r="AN183" i="9"/>
  <c r="AM183" i="9"/>
  <c r="M183" i="9"/>
  <c r="C183" i="9"/>
  <c r="B183" i="9"/>
  <c r="AO182" i="9"/>
  <c r="AN182" i="9"/>
  <c r="AM182" i="9"/>
  <c r="M182" i="9"/>
  <c r="J182" i="9"/>
  <c r="I182" i="9"/>
  <c r="B182" i="9"/>
  <c r="AO181" i="9"/>
  <c r="AN181" i="9"/>
  <c r="AM181" i="9"/>
  <c r="H181" i="9"/>
  <c r="C181" i="9"/>
  <c r="B181" i="9"/>
  <c r="AO180" i="9"/>
  <c r="AN180" i="9"/>
  <c r="AM180" i="9"/>
  <c r="M180" i="9"/>
  <c r="L180" i="9"/>
  <c r="B180" i="9"/>
  <c r="AO179" i="9"/>
  <c r="AN179" i="9"/>
  <c r="AM179" i="9"/>
  <c r="M179" i="9"/>
  <c r="H179" i="9"/>
  <c r="F179" i="9"/>
  <c r="C179" i="9"/>
  <c r="B179" i="9"/>
  <c r="AO178" i="9"/>
  <c r="AN178" i="9"/>
  <c r="AM178" i="9"/>
  <c r="M178" i="9"/>
  <c r="H178" i="9"/>
  <c r="E178" i="9"/>
  <c r="B178" i="9"/>
  <c r="AO177" i="9"/>
  <c r="AN177" i="9"/>
  <c r="AM177" i="9"/>
  <c r="AJ177" i="9"/>
  <c r="M177" i="9"/>
  <c r="J177" i="9"/>
  <c r="I177" i="9"/>
  <c r="C177" i="9"/>
  <c r="B177" i="9"/>
  <c r="AO176" i="9"/>
  <c r="AN176" i="9"/>
  <c r="AM176" i="9"/>
  <c r="H176" i="9"/>
  <c r="E176" i="9"/>
  <c r="B176" i="9"/>
  <c r="AO175" i="9"/>
  <c r="AN175" i="9"/>
  <c r="AM175" i="9"/>
  <c r="M175" i="9"/>
  <c r="C175" i="9"/>
  <c r="B175" i="9"/>
  <c r="AO174" i="9"/>
  <c r="AN174" i="9"/>
  <c r="AM174" i="9"/>
  <c r="AA174" i="9"/>
  <c r="L174" i="9"/>
  <c r="B174" i="9"/>
  <c r="AO173" i="9"/>
  <c r="AN173" i="9"/>
  <c r="AM173" i="9"/>
  <c r="M173" i="9"/>
  <c r="I173" i="9"/>
  <c r="B173" i="9"/>
  <c r="AO172" i="9"/>
  <c r="AN172" i="9"/>
  <c r="AM172" i="9"/>
  <c r="M172" i="9"/>
  <c r="H172" i="9"/>
  <c r="C172" i="9"/>
  <c r="B172" i="9"/>
  <c r="AO171" i="9"/>
  <c r="AN171" i="9"/>
  <c r="AM171" i="9"/>
  <c r="M171" i="9"/>
  <c r="D171" i="9"/>
  <c r="C171" i="9"/>
  <c r="AP171" i="9" s="1"/>
  <c r="B171" i="9"/>
  <c r="AP170" i="9"/>
  <c r="AO170" i="9"/>
  <c r="AN170" i="9"/>
  <c r="AM170" i="9"/>
  <c r="U170" i="9"/>
  <c r="K170" i="9"/>
  <c r="H170" i="9"/>
  <c r="G170" i="9"/>
  <c r="B170" i="9"/>
  <c r="AO169" i="9"/>
  <c r="AN169" i="9"/>
  <c r="AM169" i="9"/>
  <c r="AB169" i="9"/>
  <c r="N169" i="9"/>
  <c r="G169" i="9"/>
  <c r="B169" i="9"/>
  <c r="AO168" i="9"/>
  <c r="AN168" i="9"/>
  <c r="AM168" i="9"/>
  <c r="R168" i="9"/>
  <c r="L168" i="9"/>
  <c r="K168" i="9"/>
  <c r="B168" i="9"/>
  <c r="AO167" i="9"/>
  <c r="AN167" i="9"/>
  <c r="AM167" i="9"/>
  <c r="M167" i="9"/>
  <c r="E167" i="9"/>
  <c r="C167" i="9"/>
  <c r="B167" i="9"/>
  <c r="AO166" i="9"/>
  <c r="AN166" i="9"/>
  <c r="AM166" i="9"/>
  <c r="M166" i="9"/>
  <c r="C166" i="9"/>
  <c r="B166" i="9"/>
  <c r="AP165" i="9"/>
  <c r="AO165" i="9"/>
  <c r="AN165" i="9"/>
  <c r="AM165" i="9"/>
  <c r="AJ165" i="9"/>
  <c r="O165" i="9"/>
  <c r="M165" i="9"/>
  <c r="G165" i="9"/>
  <c r="B165" i="9"/>
  <c r="AO164" i="9"/>
  <c r="AM164" i="9"/>
  <c r="F164" i="9"/>
  <c r="C164" i="9"/>
  <c r="B164" i="9"/>
  <c r="AO163" i="9"/>
  <c r="AN163" i="9"/>
  <c r="AM163" i="9"/>
  <c r="O163" i="9"/>
  <c r="G163" i="9"/>
  <c r="B163" i="9"/>
  <c r="AO162" i="9"/>
  <c r="AN162" i="9"/>
  <c r="AM162" i="9"/>
  <c r="M162" i="9"/>
  <c r="AP162" i="9" s="1"/>
  <c r="G162" i="9"/>
  <c r="C162" i="9"/>
  <c r="B162" i="9"/>
  <c r="AO161" i="9"/>
  <c r="AN161" i="9"/>
  <c r="AM161" i="9"/>
  <c r="AJ161" i="9"/>
  <c r="M161" i="9"/>
  <c r="E161" i="9"/>
  <c r="C161" i="9"/>
  <c r="B161" i="9"/>
  <c r="AN160" i="9"/>
  <c r="AO158" i="9"/>
  <c r="AN158" i="9"/>
  <c r="AM158" i="9"/>
  <c r="AJ158" i="9"/>
  <c r="M158" i="9"/>
  <c r="I158" i="9"/>
  <c r="H158" i="9"/>
  <c r="B158" i="9"/>
  <c r="AO157" i="9"/>
  <c r="AN157" i="9"/>
  <c r="AM157" i="9"/>
  <c r="AI157" i="9"/>
  <c r="M157" i="9"/>
  <c r="I157" i="9"/>
  <c r="E157" i="9"/>
  <c r="C157" i="9"/>
  <c r="B157" i="9"/>
  <c r="AO156" i="9"/>
  <c r="AN156" i="9"/>
  <c r="AM156" i="9"/>
  <c r="R156" i="9"/>
  <c r="L156" i="9"/>
  <c r="K156" i="9"/>
  <c r="B156" i="9"/>
  <c r="AO155" i="9"/>
  <c r="AN155" i="9"/>
  <c r="AM155" i="9"/>
  <c r="AG155" i="9"/>
  <c r="U155" i="9"/>
  <c r="K155" i="9"/>
  <c r="J155" i="9"/>
  <c r="G155" i="9"/>
  <c r="B155" i="9"/>
  <c r="AO154" i="9"/>
  <c r="AN154" i="9"/>
  <c r="AM154" i="9"/>
  <c r="M154" i="9"/>
  <c r="E154" i="9"/>
  <c r="C154" i="9"/>
  <c r="B154" i="9"/>
  <c r="AO153" i="9"/>
  <c r="AN153" i="9"/>
  <c r="AM153" i="9"/>
  <c r="R153" i="9"/>
  <c r="C153" i="9"/>
  <c r="B153" i="9"/>
  <c r="AO152" i="9"/>
  <c r="AN152" i="9"/>
  <c r="AM152" i="9"/>
  <c r="AJ152" i="9"/>
  <c r="M152" i="9"/>
  <c r="F152" i="9"/>
  <c r="C152" i="9"/>
  <c r="B152" i="9"/>
  <c r="AO151" i="9"/>
  <c r="AN151" i="9"/>
  <c r="AM151" i="9"/>
  <c r="M151" i="9"/>
  <c r="D151" i="9"/>
  <c r="C151" i="9"/>
  <c r="AP151" i="9" s="1"/>
  <c r="B151" i="9"/>
  <c r="AP150" i="9"/>
  <c r="AO150" i="9"/>
  <c r="AN150" i="9"/>
  <c r="AM150" i="9"/>
  <c r="I150" i="9"/>
  <c r="B150" i="9"/>
  <c r="AO149" i="9"/>
  <c r="AN149" i="9"/>
  <c r="AM149" i="9"/>
  <c r="Z149" i="9"/>
  <c r="H149" i="9"/>
  <c r="B149" i="9"/>
  <c r="AP149" i="9" s="1"/>
  <c r="AO148" i="9"/>
  <c r="AN148" i="9"/>
  <c r="AM148" i="9"/>
  <c r="M148" i="9"/>
  <c r="F148" i="9"/>
  <c r="C148" i="9"/>
  <c r="B148" i="9"/>
  <c r="AO147" i="9"/>
  <c r="AN147" i="9"/>
  <c r="AM147" i="9"/>
  <c r="J147" i="9"/>
  <c r="H147" i="9"/>
  <c r="AP147" i="9" s="1"/>
  <c r="B147" i="9"/>
  <c r="AP146" i="9"/>
  <c r="AO146" i="9"/>
  <c r="AN146" i="9"/>
  <c r="AM146" i="9"/>
  <c r="N146" i="9"/>
  <c r="G146" i="9"/>
  <c r="B146" i="9"/>
  <c r="AO145" i="9"/>
  <c r="AN145" i="9"/>
  <c r="AM145" i="9"/>
  <c r="O145" i="9"/>
  <c r="M145" i="9"/>
  <c r="G145" i="9"/>
  <c r="B145" i="9"/>
  <c r="AO144" i="9"/>
  <c r="AN144" i="9"/>
  <c r="AM144" i="9"/>
  <c r="M144" i="9"/>
  <c r="J144" i="9"/>
  <c r="C144" i="9"/>
  <c r="B144" i="9"/>
  <c r="AO143" i="9"/>
  <c r="AN143" i="9"/>
  <c r="AM143" i="9"/>
  <c r="G143" i="9"/>
  <c r="C143" i="9"/>
  <c r="B143" i="9"/>
  <c r="AO142" i="9"/>
  <c r="AN142" i="9"/>
  <c r="AM142" i="9"/>
  <c r="G142" i="9"/>
  <c r="B142" i="9"/>
  <c r="AP142" i="9" s="1"/>
  <c r="AO141" i="9"/>
  <c r="AN141" i="9"/>
  <c r="AM141" i="9"/>
  <c r="I141" i="9"/>
  <c r="C141" i="9"/>
  <c r="AP141" i="9" s="1"/>
  <c r="B141" i="9"/>
  <c r="AP140" i="9"/>
  <c r="AO140" i="9"/>
  <c r="AN140" i="9"/>
  <c r="AM140" i="9"/>
  <c r="O140" i="9"/>
  <c r="L140" i="9"/>
  <c r="G140" i="9"/>
  <c r="B140" i="9"/>
  <c r="AO139" i="9"/>
  <c r="AN139" i="9"/>
  <c r="AM139" i="9"/>
  <c r="E139" i="9"/>
  <c r="AP139" i="9" s="1"/>
  <c r="B139" i="9"/>
  <c r="AO138" i="9"/>
  <c r="AN138" i="9"/>
  <c r="AM138" i="9"/>
  <c r="H138" i="9"/>
  <c r="D138" i="9"/>
  <c r="C138" i="9"/>
  <c r="AP138" i="9" s="1"/>
  <c r="B138" i="9"/>
  <c r="AO137" i="9"/>
  <c r="AN137" i="9"/>
  <c r="AM137" i="9"/>
  <c r="I137" i="9"/>
  <c r="C137" i="9"/>
  <c r="B137" i="9"/>
  <c r="AO136" i="9"/>
  <c r="AN136" i="9"/>
  <c r="AM136" i="9"/>
  <c r="L136" i="9"/>
  <c r="K136" i="9"/>
  <c r="G136" i="9"/>
  <c r="AP136" i="9" s="1"/>
  <c r="B136" i="9"/>
  <c r="AO135" i="9"/>
  <c r="AN135" i="9"/>
  <c r="AM135" i="9"/>
  <c r="C135" i="9"/>
  <c r="B135" i="9"/>
  <c r="AO134" i="9"/>
  <c r="AN134" i="9"/>
  <c r="AM134" i="9"/>
  <c r="G134" i="9"/>
  <c r="D134" i="9"/>
  <c r="C134" i="9"/>
  <c r="AP134" i="9" s="1"/>
  <c r="B134" i="9"/>
  <c r="AP133" i="9"/>
  <c r="AO133" i="9"/>
  <c r="AN133" i="9"/>
  <c r="AM133" i="9"/>
  <c r="L133" i="9"/>
  <c r="K133" i="9"/>
  <c r="G133" i="9"/>
  <c r="B133" i="9"/>
  <c r="AO132" i="9"/>
  <c r="AN132" i="9"/>
  <c r="AM132" i="9"/>
  <c r="S132" i="9"/>
  <c r="R132" i="9"/>
  <c r="H132" i="9"/>
  <c r="F132" i="9"/>
  <c r="AP132" i="9" s="1"/>
  <c r="B132" i="9"/>
  <c r="AO131" i="9"/>
  <c r="AN131" i="9"/>
  <c r="AM131" i="9"/>
  <c r="AJ131" i="9"/>
  <c r="M131" i="9"/>
  <c r="J131" i="9"/>
  <c r="C131" i="9"/>
  <c r="AP131" i="9" s="1"/>
  <c r="B131" i="9"/>
  <c r="AO130" i="9"/>
  <c r="AN130" i="9"/>
  <c r="AM130" i="9"/>
  <c r="AJ130" i="9"/>
  <c r="H130" i="9"/>
  <c r="F130" i="9"/>
  <c r="C130" i="9"/>
  <c r="B130" i="9"/>
  <c r="AO129" i="9"/>
  <c r="AN129" i="9"/>
  <c r="AM129" i="9"/>
  <c r="AJ129" i="9"/>
  <c r="J129" i="9"/>
  <c r="AP129" i="9" s="1"/>
  <c r="C129" i="9"/>
  <c r="B129" i="9"/>
  <c r="AO128" i="9"/>
  <c r="AN128" i="9"/>
  <c r="AM128" i="9"/>
  <c r="G128" i="9"/>
  <c r="F128" i="9"/>
  <c r="AP128" i="9" s="1"/>
  <c r="C128" i="9"/>
  <c r="B128" i="9"/>
  <c r="AO127" i="9"/>
  <c r="AN127" i="9"/>
  <c r="AM127" i="9"/>
  <c r="M127" i="9"/>
  <c r="G127" i="9"/>
  <c r="C127" i="9"/>
  <c r="B127" i="9"/>
  <c r="AO126" i="9"/>
  <c r="AN126" i="9"/>
  <c r="AM126" i="9"/>
  <c r="AI126" i="9"/>
  <c r="Q126" i="9"/>
  <c r="P126" i="9"/>
  <c r="AP126" i="9" s="1"/>
  <c r="B126" i="9"/>
  <c r="AP125" i="9"/>
  <c r="AO125" i="9"/>
  <c r="AN125" i="9"/>
  <c r="AM125" i="9"/>
  <c r="AJ125" i="9"/>
  <c r="J125" i="9"/>
  <c r="G125" i="9"/>
  <c r="C125" i="9"/>
  <c r="B125" i="9"/>
  <c r="AP124" i="9"/>
  <c r="AO124" i="9"/>
  <c r="AN124" i="9"/>
  <c r="AM124" i="9"/>
  <c r="B124" i="9"/>
  <c r="AP123" i="9"/>
  <c r="AO123" i="9"/>
  <c r="AN123" i="9"/>
  <c r="AM123" i="9"/>
  <c r="H123" i="9"/>
  <c r="F123" i="9"/>
  <c r="C123" i="9"/>
  <c r="B123" i="9"/>
  <c r="AO122" i="9"/>
  <c r="AN122" i="9"/>
  <c r="AM122" i="9"/>
  <c r="H122" i="9"/>
  <c r="C122" i="9"/>
  <c r="B122" i="9"/>
  <c r="AP121" i="9"/>
  <c r="AO121" i="9"/>
  <c r="AN121" i="9"/>
  <c r="AM121" i="9"/>
  <c r="Y121" i="9"/>
  <c r="M121" i="9"/>
  <c r="G121" i="9"/>
  <c r="B121" i="9"/>
  <c r="AO120" i="9"/>
  <c r="AN120" i="9"/>
  <c r="AM120" i="9"/>
  <c r="AJ120" i="9"/>
  <c r="O120" i="9"/>
  <c r="G120" i="9"/>
  <c r="B120" i="9"/>
  <c r="AP120" i="9" s="1"/>
  <c r="AO119" i="9"/>
  <c r="AN119" i="9"/>
  <c r="AM119" i="9"/>
  <c r="O119" i="9"/>
  <c r="G119" i="9"/>
  <c r="AP119" i="9" s="1"/>
  <c r="B119" i="9"/>
  <c r="AO118" i="9"/>
  <c r="AN118" i="9"/>
  <c r="AM118" i="9"/>
  <c r="M118" i="9"/>
  <c r="H118" i="9"/>
  <c r="E118" i="9"/>
  <c r="C118" i="9"/>
  <c r="AP118" i="9" s="1"/>
  <c r="B118" i="9"/>
  <c r="AO117" i="9"/>
  <c r="AN117" i="9"/>
  <c r="AM117" i="9"/>
  <c r="AI117" i="9"/>
  <c r="I117" i="9"/>
  <c r="AP117" i="9" s="1"/>
  <c r="H117" i="9"/>
  <c r="B117" i="9"/>
  <c r="AO116" i="9"/>
  <c r="AN116" i="9"/>
  <c r="AM116" i="9"/>
  <c r="AI116" i="9"/>
  <c r="E116" i="9"/>
  <c r="B116" i="9"/>
  <c r="AP116" i="9" s="1"/>
  <c r="AO115" i="9"/>
  <c r="AN115" i="9"/>
  <c r="AM115" i="9"/>
  <c r="H115" i="9"/>
  <c r="C115" i="9"/>
  <c r="AP115" i="9" s="1"/>
  <c r="B115" i="9"/>
  <c r="AO114" i="9"/>
  <c r="AN114" i="9"/>
  <c r="AM114" i="9"/>
  <c r="AJ114" i="9"/>
  <c r="G114" i="9"/>
  <c r="D114" i="9"/>
  <c r="C114" i="9"/>
  <c r="AP114" i="9" s="1"/>
  <c r="B114" i="9"/>
  <c r="AO113" i="9"/>
  <c r="AN113" i="9"/>
  <c r="AM113" i="9"/>
  <c r="AJ113" i="9"/>
  <c r="U113" i="9"/>
  <c r="R113" i="9"/>
  <c r="L113" i="9"/>
  <c r="K113" i="9"/>
  <c r="B113" i="9"/>
  <c r="AO112" i="9"/>
  <c r="AN112" i="9"/>
  <c r="AM112" i="9"/>
  <c r="C112" i="9"/>
  <c r="AP112" i="9" s="1"/>
  <c r="B112" i="9"/>
  <c r="AO111" i="9"/>
  <c r="AN111" i="9"/>
  <c r="AM111" i="9"/>
  <c r="H111" i="9"/>
  <c r="D111" i="9"/>
  <c r="C111" i="9"/>
  <c r="B111" i="9"/>
  <c r="AO110" i="9"/>
  <c r="AN110" i="9"/>
  <c r="AM110" i="9"/>
  <c r="AI110" i="9"/>
  <c r="D110" i="9"/>
  <c r="B110" i="9"/>
  <c r="AP110" i="9" s="1"/>
  <c r="AO109" i="9"/>
  <c r="AN109" i="9"/>
  <c r="AM109" i="9"/>
  <c r="AI109" i="9"/>
  <c r="S109" i="9"/>
  <c r="M109" i="9"/>
  <c r="F109" i="9"/>
  <c r="C109" i="9"/>
  <c r="B109" i="9"/>
  <c r="AO108" i="9"/>
  <c r="AN108" i="9"/>
  <c r="AM108" i="9"/>
  <c r="U108" i="9"/>
  <c r="K108" i="9"/>
  <c r="B108" i="9"/>
  <c r="AP108" i="9" s="1"/>
  <c r="AO107" i="9"/>
  <c r="AN107" i="9"/>
  <c r="AM107" i="9"/>
  <c r="N107" i="9"/>
  <c r="M107" i="9"/>
  <c r="B107" i="9"/>
  <c r="AO106" i="9"/>
  <c r="AN106" i="9"/>
  <c r="AM106" i="9"/>
  <c r="V106" i="9"/>
  <c r="R106" i="9"/>
  <c r="L106" i="9"/>
  <c r="K106" i="9"/>
  <c r="G106" i="9"/>
  <c r="AP106" i="9" s="1"/>
  <c r="B106" i="9"/>
  <c r="AO105" i="9"/>
  <c r="AN105" i="9"/>
  <c r="AM105" i="9"/>
  <c r="AJ105" i="9"/>
  <c r="I105" i="9"/>
  <c r="AP105" i="9" s="1"/>
  <c r="C105" i="9"/>
  <c r="B105" i="9"/>
  <c r="AO104" i="9"/>
  <c r="AN104" i="9"/>
  <c r="AM104" i="9"/>
  <c r="U104" i="9"/>
  <c r="B104" i="9"/>
  <c r="AO103" i="9"/>
  <c r="AN103" i="9"/>
  <c r="AM103" i="9"/>
  <c r="H103" i="9"/>
  <c r="B103" i="9"/>
  <c r="AO102" i="9"/>
  <c r="AN102" i="9"/>
  <c r="AM102" i="9"/>
  <c r="J102" i="9"/>
  <c r="B102" i="9"/>
  <c r="AO101" i="9"/>
  <c r="AN101" i="9"/>
  <c r="AM101" i="9"/>
  <c r="AJ101" i="9"/>
  <c r="O101" i="9"/>
  <c r="AP101" i="9" s="1"/>
  <c r="M101" i="9"/>
  <c r="G101" i="9"/>
  <c r="B101" i="9"/>
  <c r="AO100" i="9"/>
  <c r="AN100" i="9"/>
  <c r="AM100" i="9"/>
  <c r="AI100" i="9"/>
  <c r="Q100" i="9"/>
  <c r="I100" i="9"/>
  <c r="AP100" i="9" s="1"/>
  <c r="B100" i="9"/>
  <c r="AO99" i="9"/>
  <c r="AN99" i="9"/>
  <c r="AM99" i="9"/>
  <c r="G99" i="9"/>
  <c r="AP99" i="9" s="1"/>
  <c r="B99" i="9"/>
  <c r="AO98" i="9"/>
  <c r="AN98" i="9"/>
  <c r="AM98" i="9"/>
  <c r="L98" i="9"/>
  <c r="G98" i="9"/>
  <c r="B98" i="9"/>
  <c r="AO97" i="9"/>
  <c r="AN97" i="9"/>
  <c r="AM97" i="9"/>
  <c r="G97" i="9"/>
  <c r="C97" i="9"/>
  <c r="AP97" i="9" s="1"/>
  <c r="B97" i="9"/>
  <c r="AO96" i="9"/>
  <c r="AN96" i="9"/>
  <c r="AM96" i="9"/>
  <c r="G96" i="9"/>
  <c r="D96" i="9"/>
  <c r="AP96" i="9" s="1"/>
  <c r="C96" i="9"/>
  <c r="B96" i="9"/>
  <c r="AP95" i="9"/>
  <c r="AO95" i="9"/>
  <c r="AN95" i="9"/>
  <c r="AM95" i="9"/>
  <c r="H95" i="9"/>
  <c r="B95" i="9"/>
  <c r="AP94" i="9"/>
  <c r="AO94" i="9"/>
  <c r="AN94" i="9"/>
  <c r="AM94" i="9"/>
  <c r="J94" i="9"/>
  <c r="B94" i="9"/>
  <c r="AO93" i="9"/>
  <c r="AN93" i="9"/>
  <c r="AM93" i="9"/>
  <c r="AJ93" i="9"/>
  <c r="K93" i="9"/>
  <c r="G93" i="9"/>
  <c r="B93" i="9"/>
  <c r="AP93" i="9" s="1"/>
  <c r="AO92" i="9"/>
  <c r="AN92" i="9"/>
  <c r="AM92" i="9"/>
  <c r="J92" i="9"/>
  <c r="B92" i="9"/>
  <c r="AP92" i="9" s="1"/>
  <c r="AO91" i="9"/>
  <c r="AN91" i="9"/>
  <c r="AM91" i="9"/>
  <c r="AJ91" i="9"/>
  <c r="H91" i="9"/>
  <c r="B91" i="9"/>
  <c r="AP91" i="9" s="1"/>
  <c r="AO90" i="9"/>
  <c r="AN90" i="9"/>
  <c r="AM90" i="9"/>
  <c r="AI90" i="9"/>
  <c r="M90" i="9"/>
  <c r="K90" i="9"/>
  <c r="H90" i="9"/>
  <c r="B90" i="9"/>
  <c r="AO89" i="9"/>
  <c r="AN89" i="9"/>
  <c r="AM89" i="9"/>
  <c r="M89" i="9"/>
  <c r="G89" i="9"/>
  <c r="E89" i="9"/>
  <c r="B89" i="9"/>
  <c r="AO88" i="9"/>
  <c r="AN88" i="9"/>
  <c r="AM88" i="9"/>
  <c r="Y88" i="9"/>
  <c r="L88" i="9"/>
  <c r="G88" i="9"/>
  <c r="AP88" i="9" s="1"/>
  <c r="B88" i="9"/>
  <c r="AO87" i="9"/>
  <c r="AN87" i="9"/>
  <c r="AM87" i="9"/>
  <c r="P87" i="9"/>
  <c r="H87" i="9"/>
  <c r="C87" i="9"/>
  <c r="B87" i="9"/>
  <c r="AO86" i="9"/>
  <c r="AN86" i="9"/>
  <c r="AM86" i="9"/>
  <c r="Q86" i="9"/>
  <c r="B86" i="9"/>
  <c r="AO85" i="9"/>
  <c r="AN85" i="9"/>
  <c r="AM85" i="9"/>
  <c r="S85" i="9"/>
  <c r="M85" i="9"/>
  <c r="F85" i="9"/>
  <c r="C85" i="9"/>
  <c r="B85" i="9"/>
  <c r="AO84" i="9"/>
  <c r="AN84" i="9"/>
  <c r="AM84" i="9"/>
  <c r="AF84" i="9"/>
  <c r="Q84" i="9"/>
  <c r="J84" i="9"/>
  <c r="B84" i="9"/>
  <c r="AO83" i="9"/>
  <c r="AN83" i="9"/>
  <c r="AM83" i="9"/>
  <c r="L83" i="9"/>
  <c r="J83" i="9"/>
  <c r="G83" i="9"/>
  <c r="B83" i="9"/>
  <c r="AO82" i="9"/>
  <c r="AN82" i="9"/>
  <c r="AM82" i="9"/>
  <c r="H82" i="9"/>
  <c r="C82" i="9"/>
  <c r="AP82" i="9" s="1"/>
  <c r="B82" i="9"/>
  <c r="AO81" i="9"/>
  <c r="AN81" i="9"/>
  <c r="AM81" i="9"/>
  <c r="J81" i="9"/>
  <c r="G81" i="9"/>
  <c r="B81" i="9"/>
  <c r="AO80" i="9"/>
  <c r="AN80" i="9"/>
  <c r="AM80" i="9"/>
  <c r="AJ80" i="9"/>
  <c r="M80" i="9"/>
  <c r="G80" i="9"/>
  <c r="E80" i="9"/>
  <c r="AP80" i="9" s="1"/>
  <c r="B80" i="9"/>
  <c r="AO79" i="9"/>
  <c r="AN79" i="9"/>
  <c r="AM79" i="9"/>
  <c r="AI79" i="9"/>
  <c r="M79" i="9"/>
  <c r="H79" i="9"/>
  <c r="E79" i="9"/>
  <c r="AP79" i="9" s="1"/>
  <c r="B79" i="9"/>
  <c r="AO78" i="9"/>
  <c r="AN78" i="9"/>
  <c r="AM78" i="9"/>
  <c r="AJ78" i="9"/>
  <c r="Y78" i="9"/>
  <c r="L78" i="9"/>
  <c r="G78" i="9"/>
  <c r="B78" i="9"/>
  <c r="AP77" i="9"/>
  <c r="AO77" i="9"/>
  <c r="AN77" i="9"/>
  <c r="AM77" i="9"/>
  <c r="G77" i="9"/>
  <c r="B77" i="9"/>
  <c r="AP76" i="9"/>
  <c r="AO76" i="9"/>
  <c r="AM76" i="9"/>
  <c r="M76" i="9"/>
  <c r="I76" i="9"/>
  <c r="C76" i="9"/>
  <c r="B76" i="9"/>
  <c r="AO75" i="9"/>
  <c r="AN75" i="9"/>
  <c r="AM75" i="9"/>
  <c r="R75" i="9"/>
  <c r="M75" i="9"/>
  <c r="H75" i="9"/>
  <c r="B75" i="9"/>
  <c r="AO74" i="9"/>
  <c r="AN74" i="9"/>
  <c r="AM74" i="9"/>
  <c r="AB74" i="9"/>
  <c r="N74" i="9"/>
  <c r="H74" i="9"/>
  <c r="C74" i="9"/>
  <c r="B74" i="9"/>
  <c r="AP73" i="9"/>
  <c r="AO73" i="9"/>
  <c r="AN73" i="9"/>
  <c r="AM73" i="9"/>
  <c r="Y73" i="9"/>
  <c r="G73" i="9"/>
  <c r="B73" i="9"/>
  <c r="AO72" i="9"/>
  <c r="AN72" i="9"/>
  <c r="AM72" i="9"/>
  <c r="L72" i="9"/>
  <c r="AP72" i="9" s="1"/>
  <c r="K72" i="9"/>
  <c r="G72" i="9"/>
  <c r="B72" i="9"/>
  <c r="AO71" i="9"/>
  <c r="AN71" i="9"/>
  <c r="AM71" i="9"/>
  <c r="AJ71" i="9"/>
  <c r="M71" i="9"/>
  <c r="I71" i="9"/>
  <c r="D71" i="9"/>
  <c r="AP71" i="9" s="1"/>
  <c r="C71" i="9"/>
  <c r="B71" i="9"/>
  <c r="AO70" i="9"/>
  <c r="AN70" i="9"/>
  <c r="AM70" i="9"/>
  <c r="V70" i="9"/>
  <c r="G70" i="9"/>
  <c r="AP70" i="9" s="1"/>
  <c r="B70" i="9"/>
  <c r="AO69" i="9"/>
  <c r="AN69" i="9"/>
  <c r="AM69" i="9"/>
  <c r="M69" i="9"/>
  <c r="AP69" i="9" s="1"/>
  <c r="C69" i="9"/>
  <c r="B69" i="9"/>
  <c r="AO68" i="9"/>
  <c r="AN68" i="9"/>
  <c r="AM68" i="9"/>
  <c r="G68" i="9"/>
  <c r="AP68" i="9" s="1"/>
  <c r="B68" i="9"/>
  <c r="AO67" i="9"/>
  <c r="AN67" i="9"/>
  <c r="AM67" i="9"/>
  <c r="AJ67" i="9"/>
  <c r="Q67" i="9"/>
  <c r="M67" i="9"/>
  <c r="AP67" i="9" s="1"/>
  <c r="B67" i="9"/>
  <c r="AO66" i="9"/>
  <c r="AN66" i="9"/>
  <c r="AM66" i="9"/>
  <c r="M66" i="9"/>
  <c r="H66" i="9"/>
  <c r="F66" i="9"/>
  <c r="B66" i="9"/>
  <c r="AO65" i="9"/>
  <c r="AN65" i="9"/>
  <c r="AM65" i="9"/>
  <c r="N65" i="9"/>
  <c r="L65" i="9"/>
  <c r="G65" i="9"/>
  <c r="B65" i="9"/>
  <c r="AO64" i="9"/>
  <c r="AN64" i="9"/>
  <c r="AM64" i="9"/>
  <c r="R64" i="9"/>
  <c r="G64" i="9"/>
  <c r="D64" i="9"/>
  <c r="C64" i="9"/>
  <c r="B64" i="9"/>
  <c r="AO63" i="9"/>
  <c r="AN63" i="9"/>
  <c r="AM63" i="9"/>
  <c r="M63" i="9"/>
  <c r="H63" i="9"/>
  <c r="C63" i="9"/>
  <c r="B63" i="9"/>
  <c r="AO62" i="9"/>
  <c r="AN62" i="9"/>
  <c r="AM62" i="9"/>
  <c r="H62" i="9"/>
  <c r="C62" i="9"/>
  <c r="B62" i="9"/>
  <c r="AP61" i="9"/>
  <c r="AO61" i="9"/>
  <c r="AN61" i="9"/>
  <c r="AM61" i="9"/>
  <c r="J61" i="9"/>
  <c r="G61" i="9"/>
  <c r="B61" i="9"/>
  <c r="AP60" i="9"/>
  <c r="AO60" i="9"/>
  <c r="AN60" i="9"/>
  <c r="AM60" i="9"/>
  <c r="K60" i="9"/>
  <c r="G60" i="9"/>
  <c r="B60" i="9"/>
  <c r="AO59" i="9"/>
  <c r="AN59" i="9"/>
  <c r="AM59" i="9"/>
  <c r="AI59" i="9"/>
  <c r="G59" i="9"/>
  <c r="F59" i="9"/>
  <c r="C59" i="9"/>
  <c r="B59" i="9"/>
  <c r="AO58" i="9"/>
  <c r="AN58" i="9"/>
  <c r="AM58" i="9"/>
  <c r="I58" i="9"/>
  <c r="G58" i="9"/>
  <c r="B58" i="9"/>
  <c r="AP58" i="9" s="1"/>
  <c r="AO57" i="9"/>
  <c r="AN57" i="9"/>
  <c r="AM57" i="9"/>
  <c r="M57" i="9"/>
  <c r="I57" i="9"/>
  <c r="AP57" i="9" s="1"/>
  <c r="E57" i="9"/>
  <c r="B57" i="9"/>
  <c r="AO56" i="9"/>
  <c r="AN56" i="9"/>
  <c r="AM56" i="9"/>
  <c r="AI56" i="9"/>
  <c r="C56" i="9"/>
  <c r="AP56" i="9" s="1"/>
  <c r="B56" i="9"/>
  <c r="AO55" i="9"/>
  <c r="AN55" i="9"/>
  <c r="AM55" i="9"/>
  <c r="M55" i="9"/>
  <c r="J55" i="9"/>
  <c r="I55" i="9"/>
  <c r="AP55" i="9" s="1"/>
  <c r="B55" i="9"/>
  <c r="AO54" i="9"/>
  <c r="AN54" i="9"/>
  <c r="AM54" i="9"/>
  <c r="AI54" i="9"/>
  <c r="M54" i="9"/>
  <c r="I54" i="9"/>
  <c r="E54" i="9"/>
  <c r="AP54" i="9" s="1"/>
  <c r="B54" i="9"/>
  <c r="AO53" i="9"/>
  <c r="AN53" i="9"/>
  <c r="AM53" i="9"/>
  <c r="AJ53" i="9"/>
  <c r="H53" i="9"/>
  <c r="F53" i="9"/>
  <c r="C53" i="9"/>
  <c r="B53" i="9"/>
  <c r="AO52" i="9"/>
  <c r="AN52" i="9"/>
  <c r="AM52" i="9"/>
  <c r="C52" i="9"/>
  <c r="B52" i="9"/>
  <c r="AP51" i="9"/>
  <c r="AO51" i="9"/>
  <c r="AN51" i="9"/>
  <c r="AM51" i="9"/>
  <c r="AI51" i="9"/>
  <c r="S51" i="9"/>
  <c r="F51" i="9"/>
  <c r="B51" i="9"/>
  <c r="AO50" i="9"/>
  <c r="AN50" i="9"/>
  <c r="AM50" i="9"/>
  <c r="AJ50" i="9"/>
  <c r="M50" i="9"/>
  <c r="E50" i="9"/>
  <c r="C50" i="9"/>
  <c r="B50" i="9"/>
  <c r="AP50" i="9" s="1"/>
  <c r="AP49" i="9"/>
  <c r="AO49" i="9"/>
  <c r="AN49" i="9"/>
  <c r="AM49" i="9"/>
  <c r="M49" i="9"/>
  <c r="H49" i="9"/>
  <c r="B49" i="9"/>
  <c r="AO48" i="9"/>
  <c r="AN48" i="9"/>
  <c r="AM48" i="9"/>
  <c r="F48" i="9"/>
  <c r="B48" i="9"/>
  <c r="AP48" i="9" s="1"/>
  <c r="AO47" i="9"/>
  <c r="AN47" i="9"/>
  <c r="AM47" i="9"/>
  <c r="G47" i="9"/>
  <c r="AP47" i="9" s="1"/>
  <c r="B47" i="9"/>
  <c r="AO46" i="9"/>
  <c r="AN46" i="9"/>
  <c r="AM46" i="9"/>
  <c r="M46" i="9"/>
  <c r="AP46" i="9" s="1"/>
  <c r="L46" i="9"/>
  <c r="G46" i="9"/>
  <c r="B46" i="9"/>
  <c r="AO45" i="9"/>
  <c r="AN45" i="9"/>
  <c r="AM45" i="9"/>
  <c r="O45" i="9"/>
  <c r="G45" i="9"/>
  <c r="C45" i="9"/>
  <c r="B45" i="9"/>
  <c r="AO44" i="9"/>
  <c r="AN44" i="9"/>
  <c r="AM44" i="9"/>
  <c r="C44" i="9"/>
  <c r="AP44" i="9" s="1"/>
  <c r="B44" i="9"/>
  <c r="AO43" i="9"/>
  <c r="AN43" i="9"/>
  <c r="AM43" i="9"/>
  <c r="H43" i="9"/>
  <c r="C43" i="9"/>
  <c r="AP43" i="9" s="1"/>
  <c r="B43" i="9"/>
  <c r="AO42" i="9"/>
  <c r="AN42" i="9"/>
  <c r="AM42" i="9"/>
  <c r="AB42" i="9"/>
  <c r="N42" i="9"/>
  <c r="G42" i="9"/>
  <c r="AP42" i="9" s="1"/>
  <c r="C42" i="9"/>
  <c r="B42" i="9"/>
  <c r="AO41" i="9"/>
  <c r="AN41" i="9"/>
  <c r="AM41" i="9"/>
  <c r="AJ41" i="9"/>
  <c r="H41" i="9"/>
  <c r="C41" i="9"/>
  <c r="B41" i="9"/>
  <c r="AO40" i="9"/>
  <c r="AN40" i="9"/>
  <c r="AM40" i="9"/>
  <c r="M40" i="9"/>
  <c r="I40" i="9"/>
  <c r="G40" i="9"/>
  <c r="AP40" i="9" s="1"/>
  <c r="B40" i="9"/>
  <c r="AO39" i="9"/>
  <c r="AN39" i="9"/>
  <c r="AM39" i="9"/>
  <c r="R39" i="9"/>
  <c r="I39" i="9"/>
  <c r="C39" i="9"/>
  <c r="AP39" i="9" s="1"/>
  <c r="B39" i="9"/>
  <c r="AO38" i="9"/>
  <c r="AN38" i="9"/>
  <c r="AM38" i="9"/>
  <c r="AJ38" i="9"/>
  <c r="AI38" i="9"/>
  <c r="H38" i="9"/>
  <c r="C38" i="9"/>
  <c r="B38" i="9"/>
  <c r="AP38" i="9" s="1"/>
  <c r="AO37" i="9"/>
  <c r="AN37" i="9"/>
  <c r="AM37" i="9"/>
  <c r="AJ37" i="9"/>
  <c r="AI37" i="9"/>
  <c r="K37" i="9"/>
  <c r="AP37" i="9" s="1"/>
  <c r="B37" i="9"/>
  <c r="AO36" i="9"/>
  <c r="AN36" i="9"/>
  <c r="AM36" i="9"/>
  <c r="AJ36" i="9"/>
  <c r="AI36" i="9"/>
  <c r="G36" i="9"/>
  <c r="AP36" i="9" s="1"/>
  <c r="B36" i="9"/>
  <c r="AO35" i="9"/>
  <c r="AN35" i="9"/>
  <c r="AM35" i="9"/>
  <c r="D35" i="9"/>
  <c r="C35" i="9"/>
  <c r="B35" i="9"/>
  <c r="AO34" i="9"/>
  <c r="AN34" i="9"/>
  <c r="AM34" i="9"/>
  <c r="AI34" i="9"/>
  <c r="M34" i="9"/>
  <c r="H34" i="9"/>
  <c r="B34" i="9"/>
  <c r="AO33" i="9"/>
  <c r="AN33" i="9"/>
  <c r="AM33" i="9"/>
  <c r="AJ33" i="9"/>
  <c r="I33" i="9"/>
  <c r="B33" i="9"/>
  <c r="AO32" i="9"/>
  <c r="AN32" i="9"/>
  <c r="AM32" i="9"/>
  <c r="L32" i="9"/>
  <c r="AP32" i="9" s="1"/>
  <c r="B32" i="9"/>
  <c r="AO31" i="9"/>
  <c r="AN31" i="9"/>
  <c r="AM31" i="9"/>
  <c r="S31" i="9"/>
  <c r="AP31" i="9" s="1"/>
  <c r="M31" i="9"/>
  <c r="H31" i="9"/>
  <c r="F31" i="9"/>
  <c r="B31" i="9"/>
  <c r="AO30" i="9"/>
  <c r="AN30" i="9"/>
  <c r="AM30" i="9"/>
  <c r="AJ30" i="9"/>
  <c r="AI30" i="9"/>
  <c r="M30" i="9"/>
  <c r="G30" i="9"/>
  <c r="C30" i="9"/>
  <c r="B30" i="9"/>
  <c r="AO29" i="9"/>
  <c r="AM29" i="9"/>
  <c r="AJ29" i="9"/>
  <c r="AI29" i="9"/>
  <c r="F29" i="9"/>
  <c r="C29" i="9"/>
  <c r="B29" i="9"/>
  <c r="AO28" i="9"/>
  <c r="AN28" i="9"/>
  <c r="AM28" i="9"/>
  <c r="I28" i="9"/>
  <c r="AP28" i="9" s="1"/>
  <c r="B28" i="9"/>
  <c r="AO27" i="9"/>
  <c r="AN27" i="9"/>
  <c r="AM27" i="9"/>
  <c r="M27" i="9"/>
  <c r="G27" i="9"/>
  <c r="AP27" i="9" s="1"/>
  <c r="B27" i="9"/>
  <c r="AO26" i="9"/>
  <c r="AN26" i="9"/>
  <c r="AM26" i="9"/>
  <c r="E26" i="9"/>
  <c r="C26" i="9"/>
  <c r="AP26" i="9" s="1"/>
  <c r="B26" i="9"/>
  <c r="AO25" i="9"/>
  <c r="AN25" i="9"/>
  <c r="AM25" i="9"/>
  <c r="AI25" i="9"/>
  <c r="H25" i="9"/>
  <c r="D25" i="9"/>
  <c r="C25" i="9"/>
  <c r="AP25" i="9" s="1"/>
  <c r="B25" i="9"/>
  <c r="AO24" i="9"/>
  <c r="AN24" i="9"/>
  <c r="AM24" i="9"/>
  <c r="AJ24" i="9"/>
  <c r="AI24" i="9"/>
  <c r="I24" i="9"/>
  <c r="AP24" i="9" s="1"/>
  <c r="B24" i="9"/>
  <c r="AO23" i="9"/>
  <c r="AN23" i="9"/>
  <c r="AM23" i="9"/>
  <c r="AI23" i="9"/>
  <c r="Q23" i="9"/>
  <c r="B23" i="9"/>
  <c r="AO22" i="9"/>
  <c r="AN22" i="9"/>
  <c r="AM22" i="9"/>
  <c r="Q22" i="9"/>
  <c r="AP22" i="9" s="1"/>
  <c r="B22" i="9"/>
  <c r="AO21" i="9"/>
  <c r="AN21" i="9"/>
  <c r="AM21" i="9"/>
  <c r="AJ21" i="9"/>
  <c r="N21" i="9"/>
  <c r="L21" i="9"/>
  <c r="B21" i="9"/>
  <c r="AP20" i="9"/>
  <c r="AO20" i="9"/>
  <c r="AN20" i="9"/>
  <c r="AM20" i="9"/>
  <c r="Z20" i="9"/>
  <c r="H20" i="9"/>
  <c r="B20" i="9"/>
  <c r="AO19" i="9"/>
  <c r="AN19" i="9"/>
  <c r="AM19" i="9"/>
  <c r="H19" i="9"/>
  <c r="B19" i="9"/>
  <c r="AP19" i="9" s="1"/>
  <c r="AO18" i="9"/>
  <c r="AN18" i="9"/>
  <c r="AM18" i="9"/>
  <c r="W18" i="9"/>
  <c r="N18" i="9"/>
  <c r="K18" i="9"/>
  <c r="G18" i="9"/>
  <c r="B18" i="9"/>
  <c r="AO17" i="9"/>
  <c r="AN17" i="9"/>
  <c r="AM17" i="9"/>
  <c r="AJ17" i="9"/>
  <c r="AI17" i="9"/>
  <c r="G17" i="9"/>
  <c r="F17" i="9"/>
  <c r="C17" i="9"/>
  <c r="AP17" i="9" s="1"/>
  <c r="B17" i="9"/>
  <c r="AO16" i="9"/>
  <c r="AN16" i="9"/>
  <c r="AM16" i="9"/>
  <c r="AJ16" i="9"/>
  <c r="AG16" i="9"/>
  <c r="M16" i="9"/>
  <c r="G16" i="9"/>
  <c r="C16" i="9"/>
  <c r="B16" i="9"/>
  <c r="AO15" i="9"/>
  <c r="AN15" i="9"/>
  <c r="AM15" i="9"/>
  <c r="Q15" i="9"/>
  <c r="AP15" i="9" s="1"/>
  <c r="K15" i="9"/>
  <c r="B15" i="9"/>
  <c r="AP14" i="9"/>
  <c r="AO14" i="9"/>
  <c r="AN14" i="9"/>
  <c r="AM14" i="9"/>
  <c r="M14" i="9"/>
  <c r="J14" i="9"/>
  <c r="H14" i="9"/>
  <c r="B14" i="9"/>
  <c r="AO13" i="9"/>
  <c r="AN13" i="9"/>
  <c r="AM13" i="9"/>
  <c r="AJ13" i="9"/>
  <c r="M13" i="9"/>
  <c r="H13" i="9"/>
  <c r="F13" i="9"/>
  <c r="AP13" i="9" s="1"/>
  <c r="B13" i="9"/>
  <c r="AO12" i="9"/>
  <c r="AN12" i="9"/>
  <c r="AM12" i="9"/>
  <c r="C12" i="9"/>
  <c r="AP12" i="9" s="1"/>
  <c r="B12" i="9"/>
  <c r="AO11" i="9"/>
  <c r="AN11" i="9"/>
  <c r="AM11" i="9"/>
  <c r="AJ11" i="9"/>
  <c r="G11" i="9"/>
  <c r="AP11" i="9" s="1"/>
  <c r="B11" i="9"/>
  <c r="AO10" i="9"/>
  <c r="AN10" i="9"/>
  <c r="AM10" i="9"/>
  <c r="AI10" i="9"/>
  <c r="O10" i="9"/>
  <c r="M10" i="9"/>
  <c r="G10" i="9"/>
  <c r="AP10" i="9" s="1"/>
  <c r="B10" i="9"/>
  <c r="AO9" i="9"/>
  <c r="AN9" i="9"/>
  <c r="AM9" i="9"/>
  <c r="S9" i="9"/>
  <c r="R9" i="9"/>
  <c r="H9" i="9"/>
  <c r="F9" i="9"/>
  <c r="AP9" i="9" s="1"/>
  <c r="B9" i="9"/>
  <c r="AO8" i="9"/>
  <c r="AN8" i="9"/>
  <c r="AM8" i="9"/>
  <c r="AJ8" i="9"/>
  <c r="AI8" i="9"/>
  <c r="M8" i="9"/>
  <c r="H8" i="9"/>
  <c r="E8" i="9"/>
  <c r="C8" i="9"/>
  <c r="AP8" i="9" s="1"/>
  <c r="B8" i="9"/>
  <c r="AO7" i="9"/>
  <c r="AN7" i="9"/>
  <c r="AM7" i="9"/>
  <c r="AJ7" i="9"/>
  <c r="M7" i="9"/>
  <c r="C7" i="9"/>
  <c r="B7" i="9"/>
  <c r="AP6" i="9"/>
  <c r="AO6" i="9"/>
  <c r="AN6" i="9"/>
  <c r="AM6" i="9"/>
  <c r="H6" i="9"/>
  <c r="B6" i="9"/>
  <c r="AO5" i="9"/>
  <c r="AN5" i="9"/>
  <c r="AM5" i="9"/>
  <c r="R5" i="9"/>
  <c r="H5" i="9"/>
  <c r="B5" i="9"/>
  <c r="AP5" i="9" s="1"/>
  <c r="AO4" i="9"/>
  <c r="AN4" i="9"/>
  <c r="AM4" i="9"/>
  <c r="M4" i="9"/>
  <c r="J4" i="9"/>
  <c r="I4" i="9"/>
  <c r="B4" i="9"/>
  <c r="AO3" i="9"/>
  <c r="AN3" i="9"/>
  <c r="AM3" i="9"/>
  <c r="AJ3" i="9"/>
  <c r="M3" i="9"/>
  <c r="C3" i="9"/>
  <c r="B3" i="9"/>
  <c r="AP2" i="9"/>
  <c r="AO2" i="9" s="1"/>
  <c r="AN2" i="9"/>
  <c r="B33" i="2" s="1"/>
  <c r="AJ200" i="7"/>
  <c r="AI200" i="7"/>
  <c r="AE200" i="7"/>
  <c r="AD200" i="7"/>
  <c r="AC200" i="7"/>
  <c r="AB200" i="7"/>
  <c r="AA200" i="7"/>
  <c r="Z200" i="7"/>
  <c r="Y200" i="7"/>
  <c r="X200" i="7"/>
  <c r="W200" i="7"/>
  <c r="V200" i="7"/>
  <c r="U200" i="7"/>
  <c r="T200" i="7"/>
  <c r="S200" i="7"/>
  <c r="R200" i="7"/>
  <c r="Q200" i="7"/>
  <c r="P200" i="7"/>
  <c r="O200" i="7"/>
  <c r="N200" i="7"/>
  <c r="M200" i="7"/>
  <c r="L200" i="7"/>
  <c r="K200" i="7"/>
  <c r="J200" i="7"/>
  <c r="I200" i="7"/>
  <c r="H200" i="7"/>
  <c r="G200" i="7"/>
  <c r="F200" i="7"/>
  <c r="E200" i="7"/>
  <c r="D200" i="7"/>
  <c r="C200" i="7"/>
  <c r="B200" i="7"/>
  <c r="AJ199" i="7"/>
  <c r="AI199" i="7"/>
  <c r="AE199" i="7"/>
  <c r="AD199" i="7"/>
  <c r="AC199" i="7"/>
  <c r="AB199" i="7"/>
  <c r="AA199" i="7"/>
  <c r="Z199" i="7"/>
  <c r="Y199" i="7"/>
  <c r="X199" i="7"/>
  <c r="W199" i="7"/>
  <c r="V199" i="7"/>
  <c r="U199" i="7"/>
  <c r="T199" i="7"/>
  <c r="S199" i="7"/>
  <c r="R199" i="7"/>
  <c r="Q199" i="7"/>
  <c r="P199" i="7"/>
  <c r="O199" i="7"/>
  <c r="N199" i="7"/>
  <c r="M199" i="7"/>
  <c r="L199" i="7"/>
  <c r="K199" i="7"/>
  <c r="J199" i="7"/>
  <c r="I199" i="7"/>
  <c r="H199" i="7"/>
  <c r="G199" i="7"/>
  <c r="F199" i="7"/>
  <c r="E199" i="7"/>
  <c r="D199" i="7"/>
  <c r="C199" i="7"/>
  <c r="B199" i="7"/>
  <c r="AJ198" i="7"/>
  <c r="AI198" i="7"/>
  <c r="AE198" i="7"/>
  <c r="AD198" i="7"/>
  <c r="AC198" i="7"/>
  <c r="AB198" i="7"/>
  <c r="AA198" i="7"/>
  <c r="Z198" i="7"/>
  <c r="Y198" i="7"/>
  <c r="X198" i="7"/>
  <c r="W198" i="7"/>
  <c r="V198" i="7"/>
  <c r="U198" i="7"/>
  <c r="T198" i="7"/>
  <c r="S198" i="7"/>
  <c r="R198" i="7"/>
  <c r="Q198" i="7"/>
  <c r="P198" i="7"/>
  <c r="O198" i="7"/>
  <c r="N198" i="7"/>
  <c r="M198" i="7"/>
  <c r="L198" i="7"/>
  <c r="K198" i="7"/>
  <c r="J198" i="7"/>
  <c r="I198" i="7"/>
  <c r="H198" i="7"/>
  <c r="G198" i="7"/>
  <c r="F198" i="7"/>
  <c r="E198" i="7"/>
  <c r="D198" i="7"/>
  <c r="C198" i="7"/>
  <c r="B198" i="7"/>
  <c r="AJ197" i="7"/>
  <c r="AI197" i="7"/>
  <c r="AE197" i="7"/>
  <c r="AD197" i="7"/>
  <c r="AC197" i="7"/>
  <c r="AB197" i="7"/>
  <c r="AA197" i="7"/>
  <c r="Z197" i="7"/>
  <c r="Y197" i="7"/>
  <c r="X197" i="7"/>
  <c r="W197" i="7"/>
  <c r="V197" i="7"/>
  <c r="U197" i="7"/>
  <c r="T197" i="7"/>
  <c r="S197" i="7"/>
  <c r="R197" i="7"/>
  <c r="Q197" i="7"/>
  <c r="P197" i="7"/>
  <c r="O197" i="7"/>
  <c r="N197" i="7"/>
  <c r="M197" i="7"/>
  <c r="L197" i="7"/>
  <c r="K197" i="7"/>
  <c r="J197" i="7"/>
  <c r="I197" i="7"/>
  <c r="H197" i="7"/>
  <c r="G197" i="7"/>
  <c r="F197" i="7"/>
  <c r="E197" i="7"/>
  <c r="D197" i="7"/>
  <c r="C197" i="7"/>
  <c r="B197" i="7"/>
  <c r="AJ196" i="7"/>
  <c r="AI196" i="7"/>
  <c r="AE196" i="7"/>
  <c r="AD196" i="7"/>
  <c r="AC196" i="7"/>
  <c r="AB196" i="7"/>
  <c r="AA196" i="7"/>
  <c r="Z196" i="7"/>
  <c r="Y196" i="7"/>
  <c r="X196" i="7"/>
  <c r="W196" i="7"/>
  <c r="V196" i="7"/>
  <c r="U196" i="7"/>
  <c r="T196" i="7"/>
  <c r="S196" i="7"/>
  <c r="R196" i="7"/>
  <c r="Q196" i="7"/>
  <c r="P196" i="7"/>
  <c r="O196" i="7"/>
  <c r="N196" i="7"/>
  <c r="M196" i="7"/>
  <c r="L196" i="7"/>
  <c r="K196" i="7"/>
  <c r="J196" i="7"/>
  <c r="I196" i="7"/>
  <c r="H196" i="7"/>
  <c r="G196" i="7"/>
  <c r="F196" i="7"/>
  <c r="E196" i="7"/>
  <c r="D196" i="7"/>
  <c r="C196" i="7"/>
  <c r="B196" i="7"/>
  <c r="AJ195" i="7"/>
  <c r="AI195" i="7"/>
  <c r="AE195" i="7"/>
  <c r="AJ194" i="7"/>
  <c r="AI194" i="7"/>
  <c r="AE194" i="7"/>
  <c r="AJ193" i="7"/>
  <c r="AI193" i="7"/>
  <c r="AE193" i="7"/>
  <c r="AJ192" i="7"/>
  <c r="AI192" i="7"/>
  <c r="AE192" i="7"/>
  <c r="AJ191" i="7"/>
  <c r="AI191" i="7"/>
  <c r="AE191" i="7"/>
  <c r="AJ190" i="7"/>
  <c r="AI190" i="7"/>
  <c r="AE190" i="7"/>
  <c r="AJ189" i="7"/>
  <c r="AI189" i="7"/>
  <c r="AE189" i="7"/>
  <c r="AJ188" i="7"/>
  <c r="AI188" i="7"/>
  <c r="AE188" i="7"/>
  <c r="AJ187" i="7"/>
  <c r="AI187" i="7"/>
  <c r="AE187" i="7"/>
  <c r="AJ186" i="7"/>
  <c r="AI186" i="7"/>
  <c r="AE186" i="7"/>
  <c r="AJ185" i="7"/>
  <c r="AI185" i="7"/>
  <c r="AE185" i="7"/>
  <c r="AJ184" i="7"/>
  <c r="AI184" i="7"/>
  <c r="AE184" i="7"/>
  <c r="AJ183" i="7"/>
  <c r="AI183" i="7"/>
  <c r="AE183" i="7"/>
  <c r="AJ182" i="7"/>
  <c r="AI182" i="7"/>
  <c r="AE182" i="7"/>
  <c r="AJ181" i="7"/>
  <c r="AI181" i="7"/>
  <c r="AE181" i="7"/>
  <c r="AJ180" i="7"/>
  <c r="AI180" i="7"/>
  <c r="AE180" i="7"/>
  <c r="AJ179" i="7"/>
  <c r="AI179" i="7"/>
  <c r="AE179" i="7"/>
  <c r="AJ178" i="7"/>
  <c r="AI178" i="7"/>
  <c r="AE178" i="7"/>
  <c r="AJ177" i="7"/>
  <c r="AI177" i="7"/>
  <c r="AE177" i="7"/>
  <c r="AJ176" i="7"/>
  <c r="AI176" i="7"/>
  <c r="AE176" i="7"/>
  <c r="AJ175" i="7"/>
  <c r="AI175" i="7"/>
  <c r="AE175" i="7"/>
  <c r="AJ174" i="7"/>
  <c r="AI174" i="7"/>
  <c r="AE174" i="7"/>
  <c r="AJ173" i="7"/>
  <c r="AI173" i="7"/>
  <c r="AE173" i="7"/>
  <c r="AJ172" i="7"/>
  <c r="AI172" i="7"/>
  <c r="AE172" i="7"/>
  <c r="AJ171" i="7"/>
  <c r="AI171" i="7"/>
  <c r="AE171" i="7"/>
  <c r="AJ170" i="7"/>
  <c r="AI170" i="7"/>
  <c r="AE170" i="7"/>
  <c r="AJ169" i="7"/>
  <c r="AI169" i="7"/>
  <c r="AE169" i="7"/>
  <c r="AJ168" i="7"/>
  <c r="AI168" i="7"/>
  <c r="AE168" i="7"/>
  <c r="AJ167" i="7"/>
  <c r="AI167" i="7"/>
  <c r="AE167" i="7"/>
  <c r="AJ166" i="7"/>
  <c r="AI166" i="7"/>
  <c r="AE166" i="7"/>
  <c r="AJ165" i="7"/>
  <c r="AI165" i="7"/>
  <c r="AH165" i="7"/>
  <c r="AG165" i="7"/>
  <c r="AF165" i="7"/>
  <c r="AE165" i="7"/>
  <c r="AD165" i="7"/>
  <c r="Z165" i="7"/>
  <c r="T165" i="7"/>
  <c r="S165" i="7"/>
  <c r="R165" i="7"/>
  <c r="Q165" i="7"/>
  <c r="P165" i="7"/>
  <c r="O165" i="7"/>
  <c r="N165" i="7"/>
  <c r="M165" i="7"/>
  <c r="L165" i="7"/>
  <c r="K165" i="7"/>
  <c r="J165" i="7"/>
  <c r="I165" i="7"/>
  <c r="H165" i="7"/>
  <c r="G165" i="7"/>
  <c r="F165" i="7"/>
  <c r="E165" i="7"/>
  <c r="D165" i="7"/>
  <c r="C165" i="7"/>
  <c r="B165" i="7"/>
  <c r="AJ164" i="7"/>
  <c r="AI164" i="7"/>
  <c r="AH164" i="7"/>
  <c r="AG164" i="7"/>
  <c r="AF164" i="7"/>
  <c r="AE164" i="7"/>
  <c r="AD164" i="7"/>
  <c r="T164" i="7"/>
  <c r="S164" i="7"/>
  <c r="R164" i="7"/>
  <c r="Q164" i="7"/>
  <c r="P164" i="7"/>
  <c r="O164" i="7"/>
  <c r="N164" i="7"/>
  <c r="M164" i="7"/>
  <c r="L164" i="7"/>
  <c r="K164" i="7"/>
  <c r="J164" i="7"/>
  <c r="I164" i="7"/>
  <c r="H164" i="7"/>
  <c r="G164" i="7"/>
  <c r="F164" i="7"/>
  <c r="E164" i="7"/>
  <c r="D164" i="7"/>
  <c r="C164" i="7"/>
  <c r="B164" i="7"/>
  <c r="AJ163" i="7"/>
  <c r="AI163" i="7"/>
  <c r="AH163" i="7"/>
  <c r="AG163" i="7"/>
  <c r="AF163" i="7"/>
  <c r="AE163" i="7"/>
  <c r="AD163" i="7"/>
  <c r="Z163" i="7"/>
  <c r="Y163" i="7"/>
  <c r="V163" i="7"/>
  <c r="S163" i="7"/>
  <c r="R163" i="7"/>
  <c r="Q163" i="7"/>
  <c r="P163" i="7"/>
  <c r="O163" i="7"/>
  <c r="N163" i="7"/>
  <c r="M163" i="7"/>
  <c r="L163" i="7"/>
  <c r="K163" i="7"/>
  <c r="J163" i="7"/>
  <c r="I163" i="7"/>
  <c r="H163" i="7"/>
  <c r="G163" i="7"/>
  <c r="F163" i="7"/>
  <c r="E163" i="7"/>
  <c r="D163" i="7"/>
  <c r="C163" i="7"/>
  <c r="B163" i="7"/>
  <c r="AJ162" i="7"/>
  <c r="AI162" i="7"/>
  <c r="AH162" i="7"/>
  <c r="AG162" i="7"/>
  <c r="AF162" i="7"/>
  <c r="AE162" i="7"/>
  <c r="AD162" i="7"/>
  <c r="AC162" i="7"/>
  <c r="Y162" i="7"/>
  <c r="S162" i="7"/>
  <c r="R162" i="7"/>
  <c r="Q162" i="7"/>
  <c r="P162" i="7"/>
  <c r="O162" i="7"/>
  <c r="N162" i="7"/>
  <c r="M162" i="7"/>
  <c r="L162" i="7"/>
  <c r="K162" i="7"/>
  <c r="J162" i="7"/>
  <c r="I162" i="7"/>
  <c r="H162" i="7"/>
  <c r="G162" i="7"/>
  <c r="F162" i="7"/>
  <c r="E162" i="7"/>
  <c r="D162" i="7"/>
  <c r="C162" i="7"/>
  <c r="B162" i="7"/>
  <c r="AJ161" i="7"/>
  <c r="AI161" i="7"/>
  <c r="AH161" i="7"/>
  <c r="AG161" i="7"/>
  <c r="AF161" i="7"/>
  <c r="AE161" i="7"/>
  <c r="AD161" i="7"/>
  <c r="Z161" i="7"/>
  <c r="X161" i="7"/>
  <c r="T161" i="7"/>
  <c r="S161" i="7"/>
  <c r="R161" i="7"/>
  <c r="Q161" i="7"/>
  <c r="P161" i="7"/>
  <c r="O161" i="7"/>
  <c r="N161" i="7"/>
  <c r="M161" i="7"/>
  <c r="L161" i="7"/>
  <c r="K161" i="7"/>
  <c r="J161" i="7"/>
  <c r="I161" i="7"/>
  <c r="H161" i="7"/>
  <c r="G161" i="7"/>
  <c r="F161" i="7"/>
  <c r="E161" i="7"/>
  <c r="D161" i="7"/>
  <c r="C161" i="7"/>
  <c r="B161" i="7"/>
  <c r="AJ160" i="7"/>
  <c r="AI160" i="7"/>
  <c r="AH160" i="7"/>
  <c r="AG160" i="7"/>
  <c r="AF160" i="7"/>
  <c r="AE160" i="7"/>
  <c r="AD160" i="7"/>
  <c r="Y160" i="7"/>
  <c r="W160" i="7"/>
  <c r="T160" i="7"/>
  <c r="S160" i="7"/>
  <c r="R160" i="7"/>
  <c r="Q160" i="7"/>
  <c r="P160" i="7"/>
  <c r="O160" i="7"/>
  <c r="N160" i="7"/>
  <c r="M160" i="7"/>
  <c r="L160" i="7"/>
  <c r="K160" i="7"/>
  <c r="J160" i="7"/>
  <c r="I160" i="7"/>
  <c r="H160" i="7"/>
  <c r="G160" i="7"/>
  <c r="F160" i="7"/>
  <c r="E160" i="7"/>
  <c r="D160" i="7"/>
  <c r="C160" i="7"/>
  <c r="B160" i="7"/>
  <c r="AJ159" i="7"/>
  <c r="AI159" i="7"/>
  <c r="AH159" i="7"/>
  <c r="AG159" i="7"/>
  <c r="AF159" i="7"/>
  <c r="AE159" i="7"/>
  <c r="AD159" i="7"/>
  <c r="AB159" i="7"/>
  <c r="V159" i="7"/>
  <c r="T159" i="7"/>
  <c r="S159" i="7"/>
  <c r="R159" i="7"/>
  <c r="Q159" i="7"/>
  <c r="P159" i="7"/>
  <c r="O159" i="7"/>
  <c r="N159" i="7"/>
  <c r="M159" i="7"/>
  <c r="L159" i="7"/>
  <c r="K159" i="7"/>
  <c r="J159" i="7"/>
  <c r="I159" i="7"/>
  <c r="H159" i="7"/>
  <c r="G159" i="7"/>
  <c r="F159" i="7"/>
  <c r="E159" i="7"/>
  <c r="D159" i="7"/>
  <c r="C159" i="7"/>
  <c r="B159" i="7"/>
  <c r="AJ158" i="7"/>
  <c r="AI158" i="7"/>
  <c r="AH158" i="7"/>
  <c r="AG158" i="7"/>
  <c r="AF158" i="7"/>
  <c r="AE158" i="7"/>
  <c r="AD158" i="7"/>
  <c r="AC158" i="7"/>
  <c r="AA158" i="7"/>
  <c r="X158" i="7"/>
  <c r="T158" i="7"/>
  <c r="S158" i="7"/>
  <c r="R158" i="7"/>
  <c r="Q158" i="7"/>
  <c r="P158" i="7"/>
  <c r="O158" i="7"/>
  <c r="N158" i="7"/>
  <c r="M158" i="7"/>
  <c r="L158" i="7"/>
  <c r="K158" i="7"/>
  <c r="J158" i="7"/>
  <c r="I158" i="7"/>
  <c r="H158" i="7"/>
  <c r="G158" i="7"/>
  <c r="F158" i="7"/>
  <c r="E158" i="7"/>
  <c r="D158" i="7"/>
  <c r="C158" i="7"/>
  <c r="B158" i="7"/>
  <c r="AJ157" i="7"/>
  <c r="AI157" i="7"/>
  <c r="AH157" i="7"/>
  <c r="AG157" i="7"/>
  <c r="AF157" i="7"/>
  <c r="AE157" i="7"/>
  <c r="AD157" i="7"/>
  <c r="AB157" i="7"/>
  <c r="Y157" i="7"/>
  <c r="W157" i="7"/>
  <c r="V157" i="7"/>
  <c r="T157" i="7"/>
  <c r="S157" i="7"/>
  <c r="R157" i="7"/>
  <c r="Q157" i="7"/>
  <c r="P157" i="7"/>
  <c r="O157" i="7"/>
  <c r="N157" i="7"/>
  <c r="M157" i="7"/>
  <c r="L157" i="7"/>
  <c r="K157" i="7"/>
  <c r="J157" i="7"/>
  <c r="I157" i="7"/>
  <c r="H157" i="7"/>
  <c r="G157" i="7"/>
  <c r="F157" i="7"/>
  <c r="E157" i="7"/>
  <c r="D157" i="7"/>
  <c r="C157" i="7"/>
  <c r="B157" i="7"/>
  <c r="AJ156" i="7"/>
  <c r="AI156" i="7"/>
  <c r="AH156" i="7"/>
  <c r="AG156" i="7"/>
  <c r="AF156" i="7"/>
  <c r="AE156" i="7"/>
  <c r="AD156" i="7"/>
  <c r="AB156" i="7"/>
  <c r="T156" i="7"/>
  <c r="S156" i="7"/>
  <c r="R156" i="7"/>
  <c r="Q156" i="7"/>
  <c r="P156" i="7"/>
  <c r="O156" i="7"/>
  <c r="N156" i="7"/>
  <c r="M156" i="7"/>
  <c r="L156" i="7"/>
  <c r="K156" i="7"/>
  <c r="J156" i="7"/>
  <c r="I156" i="7"/>
  <c r="H156" i="7"/>
  <c r="G156" i="7"/>
  <c r="F156" i="7"/>
  <c r="E156" i="7"/>
  <c r="D156" i="7"/>
  <c r="C156" i="7"/>
  <c r="B156" i="7"/>
  <c r="AJ155" i="7"/>
  <c r="AI155" i="7"/>
  <c r="AH155" i="7"/>
  <c r="AG155" i="7"/>
  <c r="AF155" i="7"/>
  <c r="AE155" i="7"/>
  <c r="AD155" i="7"/>
  <c r="Z155" i="7"/>
  <c r="V155" i="7"/>
  <c r="T155" i="7"/>
  <c r="S155" i="7"/>
  <c r="R155" i="7"/>
  <c r="Q155" i="7"/>
  <c r="P155" i="7"/>
  <c r="O155" i="7"/>
  <c r="N155" i="7"/>
  <c r="M155" i="7"/>
  <c r="L155" i="7"/>
  <c r="K155" i="7"/>
  <c r="J155" i="7"/>
  <c r="I155" i="7"/>
  <c r="H155" i="7"/>
  <c r="G155" i="7"/>
  <c r="F155" i="7"/>
  <c r="E155" i="7"/>
  <c r="D155" i="7"/>
  <c r="C155" i="7"/>
  <c r="B155" i="7"/>
  <c r="AJ154" i="7"/>
  <c r="AI154" i="7"/>
  <c r="AH154" i="7"/>
  <c r="AG154" i="7"/>
  <c r="AF154" i="7"/>
  <c r="AE154" i="7"/>
  <c r="AD154" i="7"/>
  <c r="AA154" i="7"/>
  <c r="Y154" i="7"/>
  <c r="T154" i="7"/>
  <c r="S154" i="7"/>
  <c r="R154" i="7"/>
  <c r="Q154" i="7"/>
  <c r="P154" i="7"/>
  <c r="O154" i="7"/>
  <c r="N154" i="7"/>
  <c r="M154" i="7"/>
  <c r="L154" i="7"/>
  <c r="K154" i="7"/>
  <c r="J154" i="7"/>
  <c r="I154" i="7"/>
  <c r="H154" i="7"/>
  <c r="G154" i="7"/>
  <c r="F154" i="7"/>
  <c r="E154" i="7"/>
  <c r="D154" i="7"/>
  <c r="C154" i="7"/>
  <c r="B154" i="7"/>
  <c r="AJ153" i="7"/>
  <c r="AI153" i="7"/>
  <c r="AH153" i="7"/>
  <c r="AG153" i="7"/>
  <c r="AF153" i="7"/>
  <c r="AE153" i="7"/>
  <c r="AD153" i="7"/>
  <c r="AA153" i="7"/>
  <c r="Z153" i="7"/>
  <c r="V153" i="7"/>
  <c r="T153" i="7"/>
  <c r="S153" i="7"/>
  <c r="R153" i="7"/>
  <c r="Q153" i="7"/>
  <c r="P153" i="7"/>
  <c r="O153" i="7"/>
  <c r="N153" i="7"/>
  <c r="M153" i="7"/>
  <c r="L153" i="7"/>
  <c r="K153" i="7"/>
  <c r="J153" i="7"/>
  <c r="I153" i="7"/>
  <c r="H153" i="7"/>
  <c r="G153" i="7"/>
  <c r="F153" i="7"/>
  <c r="E153" i="7"/>
  <c r="D153" i="7"/>
  <c r="C153" i="7"/>
  <c r="B153" i="7"/>
  <c r="AJ152" i="7"/>
  <c r="AI152" i="7"/>
  <c r="AH152" i="7"/>
  <c r="AG152" i="7"/>
  <c r="AF152" i="7"/>
  <c r="AE152" i="7"/>
  <c r="AD152" i="7"/>
  <c r="Z152" i="7"/>
  <c r="Y152" i="7"/>
  <c r="X152" i="7"/>
  <c r="V152" i="7"/>
  <c r="T152" i="7"/>
  <c r="S152" i="7"/>
  <c r="R152" i="7"/>
  <c r="Q152" i="7"/>
  <c r="P152" i="7"/>
  <c r="O152" i="7"/>
  <c r="N152" i="7"/>
  <c r="M152" i="7"/>
  <c r="L152" i="7"/>
  <c r="K152" i="7"/>
  <c r="J152" i="7"/>
  <c r="I152" i="7"/>
  <c r="H152" i="7"/>
  <c r="G152" i="7"/>
  <c r="F152" i="7"/>
  <c r="E152" i="7"/>
  <c r="D152" i="7"/>
  <c r="C152" i="7"/>
  <c r="B152" i="7"/>
  <c r="AJ151" i="7"/>
  <c r="AI151" i="7"/>
  <c r="AH151" i="7"/>
  <c r="AG151" i="7"/>
  <c r="AF151" i="7"/>
  <c r="AE151" i="7"/>
  <c r="AD151" i="7"/>
  <c r="Y151" i="7"/>
  <c r="W151" i="7"/>
  <c r="T151" i="7"/>
  <c r="S151" i="7"/>
  <c r="R151" i="7"/>
  <c r="Q151" i="7"/>
  <c r="P151" i="7"/>
  <c r="O151" i="7"/>
  <c r="N151" i="7"/>
  <c r="M151" i="7"/>
  <c r="L151" i="7"/>
  <c r="K151" i="7"/>
  <c r="J151" i="7"/>
  <c r="I151" i="7"/>
  <c r="H151" i="7"/>
  <c r="G151" i="7"/>
  <c r="F151" i="7"/>
  <c r="E151" i="7"/>
  <c r="D151" i="7"/>
  <c r="C151" i="7"/>
  <c r="B151" i="7"/>
  <c r="AJ150" i="7"/>
  <c r="AI150" i="7"/>
  <c r="AH150" i="7"/>
  <c r="AG150" i="7"/>
  <c r="AF150" i="7"/>
  <c r="AE150" i="7"/>
  <c r="AD150" i="7"/>
  <c r="Y150" i="7"/>
  <c r="V150" i="7"/>
  <c r="T150" i="7"/>
  <c r="S150" i="7"/>
  <c r="R150" i="7"/>
  <c r="Q150" i="7"/>
  <c r="P150" i="7"/>
  <c r="O150" i="7"/>
  <c r="N150" i="7"/>
  <c r="M150" i="7"/>
  <c r="L150" i="7"/>
  <c r="K150" i="7"/>
  <c r="J150" i="7"/>
  <c r="I150" i="7"/>
  <c r="H150" i="7"/>
  <c r="G150" i="7"/>
  <c r="F150" i="7"/>
  <c r="E150" i="7"/>
  <c r="D150" i="7"/>
  <c r="C150" i="7"/>
  <c r="B150" i="7"/>
  <c r="AJ149" i="7"/>
  <c r="AI149" i="7"/>
  <c r="AH149" i="7"/>
  <c r="AG149" i="7"/>
  <c r="AF149" i="7"/>
  <c r="AE149" i="7"/>
  <c r="AD149" i="7"/>
  <c r="AB149" i="7"/>
  <c r="T149" i="7"/>
  <c r="S149" i="7"/>
  <c r="R149" i="7"/>
  <c r="Q149" i="7"/>
  <c r="P149" i="7"/>
  <c r="O149" i="7"/>
  <c r="N149" i="7"/>
  <c r="M149" i="7"/>
  <c r="L149" i="7"/>
  <c r="K149" i="7"/>
  <c r="J149" i="7"/>
  <c r="I149" i="7"/>
  <c r="H149" i="7"/>
  <c r="G149" i="7"/>
  <c r="F149" i="7"/>
  <c r="E149" i="7"/>
  <c r="D149" i="7"/>
  <c r="C149" i="7"/>
  <c r="B149" i="7"/>
  <c r="AJ148" i="7"/>
  <c r="AI148" i="7"/>
  <c r="AH148" i="7"/>
  <c r="AG148" i="7"/>
  <c r="AF148" i="7"/>
  <c r="AE148" i="7"/>
  <c r="AD148" i="7"/>
  <c r="Y148" i="7"/>
  <c r="T148" i="7"/>
  <c r="S148" i="7"/>
  <c r="R148" i="7"/>
  <c r="Q148" i="7"/>
  <c r="P148" i="7"/>
  <c r="O148" i="7"/>
  <c r="N148" i="7"/>
  <c r="M148" i="7"/>
  <c r="L148" i="7"/>
  <c r="K148" i="7"/>
  <c r="J148" i="7"/>
  <c r="I148" i="7"/>
  <c r="H148" i="7"/>
  <c r="G148" i="7"/>
  <c r="F148" i="7"/>
  <c r="E148" i="7"/>
  <c r="D148" i="7"/>
  <c r="C148" i="7"/>
  <c r="B148" i="7"/>
  <c r="AJ147" i="7"/>
  <c r="AI147" i="7"/>
  <c r="AH147" i="7"/>
  <c r="AG147" i="7"/>
  <c r="AF147" i="7"/>
  <c r="AE147" i="7"/>
  <c r="AD147" i="7"/>
  <c r="T147" i="7"/>
  <c r="S147" i="7"/>
  <c r="R147" i="7"/>
  <c r="Q147" i="7"/>
  <c r="P147" i="7"/>
  <c r="O147" i="7"/>
  <c r="N147" i="7"/>
  <c r="M147" i="7"/>
  <c r="L147" i="7"/>
  <c r="K147" i="7"/>
  <c r="J147" i="7"/>
  <c r="I147" i="7"/>
  <c r="H147" i="7"/>
  <c r="G147" i="7"/>
  <c r="F147" i="7"/>
  <c r="E147" i="7"/>
  <c r="D147" i="7"/>
  <c r="C147" i="7"/>
  <c r="B147" i="7"/>
  <c r="AJ146" i="7"/>
  <c r="AI146" i="7"/>
  <c r="AH146" i="7"/>
  <c r="AG146" i="7"/>
  <c r="AF146" i="7"/>
  <c r="AE146" i="7"/>
  <c r="AD146" i="7"/>
  <c r="Y146" i="7"/>
  <c r="V146" i="7"/>
  <c r="T146" i="7"/>
  <c r="S146" i="7"/>
  <c r="R146" i="7"/>
  <c r="Q146" i="7"/>
  <c r="P146" i="7"/>
  <c r="O146" i="7"/>
  <c r="N146" i="7"/>
  <c r="M146" i="7"/>
  <c r="L146" i="7"/>
  <c r="K146" i="7"/>
  <c r="J146" i="7"/>
  <c r="I146" i="7"/>
  <c r="H146" i="7"/>
  <c r="G146" i="7"/>
  <c r="F146" i="7"/>
  <c r="E146" i="7"/>
  <c r="D146" i="7"/>
  <c r="C146" i="7"/>
  <c r="B146" i="7"/>
  <c r="AJ145" i="7"/>
  <c r="AI145" i="7"/>
  <c r="AH145" i="7"/>
  <c r="AG145" i="7"/>
  <c r="AF145" i="7"/>
  <c r="AE145" i="7"/>
  <c r="AD145" i="7"/>
  <c r="Z145" i="7"/>
  <c r="W145" i="7"/>
  <c r="V145" i="7"/>
  <c r="T145" i="7"/>
  <c r="S145" i="7"/>
  <c r="R145" i="7"/>
  <c r="Q145" i="7"/>
  <c r="P145" i="7"/>
  <c r="O145" i="7"/>
  <c r="N145" i="7"/>
  <c r="M145" i="7"/>
  <c r="L145" i="7"/>
  <c r="K145" i="7"/>
  <c r="J145" i="7"/>
  <c r="I145" i="7"/>
  <c r="H145" i="7"/>
  <c r="G145" i="7"/>
  <c r="F145" i="7"/>
  <c r="E145" i="7"/>
  <c r="D145" i="7"/>
  <c r="C145" i="7"/>
  <c r="B145" i="7"/>
  <c r="AJ144" i="7"/>
  <c r="AI144" i="7"/>
  <c r="AH144" i="7"/>
  <c r="AG144" i="7"/>
  <c r="AF144" i="7"/>
  <c r="AE144" i="7"/>
  <c r="AD144" i="7"/>
  <c r="AB144" i="7"/>
  <c r="AA144" i="7"/>
  <c r="T144" i="7"/>
  <c r="S144" i="7"/>
  <c r="R144" i="7"/>
  <c r="Q144" i="7"/>
  <c r="P144" i="7"/>
  <c r="O144" i="7"/>
  <c r="N144" i="7"/>
  <c r="M144" i="7"/>
  <c r="L144" i="7"/>
  <c r="K144" i="7"/>
  <c r="J144" i="7"/>
  <c r="I144" i="7"/>
  <c r="H144" i="7"/>
  <c r="G144" i="7"/>
  <c r="F144" i="7"/>
  <c r="E144" i="7"/>
  <c r="D144" i="7"/>
  <c r="C144" i="7"/>
  <c r="B144" i="7"/>
  <c r="AJ143" i="7"/>
  <c r="AI143" i="7"/>
  <c r="AH143" i="7"/>
  <c r="AG143" i="7"/>
  <c r="AF143" i="7"/>
  <c r="AE143" i="7"/>
  <c r="AD143" i="7"/>
  <c r="AC143" i="7"/>
  <c r="Y143" i="7"/>
  <c r="T143" i="7"/>
  <c r="S143" i="7"/>
  <c r="R143" i="7"/>
  <c r="Q143" i="7"/>
  <c r="P143" i="7"/>
  <c r="O143" i="7"/>
  <c r="N143" i="7"/>
  <c r="M143" i="7"/>
  <c r="L143" i="7"/>
  <c r="K143" i="7"/>
  <c r="J143" i="7"/>
  <c r="I143" i="7"/>
  <c r="H143" i="7"/>
  <c r="G143" i="7"/>
  <c r="F143" i="7"/>
  <c r="E143" i="7"/>
  <c r="D143" i="7"/>
  <c r="C143" i="7"/>
  <c r="B143" i="7"/>
  <c r="AJ142" i="7"/>
  <c r="AI142" i="7"/>
  <c r="AH142" i="7"/>
  <c r="AG142" i="7"/>
  <c r="AF142" i="7"/>
  <c r="AE142" i="7"/>
  <c r="AD142" i="7"/>
  <c r="Y142" i="7"/>
  <c r="V142" i="7"/>
  <c r="T142" i="7"/>
  <c r="S142" i="7"/>
  <c r="R142" i="7"/>
  <c r="Q142" i="7"/>
  <c r="P142" i="7"/>
  <c r="O142" i="7"/>
  <c r="N142" i="7"/>
  <c r="M142" i="7"/>
  <c r="L142" i="7"/>
  <c r="K142" i="7"/>
  <c r="J142" i="7"/>
  <c r="I142" i="7"/>
  <c r="H142" i="7"/>
  <c r="G142" i="7"/>
  <c r="F142" i="7"/>
  <c r="E142" i="7"/>
  <c r="D142" i="7"/>
  <c r="C142" i="7"/>
  <c r="B142" i="7"/>
  <c r="AJ141" i="7"/>
  <c r="AI141" i="7"/>
  <c r="AH141" i="7"/>
  <c r="AG141" i="7"/>
  <c r="AF141" i="7"/>
  <c r="AE141" i="7"/>
  <c r="AD141" i="7"/>
  <c r="AA141" i="7"/>
  <c r="W141" i="7"/>
  <c r="T141" i="7"/>
  <c r="S141" i="7"/>
  <c r="R141" i="7"/>
  <c r="Q141" i="7"/>
  <c r="P141" i="7"/>
  <c r="O141" i="7"/>
  <c r="N141" i="7"/>
  <c r="M141" i="7"/>
  <c r="L141" i="7"/>
  <c r="K141" i="7"/>
  <c r="J141" i="7"/>
  <c r="I141" i="7"/>
  <c r="H141" i="7"/>
  <c r="G141" i="7"/>
  <c r="F141" i="7"/>
  <c r="E141" i="7"/>
  <c r="D141" i="7"/>
  <c r="C141" i="7"/>
  <c r="B141" i="7"/>
  <c r="AJ140" i="7"/>
  <c r="AI140" i="7"/>
  <c r="AH140" i="7"/>
  <c r="AG140" i="7"/>
  <c r="AF140" i="7"/>
  <c r="AE140" i="7"/>
  <c r="AD140" i="7"/>
  <c r="AB140" i="7"/>
  <c r="T140" i="7"/>
  <c r="S140" i="7"/>
  <c r="R140" i="7"/>
  <c r="Q140" i="7"/>
  <c r="P140" i="7"/>
  <c r="O140" i="7"/>
  <c r="N140" i="7"/>
  <c r="M140" i="7"/>
  <c r="L140" i="7"/>
  <c r="K140" i="7"/>
  <c r="J140" i="7"/>
  <c r="I140" i="7"/>
  <c r="H140" i="7"/>
  <c r="G140" i="7"/>
  <c r="F140" i="7"/>
  <c r="E140" i="7"/>
  <c r="D140" i="7"/>
  <c r="C140" i="7"/>
  <c r="B140" i="7"/>
  <c r="AJ139" i="7"/>
  <c r="AI139" i="7"/>
  <c r="AH139" i="7"/>
  <c r="AG139" i="7"/>
  <c r="AF139" i="7"/>
  <c r="AE139" i="7"/>
  <c r="AB139" i="7"/>
  <c r="T139" i="7"/>
  <c r="S139" i="7"/>
  <c r="R139" i="7"/>
  <c r="Q139" i="7"/>
  <c r="P139" i="7"/>
  <c r="O139" i="7"/>
  <c r="N139" i="7"/>
  <c r="M139" i="7"/>
  <c r="L139" i="7"/>
  <c r="K139" i="7"/>
  <c r="J139" i="7"/>
  <c r="I139" i="7"/>
  <c r="H139" i="7"/>
  <c r="G139" i="7"/>
  <c r="F139" i="7"/>
  <c r="E139" i="7"/>
  <c r="D139" i="7"/>
  <c r="C139" i="7"/>
  <c r="B139" i="7"/>
  <c r="AJ138" i="7"/>
  <c r="AI138" i="7"/>
  <c r="AH138" i="7"/>
  <c r="AG138" i="7"/>
  <c r="AF138" i="7"/>
  <c r="AE138" i="7"/>
  <c r="AD138" i="7"/>
  <c r="Z138" i="7"/>
  <c r="T138" i="7"/>
  <c r="S138" i="7"/>
  <c r="R138" i="7"/>
  <c r="Q138" i="7"/>
  <c r="P138" i="7"/>
  <c r="O138" i="7"/>
  <c r="N138" i="7"/>
  <c r="M138" i="7"/>
  <c r="L138" i="7"/>
  <c r="K138" i="7"/>
  <c r="J138" i="7"/>
  <c r="I138" i="7"/>
  <c r="H138" i="7"/>
  <c r="G138" i="7"/>
  <c r="F138" i="7"/>
  <c r="E138" i="7"/>
  <c r="D138" i="7"/>
  <c r="C138" i="7"/>
  <c r="B138" i="7"/>
  <c r="AJ137" i="7"/>
  <c r="AI137" i="7"/>
  <c r="AH137" i="7"/>
  <c r="AG137" i="7"/>
  <c r="AF137" i="7"/>
  <c r="AE137" i="7"/>
  <c r="AD137" i="7"/>
  <c r="Y137" i="7"/>
  <c r="W137" i="7"/>
  <c r="T137" i="7"/>
  <c r="S137" i="7"/>
  <c r="R137" i="7"/>
  <c r="Q137" i="7"/>
  <c r="P137" i="7"/>
  <c r="O137" i="7"/>
  <c r="N137" i="7"/>
  <c r="M137" i="7"/>
  <c r="L137" i="7"/>
  <c r="K137" i="7"/>
  <c r="J137" i="7"/>
  <c r="I137" i="7"/>
  <c r="H137" i="7"/>
  <c r="G137" i="7"/>
  <c r="F137" i="7"/>
  <c r="E137" i="7"/>
  <c r="D137" i="7"/>
  <c r="C137" i="7"/>
  <c r="B137" i="7"/>
  <c r="AJ136" i="7"/>
  <c r="AI136" i="7"/>
  <c r="AH136" i="7"/>
  <c r="AG136" i="7"/>
  <c r="AF136" i="7"/>
  <c r="AE136" i="7"/>
  <c r="AD136" i="7"/>
  <c r="AA136" i="7"/>
  <c r="Y136" i="7"/>
  <c r="X136" i="7"/>
  <c r="T136" i="7"/>
  <c r="S136" i="7"/>
  <c r="R136" i="7"/>
  <c r="Q136" i="7"/>
  <c r="P136" i="7"/>
  <c r="O136" i="7"/>
  <c r="N136" i="7"/>
  <c r="M136" i="7"/>
  <c r="L136" i="7"/>
  <c r="K136" i="7"/>
  <c r="J136" i="7"/>
  <c r="I136" i="7"/>
  <c r="H136" i="7"/>
  <c r="G136" i="7"/>
  <c r="F136" i="7"/>
  <c r="E136" i="7"/>
  <c r="D136" i="7"/>
  <c r="C136" i="7"/>
  <c r="B136" i="7"/>
  <c r="AJ135" i="7"/>
  <c r="AI135" i="7"/>
  <c r="AH135" i="7"/>
  <c r="AG135" i="7"/>
  <c r="AF135" i="7"/>
  <c r="AE135" i="7"/>
  <c r="AD135" i="7"/>
  <c r="AA135" i="7"/>
  <c r="Y135" i="7"/>
  <c r="T135" i="7"/>
  <c r="S135" i="7"/>
  <c r="R135" i="7"/>
  <c r="Q135" i="7"/>
  <c r="P135" i="7"/>
  <c r="O135" i="7"/>
  <c r="N135" i="7"/>
  <c r="M135" i="7"/>
  <c r="L135" i="7"/>
  <c r="K135" i="7"/>
  <c r="J135" i="7"/>
  <c r="I135" i="7"/>
  <c r="H135" i="7"/>
  <c r="G135" i="7"/>
  <c r="F135" i="7"/>
  <c r="E135" i="7"/>
  <c r="D135" i="7"/>
  <c r="C135" i="7"/>
  <c r="B135" i="7"/>
  <c r="AJ134" i="7"/>
  <c r="AI134" i="7"/>
  <c r="AH134" i="7"/>
  <c r="AG134" i="7"/>
  <c r="AF134" i="7"/>
  <c r="AE134" i="7"/>
  <c r="AD134" i="7"/>
  <c r="T134" i="7"/>
  <c r="R134" i="7"/>
  <c r="Q134" i="7"/>
  <c r="P134" i="7"/>
  <c r="O134" i="7"/>
  <c r="N134" i="7"/>
  <c r="M134" i="7"/>
  <c r="L134" i="7"/>
  <c r="K134" i="7"/>
  <c r="J134" i="7"/>
  <c r="I134" i="7"/>
  <c r="H134" i="7"/>
  <c r="G134" i="7"/>
  <c r="F134" i="7"/>
  <c r="E134" i="7"/>
  <c r="D134" i="7"/>
  <c r="C134" i="7"/>
  <c r="B134" i="7"/>
  <c r="AJ133" i="7"/>
  <c r="AI133" i="7"/>
  <c r="AH133" i="7"/>
  <c r="AG133" i="7"/>
  <c r="AF133" i="7"/>
  <c r="AE133" i="7"/>
  <c r="AD133" i="7"/>
  <c r="AC133" i="7"/>
  <c r="AB133" i="7"/>
  <c r="AA133" i="7"/>
  <c r="Z133" i="7"/>
  <c r="Y133" i="7"/>
  <c r="W133" i="7"/>
  <c r="T133" i="7"/>
  <c r="S133" i="7"/>
  <c r="R133" i="7"/>
  <c r="Q133" i="7"/>
  <c r="P133" i="7"/>
  <c r="O133" i="7"/>
  <c r="N133" i="7"/>
  <c r="M133" i="7"/>
  <c r="L133" i="7"/>
  <c r="K133" i="7"/>
  <c r="J133" i="7"/>
  <c r="I133" i="7"/>
  <c r="H133" i="7"/>
  <c r="G133" i="7"/>
  <c r="F133" i="7"/>
  <c r="E133" i="7"/>
  <c r="D133" i="7"/>
  <c r="C133" i="7"/>
  <c r="B133" i="7"/>
  <c r="AJ132" i="7"/>
  <c r="AI132" i="7"/>
  <c r="AH132" i="7"/>
  <c r="AG132" i="7"/>
  <c r="AF132" i="7"/>
  <c r="AE132" i="7"/>
  <c r="AD132" i="7"/>
  <c r="AC132" i="7"/>
  <c r="Z132" i="7"/>
  <c r="X132" i="7"/>
  <c r="V132" i="7"/>
  <c r="U132" i="7"/>
  <c r="T132" i="7"/>
  <c r="S132" i="7"/>
  <c r="R132" i="7"/>
  <c r="Q132" i="7"/>
  <c r="P132" i="7"/>
  <c r="O132" i="7"/>
  <c r="N132" i="7"/>
  <c r="M132" i="7"/>
  <c r="L132" i="7"/>
  <c r="K132" i="7"/>
  <c r="J132" i="7"/>
  <c r="I132" i="7"/>
  <c r="H132" i="7"/>
  <c r="G132" i="7"/>
  <c r="F132" i="7"/>
  <c r="E132" i="7"/>
  <c r="D132" i="7"/>
  <c r="C132" i="7"/>
  <c r="B132" i="7"/>
  <c r="AJ131" i="7"/>
  <c r="AI131" i="7"/>
  <c r="AH131" i="7"/>
  <c r="AG131" i="7"/>
  <c r="AF131" i="7"/>
  <c r="AE131" i="7"/>
  <c r="AD131" i="7"/>
  <c r="AA131" i="7"/>
  <c r="Y131" i="7"/>
  <c r="X131" i="7"/>
  <c r="T131" i="7"/>
  <c r="S131" i="7"/>
  <c r="R131" i="7"/>
  <c r="Q131" i="7"/>
  <c r="P131" i="7"/>
  <c r="O131" i="7"/>
  <c r="N131" i="7"/>
  <c r="M131" i="7"/>
  <c r="L131" i="7"/>
  <c r="K131" i="7"/>
  <c r="J131" i="7"/>
  <c r="I131" i="7"/>
  <c r="H131" i="7"/>
  <c r="G131" i="7"/>
  <c r="F131" i="7"/>
  <c r="E131" i="7"/>
  <c r="D131" i="7"/>
  <c r="C131" i="7"/>
  <c r="B131" i="7"/>
  <c r="AJ130" i="7"/>
  <c r="AI130" i="7"/>
  <c r="AH130" i="7"/>
  <c r="AG130" i="7"/>
  <c r="AF130" i="7"/>
  <c r="AE130" i="7"/>
  <c r="AD130" i="7"/>
  <c r="AA130" i="7"/>
  <c r="Z130" i="7"/>
  <c r="Y130" i="7"/>
  <c r="X130" i="7"/>
  <c r="V130" i="7"/>
  <c r="T130" i="7"/>
  <c r="S130" i="7"/>
  <c r="R130" i="7"/>
  <c r="Q130" i="7"/>
  <c r="P130" i="7"/>
  <c r="O130" i="7"/>
  <c r="N130" i="7"/>
  <c r="M130" i="7"/>
  <c r="L130" i="7"/>
  <c r="K130" i="7"/>
  <c r="J130" i="7"/>
  <c r="I130" i="7"/>
  <c r="H130" i="7"/>
  <c r="G130" i="7"/>
  <c r="F130" i="7"/>
  <c r="E130" i="7"/>
  <c r="D130" i="7"/>
  <c r="C130" i="7"/>
  <c r="B130" i="7"/>
  <c r="AJ129" i="7"/>
  <c r="AI129" i="7"/>
  <c r="AH129" i="7"/>
  <c r="AG129" i="7"/>
  <c r="AF129" i="7"/>
  <c r="AE129" i="7"/>
  <c r="AD129" i="7"/>
  <c r="Z129" i="7"/>
  <c r="Y129" i="7"/>
  <c r="W129" i="7"/>
  <c r="V129" i="7"/>
  <c r="T129" i="7"/>
  <c r="S129" i="7"/>
  <c r="R129" i="7"/>
  <c r="Q129" i="7"/>
  <c r="P129" i="7"/>
  <c r="O129" i="7"/>
  <c r="N129" i="7"/>
  <c r="M129" i="7"/>
  <c r="L129" i="7"/>
  <c r="K129" i="7"/>
  <c r="J129" i="7"/>
  <c r="I129" i="7"/>
  <c r="H129" i="7"/>
  <c r="G129" i="7"/>
  <c r="F129" i="7"/>
  <c r="E129" i="7"/>
  <c r="D129" i="7"/>
  <c r="C129" i="7"/>
  <c r="B129" i="7"/>
  <c r="AJ128" i="7"/>
  <c r="AI128" i="7"/>
  <c r="AH128" i="7"/>
  <c r="AG128" i="7"/>
  <c r="AF128" i="7"/>
  <c r="AE128" i="7"/>
  <c r="AD128" i="7"/>
  <c r="Y128" i="7"/>
  <c r="U128" i="7"/>
  <c r="T128" i="7"/>
  <c r="S128" i="7"/>
  <c r="R128" i="7"/>
  <c r="Q128" i="7"/>
  <c r="P128" i="7"/>
  <c r="O128" i="7"/>
  <c r="N128" i="7"/>
  <c r="M128" i="7"/>
  <c r="L128" i="7"/>
  <c r="K128" i="7"/>
  <c r="J128" i="7"/>
  <c r="I128" i="7"/>
  <c r="H128" i="7"/>
  <c r="G128" i="7"/>
  <c r="F128" i="7"/>
  <c r="E128" i="7"/>
  <c r="D128" i="7"/>
  <c r="C128" i="7"/>
  <c r="B128" i="7"/>
  <c r="AJ127" i="7"/>
  <c r="AI127" i="7"/>
  <c r="AH127" i="7"/>
  <c r="AG127" i="7"/>
  <c r="AF127" i="7"/>
  <c r="AE127" i="7"/>
  <c r="AD127" i="7"/>
  <c r="Y127" i="7"/>
  <c r="T127" i="7"/>
  <c r="S127" i="7"/>
  <c r="R127" i="7"/>
  <c r="Q127" i="7"/>
  <c r="P127" i="7"/>
  <c r="O127" i="7"/>
  <c r="N127" i="7"/>
  <c r="M127" i="7"/>
  <c r="L127" i="7"/>
  <c r="K127" i="7"/>
  <c r="J127" i="7"/>
  <c r="I127" i="7"/>
  <c r="H127" i="7"/>
  <c r="G127" i="7"/>
  <c r="F127" i="7"/>
  <c r="E127" i="7"/>
  <c r="D127" i="7"/>
  <c r="C127" i="7"/>
  <c r="B127" i="7"/>
  <c r="AJ126" i="7"/>
  <c r="AI126" i="7"/>
  <c r="AH126" i="7"/>
  <c r="AG126" i="7"/>
  <c r="AF126" i="7"/>
  <c r="AE126" i="7"/>
  <c r="AD126" i="7"/>
  <c r="AB126" i="7"/>
  <c r="AA126" i="7"/>
  <c r="Z126" i="7"/>
  <c r="Y126" i="7"/>
  <c r="V126" i="7"/>
  <c r="T126" i="7"/>
  <c r="S126" i="7"/>
  <c r="R126" i="7"/>
  <c r="Q126" i="7"/>
  <c r="P126" i="7"/>
  <c r="O126" i="7"/>
  <c r="N126" i="7"/>
  <c r="M126" i="7"/>
  <c r="L126" i="7"/>
  <c r="K126" i="7"/>
  <c r="J126" i="7"/>
  <c r="I126" i="7"/>
  <c r="H126" i="7"/>
  <c r="G126" i="7"/>
  <c r="F126" i="7"/>
  <c r="E126" i="7"/>
  <c r="D126" i="7"/>
  <c r="C126" i="7"/>
  <c r="B126" i="7"/>
  <c r="AJ125" i="7"/>
  <c r="AI125" i="7"/>
  <c r="AH125" i="7"/>
  <c r="AG125" i="7"/>
  <c r="AF125" i="7"/>
  <c r="AE125" i="7"/>
  <c r="AD125" i="7"/>
  <c r="AA125" i="7"/>
  <c r="Z125" i="7"/>
  <c r="X125" i="7"/>
  <c r="T125" i="7"/>
  <c r="S125" i="7"/>
  <c r="R125" i="7"/>
  <c r="Q125" i="7"/>
  <c r="P125" i="7"/>
  <c r="O125" i="7"/>
  <c r="N125" i="7"/>
  <c r="M125" i="7"/>
  <c r="L125" i="7"/>
  <c r="K125" i="7"/>
  <c r="J125" i="7"/>
  <c r="I125" i="7"/>
  <c r="H125" i="7"/>
  <c r="G125" i="7"/>
  <c r="F125" i="7"/>
  <c r="E125" i="7"/>
  <c r="D125" i="7"/>
  <c r="C125" i="7"/>
  <c r="B125" i="7"/>
  <c r="AJ124" i="7"/>
  <c r="AI124" i="7"/>
  <c r="AH124" i="7"/>
  <c r="AG124" i="7"/>
  <c r="AF124" i="7"/>
  <c r="AE124" i="7"/>
  <c r="AD124" i="7"/>
  <c r="W124" i="7"/>
  <c r="T124" i="7"/>
  <c r="S124" i="7"/>
  <c r="R124" i="7"/>
  <c r="Q124" i="7"/>
  <c r="P124" i="7"/>
  <c r="O124" i="7"/>
  <c r="N124" i="7"/>
  <c r="M124" i="7"/>
  <c r="L124" i="7"/>
  <c r="K124" i="7"/>
  <c r="J124" i="7"/>
  <c r="I124" i="7"/>
  <c r="H124" i="7"/>
  <c r="G124" i="7"/>
  <c r="F124" i="7"/>
  <c r="E124" i="7"/>
  <c r="D124" i="7"/>
  <c r="C124" i="7"/>
  <c r="B124" i="7"/>
  <c r="AJ123" i="7"/>
  <c r="AI123" i="7"/>
  <c r="AH123" i="7"/>
  <c r="AG123" i="7"/>
  <c r="AF123" i="7"/>
  <c r="AE123" i="7"/>
  <c r="AD123" i="7"/>
  <c r="Y123" i="7"/>
  <c r="X123" i="7"/>
  <c r="V123" i="7"/>
  <c r="T123" i="7"/>
  <c r="S123" i="7"/>
  <c r="R123" i="7"/>
  <c r="Q123" i="7"/>
  <c r="P123" i="7"/>
  <c r="O123" i="7"/>
  <c r="N123" i="7"/>
  <c r="M123" i="7"/>
  <c r="L123" i="7"/>
  <c r="K123" i="7"/>
  <c r="J123" i="7"/>
  <c r="I123" i="7"/>
  <c r="H123" i="7"/>
  <c r="G123" i="7"/>
  <c r="F123" i="7"/>
  <c r="E123" i="7"/>
  <c r="D123" i="7"/>
  <c r="C123" i="7"/>
  <c r="B123" i="7"/>
  <c r="AJ122" i="7"/>
  <c r="AI122" i="7"/>
  <c r="AH122" i="7"/>
  <c r="AG122" i="7"/>
  <c r="AF122" i="7"/>
  <c r="AE122" i="7"/>
  <c r="AD122" i="7"/>
  <c r="AB122" i="7"/>
  <c r="W122" i="7"/>
  <c r="T122" i="7"/>
  <c r="S122" i="7"/>
  <c r="R122" i="7"/>
  <c r="Q122" i="7"/>
  <c r="P122" i="7"/>
  <c r="O122" i="7"/>
  <c r="N122" i="7"/>
  <c r="M122" i="7"/>
  <c r="L122" i="7"/>
  <c r="K122" i="7"/>
  <c r="J122" i="7"/>
  <c r="I122" i="7"/>
  <c r="H122" i="7"/>
  <c r="G122" i="7"/>
  <c r="F122" i="7"/>
  <c r="E122" i="7"/>
  <c r="D122" i="7"/>
  <c r="C122" i="7"/>
  <c r="B122" i="7"/>
  <c r="AJ121" i="7"/>
  <c r="AI121" i="7"/>
  <c r="AH121" i="7"/>
  <c r="AG121" i="7"/>
  <c r="AF121" i="7"/>
  <c r="AE121" i="7"/>
  <c r="AD121" i="7"/>
  <c r="AB121" i="7"/>
  <c r="Z121" i="7"/>
  <c r="Y121" i="7"/>
  <c r="T121" i="7"/>
  <c r="S121" i="7"/>
  <c r="R121" i="7"/>
  <c r="Q121" i="7"/>
  <c r="P121" i="7"/>
  <c r="O121" i="7"/>
  <c r="N121" i="7"/>
  <c r="M121" i="7"/>
  <c r="L121" i="7"/>
  <c r="K121" i="7"/>
  <c r="J121" i="7"/>
  <c r="I121" i="7"/>
  <c r="H121" i="7"/>
  <c r="G121" i="7"/>
  <c r="F121" i="7"/>
  <c r="E121" i="7"/>
  <c r="D121" i="7"/>
  <c r="C121" i="7"/>
  <c r="B121" i="7"/>
  <c r="AJ120" i="7"/>
  <c r="AI120" i="7"/>
  <c r="AH120" i="7"/>
  <c r="AG120" i="7"/>
  <c r="AF120" i="7"/>
  <c r="AE120" i="7"/>
  <c r="T120" i="7"/>
  <c r="S120" i="7"/>
  <c r="R120" i="7"/>
  <c r="Q120" i="7"/>
  <c r="P120" i="7"/>
  <c r="O120" i="7"/>
  <c r="N120" i="7"/>
  <c r="M120" i="7"/>
  <c r="L120" i="7"/>
  <c r="K120" i="7"/>
  <c r="J120" i="7"/>
  <c r="I120" i="7"/>
  <c r="H120" i="7"/>
  <c r="G120" i="7"/>
  <c r="F120" i="7"/>
  <c r="E120" i="7"/>
  <c r="D120" i="7"/>
  <c r="C120" i="7"/>
  <c r="B120" i="7"/>
  <c r="AJ119" i="7"/>
  <c r="AI119" i="7"/>
  <c r="AH119" i="7"/>
  <c r="AG119" i="7"/>
  <c r="AF119" i="7"/>
  <c r="AE119" i="7"/>
  <c r="AD119" i="7"/>
  <c r="AB119" i="7"/>
  <c r="Y119" i="7"/>
  <c r="T119" i="7"/>
  <c r="S119" i="7"/>
  <c r="R119" i="7"/>
  <c r="Q119" i="7"/>
  <c r="P119" i="7"/>
  <c r="O119" i="7"/>
  <c r="N119" i="7"/>
  <c r="M119" i="7"/>
  <c r="L119" i="7"/>
  <c r="K119" i="7"/>
  <c r="J119" i="7"/>
  <c r="I119" i="7"/>
  <c r="H119" i="7"/>
  <c r="G119" i="7"/>
  <c r="F119" i="7"/>
  <c r="E119" i="7"/>
  <c r="D119" i="7"/>
  <c r="C119" i="7"/>
  <c r="B119" i="7"/>
  <c r="AJ118" i="7"/>
  <c r="AI118" i="7"/>
  <c r="AH118" i="7"/>
  <c r="AG118" i="7"/>
  <c r="AF118" i="7"/>
  <c r="AE118" i="7"/>
  <c r="AD118" i="7"/>
  <c r="Y118" i="7"/>
  <c r="T118" i="7"/>
  <c r="S118" i="7"/>
  <c r="R118" i="7"/>
  <c r="Q118" i="7"/>
  <c r="P118" i="7"/>
  <c r="O118" i="7"/>
  <c r="N118" i="7"/>
  <c r="M118" i="7"/>
  <c r="L118" i="7"/>
  <c r="K118" i="7"/>
  <c r="J118" i="7"/>
  <c r="I118" i="7"/>
  <c r="H118" i="7"/>
  <c r="G118" i="7"/>
  <c r="F118" i="7"/>
  <c r="E118" i="7"/>
  <c r="D118" i="7"/>
  <c r="C118" i="7"/>
  <c r="B118" i="7"/>
  <c r="AJ117" i="7"/>
  <c r="AI117" i="7"/>
  <c r="AH117" i="7"/>
  <c r="AG117" i="7"/>
  <c r="AF117" i="7"/>
  <c r="AE117" i="7"/>
  <c r="AD117" i="7"/>
  <c r="AB117" i="7"/>
  <c r="AA117" i="7"/>
  <c r="Z117" i="7"/>
  <c r="W117" i="7"/>
  <c r="T117" i="7"/>
  <c r="S117" i="7"/>
  <c r="R117" i="7"/>
  <c r="Q117" i="7"/>
  <c r="P117" i="7"/>
  <c r="O117" i="7"/>
  <c r="N117" i="7"/>
  <c r="M117" i="7"/>
  <c r="L117" i="7"/>
  <c r="K117" i="7"/>
  <c r="J117" i="7"/>
  <c r="I117" i="7"/>
  <c r="H117" i="7"/>
  <c r="G117" i="7"/>
  <c r="F117" i="7"/>
  <c r="E117" i="7"/>
  <c r="D117" i="7"/>
  <c r="C117" i="7"/>
  <c r="B117" i="7"/>
  <c r="AJ116" i="7"/>
  <c r="AI116" i="7"/>
  <c r="AH116" i="7"/>
  <c r="AG116" i="7"/>
  <c r="AF116" i="7"/>
  <c r="AE116" i="7"/>
  <c r="AD116" i="7"/>
  <c r="Y116" i="7"/>
  <c r="T116" i="7"/>
  <c r="S116" i="7"/>
  <c r="R116" i="7"/>
  <c r="Q116" i="7"/>
  <c r="P116" i="7"/>
  <c r="O116" i="7"/>
  <c r="N116" i="7"/>
  <c r="M116" i="7"/>
  <c r="L116" i="7"/>
  <c r="K116" i="7"/>
  <c r="J116" i="7"/>
  <c r="I116" i="7"/>
  <c r="H116" i="7"/>
  <c r="G116" i="7"/>
  <c r="F116" i="7"/>
  <c r="E116" i="7"/>
  <c r="D116" i="7"/>
  <c r="C116" i="7"/>
  <c r="B116" i="7"/>
  <c r="AJ115" i="7"/>
  <c r="AI115" i="7"/>
  <c r="AH115" i="7"/>
  <c r="AG115" i="7"/>
  <c r="AF115" i="7"/>
  <c r="AE115" i="7"/>
  <c r="AD115" i="7"/>
  <c r="AA115" i="7"/>
  <c r="Y115" i="7"/>
  <c r="X115" i="7"/>
  <c r="T115" i="7"/>
  <c r="S115" i="7"/>
  <c r="R115" i="7"/>
  <c r="Q115" i="7"/>
  <c r="P115" i="7"/>
  <c r="O115" i="7"/>
  <c r="N115" i="7"/>
  <c r="M115" i="7"/>
  <c r="L115" i="7"/>
  <c r="K115" i="7"/>
  <c r="J115" i="7"/>
  <c r="I115" i="7"/>
  <c r="H115" i="7"/>
  <c r="G115" i="7"/>
  <c r="F115" i="7"/>
  <c r="E115" i="7"/>
  <c r="D115" i="7"/>
  <c r="C115" i="7"/>
  <c r="B115" i="7"/>
  <c r="AJ114" i="7"/>
  <c r="AI114" i="7"/>
  <c r="AH114" i="7"/>
  <c r="AG114" i="7"/>
  <c r="AF114" i="7"/>
  <c r="AE114" i="7"/>
  <c r="AD114" i="7"/>
  <c r="T114" i="7"/>
  <c r="S114" i="7"/>
  <c r="R114" i="7"/>
  <c r="Q114" i="7"/>
  <c r="P114" i="7"/>
  <c r="O114" i="7"/>
  <c r="N114" i="7"/>
  <c r="M114" i="7"/>
  <c r="L114" i="7"/>
  <c r="K114" i="7"/>
  <c r="J114" i="7"/>
  <c r="I114" i="7"/>
  <c r="H114" i="7"/>
  <c r="G114" i="7"/>
  <c r="F114" i="7"/>
  <c r="E114" i="7"/>
  <c r="D114" i="7"/>
  <c r="C114" i="7"/>
  <c r="B114" i="7"/>
  <c r="AJ113" i="7"/>
  <c r="AI113" i="7"/>
  <c r="AH113" i="7"/>
  <c r="AG113" i="7"/>
  <c r="AF113" i="7"/>
  <c r="AE113" i="7"/>
  <c r="AD113" i="7"/>
  <c r="Z113" i="7"/>
  <c r="Y113" i="7"/>
  <c r="X113" i="7"/>
  <c r="V113" i="7"/>
  <c r="T113" i="7"/>
  <c r="S113" i="7"/>
  <c r="R113" i="7"/>
  <c r="Q113" i="7"/>
  <c r="P113" i="7"/>
  <c r="O113" i="7"/>
  <c r="N113" i="7"/>
  <c r="M113" i="7"/>
  <c r="L113" i="7"/>
  <c r="K113" i="7"/>
  <c r="J113" i="7"/>
  <c r="I113" i="7"/>
  <c r="H113" i="7"/>
  <c r="G113" i="7"/>
  <c r="F113" i="7"/>
  <c r="E113" i="7"/>
  <c r="D113" i="7"/>
  <c r="C113" i="7"/>
  <c r="B113" i="7"/>
  <c r="AJ112" i="7"/>
  <c r="AI112" i="7"/>
  <c r="AH112" i="7"/>
  <c r="AG112" i="7"/>
  <c r="AF112" i="7"/>
  <c r="AE112" i="7"/>
  <c r="AD112" i="7"/>
  <c r="AC112" i="7"/>
  <c r="AA112" i="7"/>
  <c r="Y112" i="7"/>
  <c r="T112" i="7"/>
  <c r="S112" i="7"/>
  <c r="R112" i="7"/>
  <c r="Q112" i="7"/>
  <c r="P112" i="7"/>
  <c r="O112" i="7"/>
  <c r="N112" i="7"/>
  <c r="M112" i="7"/>
  <c r="L112" i="7"/>
  <c r="K112" i="7"/>
  <c r="J112" i="7"/>
  <c r="I112" i="7"/>
  <c r="H112" i="7"/>
  <c r="G112" i="7"/>
  <c r="F112" i="7"/>
  <c r="E112" i="7"/>
  <c r="D112" i="7"/>
  <c r="C112" i="7"/>
  <c r="B112" i="7"/>
  <c r="AJ111" i="7"/>
  <c r="AI111" i="7"/>
  <c r="AH111" i="7"/>
  <c r="AG111" i="7"/>
  <c r="AF111" i="7"/>
  <c r="AE111" i="7"/>
  <c r="AD111" i="7"/>
  <c r="V111" i="7"/>
  <c r="T111" i="7"/>
  <c r="S111" i="7"/>
  <c r="R111" i="7"/>
  <c r="Q111" i="7"/>
  <c r="P111" i="7"/>
  <c r="O111" i="7"/>
  <c r="N111" i="7"/>
  <c r="M111" i="7"/>
  <c r="L111" i="7"/>
  <c r="K111" i="7"/>
  <c r="J111" i="7"/>
  <c r="I111" i="7"/>
  <c r="H111" i="7"/>
  <c r="G111" i="7"/>
  <c r="F111" i="7"/>
  <c r="E111" i="7"/>
  <c r="D111" i="7"/>
  <c r="C111" i="7"/>
  <c r="B111" i="7"/>
  <c r="AJ110" i="7"/>
  <c r="AI110" i="7"/>
  <c r="AH110" i="7"/>
  <c r="AG110" i="7"/>
  <c r="AF110" i="7"/>
  <c r="AE110" i="7"/>
  <c r="AD110" i="7"/>
  <c r="AB110" i="7"/>
  <c r="AA110" i="7"/>
  <c r="T110" i="7"/>
  <c r="S110" i="7"/>
  <c r="R110" i="7"/>
  <c r="Q110" i="7"/>
  <c r="P110" i="7"/>
  <c r="O110" i="7"/>
  <c r="N110" i="7"/>
  <c r="M110" i="7"/>
  <c r="L110" i="7"/>
  <c r="K110" i="7"/>
  <c r="J110" i="7"/>
  <c r="I110" i="7"/>
  <c r="H110" i="7"/>
  <c r="G110" i="7"/>
  <c r="F110" i="7"/>
  <c r="E110" i="7"/>
  <c r="D110" i="7"/>
  <c r="C110" i="7"/>
  <c r="B110" i="7"/>
  <c r="AJ109" i="7"/>
  <c r="AI109" i="7"/>
  <c r="AH109" i="7"/>
  <c r="AG109" i="7"/>
  <c r="AF109" i="7"/>
  <c r="AE109" i="7"/>
  <c r="AD109" i="7"/>
  <c r="T109" i="7"/>
  <c r="S109" i="7"/>
  <c r="R109" i="7"/>
  <c r="Q109" i="7"/>
  <c r="P109" i="7"/>
  <c r="O109" i="7"/>
  <c r="N109" i="7"/>
  <c r="M109" i="7"/>
  <c r="L109" i="7"/>
  <c r="K109" i="7"/>
  <c r="J109" i="7"/>
  <c r="I109" i="7"/>
  <c r="H109" i="7"/>
  <c r="G109" i="7"/>
  <c r="F109" i="7"/>
  <c r="E109" i="7"/>
  <c r="D109" i="7"/>
  <c r="C109" i="7"/>
  <c r="B109" i="7"/>
  <c r="AJ108" i="7"/>
  <c r="AI108" i="7"/>
  <c r="AH108" i="7"/>
  <c r="AG108" i="7"/>
  <c r="AF108" i="7"/>
  <c r="AE108" i="7"/>
  <c r="AD108" i="7"/>
  <c r="AB108" i="7"/>
  <c r="T108" i="7"/>
  <c r="S108" i="7"/>
  <c r="R108" i="7"/>
  <c r="Q108" i="7"/>
  <c r="P108" i="7"/>
  <c r="O108" i="7"/>
  <c r="N108" i="7"/>
  <c r="M108" i="7"/>
  <c r="L108" i="7"/>
  <c r="K108" i="7"/>
  <c r="J108" i="7"/>
  <c r="I108" i="7"/>
  <c r="H108" i="7"/>
  <c r="G108" i="7"/>
  <c r="F108" i="7"/>
  <c r="E108" i="7"/>
  <c r="D108" i="7"/>
  <c r="C108" i="7"/>
  <c r="B108" i="7"/>
  <c r="AJ107" i="7"/>
  <c r="AI107" i="7"/>
  <c r="AH107" i="7"/>
  <c r="AG107" i="7"/>
  <c r="AF107" i="7"/>
  <c r="AE107" i="7"/>
  <c r="AD107" i="7"/>
  <c r="AA107" i="7"/>
  <c r="Z107" i="7"/>
  <c r="W107" i="7"/>
  <c r="S107" i="7"/>
  <c r="R107" i="7"/>
  <c r="Q107" i="7"/>
  <c r="P107" i="7"/>
  <c r="O107" i="7"/>
  <c r="N107" i="7"/>
  <c r="M107" i="7"/>
  <c r="L107" i="7"/>
  <c r="K107" i="7"/>
  <c r="J107" i="7"/>
  <c r="I107" i="7"/>
  <c r="H107" i="7"/>
  <c r="G107" i="7"/>
  <c r="F107" i="7"/>
  <c r="E107" i="7"/>
  <c r="D107" i="7"/>
  <c r="C107" i="7"/>
  <c r="B107" i="7"/>
  <c r="AJ106" i="7"/>
  <c r="AI106" i="7"/>
  <c r="AH106" i="7"/>
  <c r="AG106" i="7"/>
  <c r="AF106" i="7"/>
  <c r="AE106" i="7"/>
  <c r="AB106" i="7"/>
  <c r="T106" i="7"/>
  <c r="S106" i="7"/>
  <c r="R106" i="7"/>
  <c r="Q106" i="7"/>
  <c r="P106" i="7"/>
  <c r="O106" i="7"/>
  <c r="N106" i="7"/>
  <c r="M106" i="7"/>
  <c r="L106" i="7"/>
  <c r="K106" i="7"/>
  <c r="J106" i="7"/>
  <c r="I106" i="7"/>
  <c r="H106" i="7"/>
  <c r="G106" i="7"/>
  <c r="F106" i="7"/>
  <c r="E106" i="7"/>
  <c r="D106" i="7"/>
  <c r="C106" i="7"/>
  <c r="B106" i="7"/>
  <c r="AJ105" i="7"/>
  <c r="AI105" i="7"/>
  <c r="AH105" i="7"/>
  <c r="AG105" i="7"/>
  <c r="AF105" i="7"/>
  <c r="AE105" i="7"/>
  <c r="AD105" i="7"/>
  <c r="AC105" i="7"/>
  <c r="T105" i="7"/>
  <c r="S105" i="7"/>
  <c r="R105" i="7"/>
  <c r="Q105" i="7"/>
  <c r="P105" i="7"/>
  <c r="O105" i="7"/>
  <c r="N105" i="7"/>
  <c r="M105" i="7"/>
  <c r="L105" i="7"/>
  <c r="K105" i="7"/>
  <c r="J105" i="7"/>
  <c r="I105" i="7"/>
  <c r="H105" i="7"/>
  <c r="G105" i="7"/>
  <c r="F105" i="7"/>
  <c r="E105" i="7"/>
  <c r="D105" i="7"/>
  <c r="C105" i="7"/>
  <c r="B105" i="7"/>
  <c r="AJ104" i="7"/>
  <c r="AI104" i="7"/>
  <c r="AH104" i="7"/>
  <c r="AG104" i="7"/>
  <c r="AF104" i="7"/>
  <c r="AE104" i="7"/>
  <c r="AD104" i="7"/>
  <c r="Z104" i="7"/>
  <c r="X104" i="7"/>
  <c r="T104" i="7"/>
  <c r="S104" i="7"/>
  <c r="R104" i="7"/>
  <c r="Q104" i="7"/>
  <c r="P104" i="7"/>
  <c r="O104" i="7"/>
  <c r="N104" i="7"/>
  <c r="M104" i="7"/>
  <c r="L104" i="7"/>
  <c r="K104" i="7"/>
  <c r="J104" i="7"/>
  <c r="I104" i="7"/>
  <c r="H104" i="7"/>
  <c r="G104" i="7"/>
  <c r="F104" i="7"/>
  <c r="E104" i="7"/>
  <c r="D104" i="7"/>
  <c r="C104" i="7"/>
  <c r="B104" i="7"/>
  <c r="AJ103" i="7"/>
  <c r="AI103" i="7"/>
  <c r="AH103" i="7"/>
  <c r="AG103" i="7"/>
  <c r="AF103" i="7"/>
  <c r="AE103" i="7"/>
  <c r="AD103" i="7"/>
  <c r="AB103" i="7"/>
  <c r="AA103" i="7"/>
  <c r="T103" i="7"/>
  <c r="S103" i="7"/>
  <c r="R103" i="7"/>
  <c r="Q103" i="7"/>
  <c r="P103" i="7"/>
  <c r="O103" i="7"/>
  <c r="N103" i="7"/>
  <c r="M103" i="7"/>
  <c r="L103" i="7"/>
  <c r="K103" i="7"/>
  <c r="J103" i="7"/>
  <c r="I103" i="7"/>
  <c r="H103" i="7"/>
  <c r="G103" i="7"/>
  <c r="F103" i="7"/>
  <c r="E103" i="7"/>
  <c r="D103" i="7"/>
  <c r="C103" i="7"/>
  <c r="B103" i="7"/>
  <c r="AJ102" i="7"/>
  <c r="AI102" i="7"/>
  <c r="AH102" i="7"/>
  <c r="AG102" i="7"/>
  <c r="AF102" i="7"/>
  <c r="AE102" i="7"/>
  <c r="AD102" i="7"/>
  <c r="Z102" i="7"/>
  <c r="T102" i="7"/>
  <c r="S102" i="7"/>
  <c r="R102" i="7"/>
  <c r="Q102" i="7"/>
  <c r="P102" i="7"/>
  <c r="O102" i="7"/>
  <c r="N102" i="7"/>
  <c r="M102" i="7"/>
  <c r="L102" i="7"/>
  <c r="K102" i="7"/>
  <c r="J102" i="7"/>
  <c r="I102" i="7"/>
  <c r="H102" i="7"/>
  <c r="G102" i="7"/>
  <c r="F102" i="7"/>
  <c r="E102" i="7"/>
  <c r="D102" i="7"/>
  <c r="C102" i="7"/>
  <c r="B102" i="7"/>
  <c r="AJ101" i="7"/>
  <c r="AI101" i="7"/>
  <c r="AH101" i="7"/>
  <c r="AG101" i="7"/>
  <c r="AF101" i="7"/>
  <c r="AE101" i="7"/>
  <c r="AD101" i="7"/>
  <c r="AB101" i="7"/>
  <c r="Y101" i="7"/>
  <c r="T101" i="7"/>
  <c r="S101" i="7"/>
  <c r="R101" i="7"/>
  <c r="Q101" i="7"/>
  <c r="P101" i="7"/>
  <c r="O101" i="7"/>
  <c r="N101" i="7"/>
  <c r="M101" i="7"/>
  <c r="L101" i="7"/>
  <c r="K101" i="7"/>
  <c r="J101" i="7"/>
  <c r="I101" i="7"/>
  <c r="H101" i="7"/>
  <c r="G101" i="7"/>
  <c r="F101" i="7"/>
  <c r="E101" i="7"/>
  <c r="D101" i="7"/>
  <c r="C101" i="7"/>
  <c r="B101" i="7"/>
  <c r="AJ100" i="7"/>
  <c r="AI100" i="7"/>
  <c r="AH100" i="7"/>
  <c r="AG100" i="7"/>
  <c r="AF100" i="7"/>
  <c r="AE100" i="7"/>
  <c r="AD100" i="7"/>
  <c r="Z100" i="7"/>
  <c r="Y100" i="7"/>
  <c r="T100" i="7"/>
  <c r="S100" i="7"/>
  <c r="R100" i="7"/>
  <c r="Q100" i="7"/>
  <c r="P100" i="7"/>
  <c r="O100" i="7"/>
  <c r="N100" i="7"/>
  <c r="M100" i="7"/>
  <c r="L100" i="7"/>
  <c r="K100" i="7"/>
  <c r="J100" i="7"/>
  <c r="I100" i="7"/>
  <c r="H100" i="7"/>
  <c r="G100" i="7"/>
  <c r="F100" i="7"/>
  <c r="E100" i="7"/>
  <c r="D100" i="7"/>
  <c r="C100" i="7"/>
  <c r="B100" i="7"/>
  <c r="AJ99" i="7"/>
  <c r="AI99" i="7"/>
  <c r="AH99" i="7"/>
  <c r="AG99" i="7"/>
  <c r="AF99" i="7"/>
  <c r="AE99" i="7"/>
  <c r="AD99" i="7"/>
  <c r="AB99" i="7"/>
  <c r="AA99" i="7"/>
  <c r="Y99" i="7"/>
  <c r="S99" i="7"/>
  <c r="R99" i="7"/>
  <c r="Q99" i="7"/>
  <c r="P99" i="7"/>
  <c r="O99" i="7"/>
  <c r="N99" i="7"/>
  <c r="M99" i="7"/>
  <c r="L99" i="7"/>
  <c r="K99" i="7"/>
  <c r="J99" i="7"/>
  <c r="I99" i="7"/>
  <c r="H99" i="7"/>
  <c r="G99" i="7"/>
  <c r="F99" i="7"/>
  <c r="E99" i="7"/>
  <c r="D99" i="7"/>
  <c r="C99" i="7"/>
  <c r="B99" i="7"/>
  <c r="AJ98" i="7"/>
  <c r="AI98" i="7"/>
  <c r="AH98" i="7"/>
  <c r="AG98" i="7"/>
  <c r="AF98" i="7"/>
  <c r="AE98" i="7"/>
  <c r="AD98" i="7"/>
  <c r="Y98" i="7"/>
  <c r="V98" i="7"/>
  <c r="T98" i="7"/>
  <c r="S98" i="7"/>
  <c r="R98" i="7"/>
  <c r="Q98" i="7"/>
  <c r="P98" i="7"/>
  <c r="O98" i="7"/>
  <c r="N98" i="7"/>
  <c r="M98" i="7"/>
  <c r="L98" i="7"/>
  <c r="K98" i="7"/>
  <c r="J98" i="7"/>
  <c r="I98" i="7"/>
  <c r="H98" i="7"/>
  <c r="G98" i="7"/>
  <c r="F98" i="7"/>
  <c r="E98" i="7"/>
  <c r="D98" i="7"/>
  <c r="C98" i="7"/>
  <c r="B98" i="7"/>
  <c r="AJ97" i="7"/>
  <c r="AI97" i="7"/>
  <c r="AH97" i="7"/>
  <c r="AG97" i="7"/>
  <c r="AF97" i="7"/>
  <c r="AE97" i="7"/>
  <c r="AD97" i="7"/>
  <c r="AC97" i="7"/>
  <c r="AB97" i="7"/>
  <c r="AA97" i="7"/>
  <c r="W97" i="7"/>
  <c r="V97" i="7"/>
  <c r="T97" i="7"/>
  <c r="S97" i="7"/>
  <c r="R97" i="7"/>
  <c r="Q97" i="7"/>
  <c r="P97" i="7"/>
  <c r="O97" i="7"/>
  <c r="N97" i="7"/>
  <c r="M97" i="7"/>
  <c r="L97" i="7"/>
  <c r="K97" i="7"/>
  <c r="J97" i="7"/>
  <c r="I97" i="7"/>
  <c r="H97" i="7"/>
  <c r="G97" i="7"/>
  <c r="F97" i="7"/>
  <c r="E97" i="7"/>
  <c r="D97" i="7"/>
  <c r="C97" i="7"/>
  <c r="B97" i="7"/>
  <c r="AJ96" i="7"/>
  <c r="AI96" i="7"/>
  <c r="AH96" i="7"/>
  <c r="AG96" i="7"/>
  <c r="AF96" i="7"/>
  <c r="AE96" i="7"/>
  <c r="AD96" i="7"/>
  <c r="T96" i="7"/>
  <c r="S96" i="7"/>
  <c r="R96" i="7"/>
  <c r="Q96" i="7"/>
  <c r="P96" i="7"/>
  <c r="O96" i="7"/>
  <c r="N96" i="7"/>
  <c r="M96" i="7"/>
  <c r="L96" i="7"/>
  <c r="K96" i="7"/>
  <c r="J96" i="7"/>
  <c r="I96" i="7"/>
  <c r="H96" i="7"/>
  <c r="G96" i="7"/>
  <c r="F96" i="7"/>
  <c r="E96" i="7"/>
  <c r="D96" i="7"/>
  <c r="C96" i="7"/>
  <c r="B96" i="7"/>
  <c r="AJ95" i="7"/>
  <c r="AI95" i="7"/>
  <c r="AH95" i="7"/>
  <c r="AG95" i="7"/>
  <c r="AF95" i="7"/>
  <c r="AE95" i="7"/>
  <c r="AD95" i="7"/>
  <c r="AC95" i="7"/>
  <c r="AB95" i="7"/>
  <c r="V95" i="7"/>
  <c r="T95" i="7"/>
  <c r="S95" i="7"/>
  <c r="R95" i="7"/>
  <c r="Q95" i="7"/>
  <c r="P95" i="7"/>
  <c r="O95" i="7"/>
  <c r="N95" i="7"/>
  <c r="M95" i="7"/>
  <c r="L95" i="7"/>
  <c r="K95" i="7"/>
  <c r="J95" i="7"/>
  <c r="I95" i="7"/>
  <c r="H95" i="7"/>
  <c r="G95" i="7"/>
  <c r="F95" i="7"/>
  <c r="E95" i="7"/>
  <c r="D95" i="7"/>
  <c r="C95" i="7"/>
  <c r="B95" i="7"/>
  <c r="AJ94" i="7"/>
  <c r="AI94" i="7"/>
  <c r="AH94" i="7"/>
  <c r="AG94" i="7"/>
  <c r="AF94" i="7"/>
  <c r="AE94" i="7"/>
  <c r="AD94" i="7"/>
  <c r="AC94" i="7"/>
  <c r="AA94" i="7"/>
  <c r="Z94" i="7"/>
  <c r="T94" i="7"/>
  <c r="S94" i="7"/>
  <c r="R94" i="7"/>
  <c r="Q94" i="7"/>
  <c r="P94" i="7"/>
  <c r="O94" i="7"/>
  <c r="N94" i="7"/>
  <c r="M94" i="7"/>
  <c r="L94" i="7"/>
  <c r="K94" i="7"/>
  <c r="J94" i="7"/>
  <c r="I94" i="7"/>
  <c r="H94" i="7"/>
  <c r="G94" i="7"/>
  <c r="F94" i="7"/>
  <c r="E94" i="7"/>
  <c r="D94" i="7"/>
  <c r="C94" i="7"/>
  <c r="B94" i="7"/>
  <c r="AJ93" i="7"/>
  <c r="AI93" i="7"/>
  <c r="AH93" i="7"/>
  <c r="AG93" i="7"/>
  <c r="AF93" i="7"/>
  <c r="AE93" i="7"/>
  <c r="AD93" i="7"/>
  <c r="Y93" i="7"/>
  <c r="V93" i="7"/>
  <c r="T93" i="7"/>
  <c r="S93" i="7"/>
  <c r="R93" i="7"/>
  <c r="Q93" i="7"/>
  <c r="P93" i="7"/>
  <c r="O93" i="7"/>
  <c r="N93" i="7"/>
  <c r="M93" i="7"/>
  <c r="L93" i="7"/>
  <c r="K93" i="7"/>
  <c r="J93" i="7"/>
  <c r="I93" i="7"/>
  <c r="H93" i="7"/>
  <c r="G93" i="7"/>
  <c r="F93" i="7"/>
  <c r="E93" i="7"/>
  <c r="D93" i="7"/>
  <c r="C93" i="7"/>
  <c r="B93" i="7"/>
  <c r="AJ92" i="7"/>
  <c r="AI92" i="7"/>
  <c r="AH92" i="7"/>
  <c r="AG92" i="7"/>
  <c r="AF92" i="7"/>
  <c r="AE92" i="7"/>
  <c r="AB92" i="7"/>
  <c r="T92" i="7"/>
  <c r="S92" i="7"/>
  <c r="R92" i="7"/>
  <c r="Q92" i="7"/>
  <c r="P92" i="7"/>
  <c r="O92" i="7"/>
  <c r="N92" i="7"/>
  <c r="M92" i="7"/>
  <c r="L92" i="7"/>
  <c r="K92" i="7"/>
  <c r="J92" i="7"/>
  <c r="I92" i="7"/>
  <c r="H92" i="7"/>
  <c r="G92" i="7"/>
  <c r="F92" i="7"/>
  <c r="E92" i="7"/>
  <c r="D92" i="7"/>
  <c r="C92" i="7"/>
  <c r="B92" i="7"/>
  <c r="AJ91" i="7"/>
  <c r="AI91" i="7"/>
  <c r="AH91" i="7"/>
  <c r="AG91" i="7"/>
  <c r="AF91" i="7"/>
  <c r="AE91" i="7"/>
  <c r="AD91" i="7"/>
  <c r="Y91" i="7"/>
  <c r="T91" i="7"/>
  <c r="S91" i="7"/>
  <c r="R91" i="7"/>
  <c r="Q91" i="7"/>
  <c r="P91" i="7"/>
  <c r="O91" i="7"/>
  <c r="N91" i="7"/>
  <c r="M91" i="7"/>
  <c r="L91" i="7"/>
  <c r="K91" i="7"/>
  <c r="J91" i="7"/>
  <c r="I91" i="7"/>
  <c r="H91" i="7"/>
  <c r="G91" i="7"/>
  <c r="F91" i="7"/>
  <c r="E91" i="7"/>
  <c r="D91" i="7"/>
  <c r="C91" i="7"/>
  <c r="B91" i="7"/>
  <c r="AJ90" i="7"/>
  <c r="AI90" i="7"/>
  <c r="AH90" i="7"/>
  <c r="AG90" i="7"/>
  <c r="AF90" i="7"/>
  <c r="AE90" i="7"/>
  <c r="AD90" i="7"/>
  <c r="T90" i="7"/>
  <c r="S90" i="7"/>
  <c r="R90" i="7"/>
  <c r="Q90" i="7"/>
  <c r="P90" i="7"/>
  <c r="O90" i="7"/>
  <c r="N90" i="7"/>
  <c r="M90" i="7"/>
  <c r="L90" i="7"/>
  <c r="K90" i="7"/>
  <c r="J90" i="7"/>
  <c r="I90" i="7"/>
  <c r="H90" i="7"/>
  <c r="G90" i="7"/>
  <c r="F90" i="7"/>
  <c r="E90" i="7"/>
  <c r="D90" i="7"/>
  <c r="C90" i="7"/>
  <c r="B90" i="7"/>
  <c r="AJ89" i="7"/>
  <c r="AI89" i="7"/>
  <c r="AH89" i="7"/>
  <c r="AG89" i="7"/>
  <c r="AF89" i="7"/>
  <c r="AE89" i="7"/>
  <c r="AD89" i="7"/>
  <c r="AB89" i="7"/>
  <c r="AA89" i="7"/>
  <c r="Z89" i="7"/>
  <c r="T89" i="7"/>
  <c r="S89" i="7"/>
  <c r="R89" i="7"/>
  <c r="Q89" i="7"/>
  <c r="P89" i="7"/>
  <c r="O89" i="7"/>
  <c r="N89" i="7"/>
  <c r="M89" i="7"/>
  <c r="L89" i="7"/>
  <c r="K89" i="7"/>
  <c r="J89" i="7"/>
  <c r="I89" i="7"/>
  <c r="H89" i="7"/>
  <c r="G89" i="7"/>
  <c r="F89" i="7"/>
  <c r="E89" i="7"/>
  <c r="D89" i="7"/>
  <c r="C89" i="7"/>
  <c r="B89" i="7"/>
  <c r="AJ88" i="7"/>
  <c r="AI88" i="7"/>
  <c r="AH88" i="7"/>
  <c r="AG88" i="7"/>
  <c r="AF88" i="7"/>
  <c r="AE88" i="7"/>
  <c r="AD88" i="7"/>
  <c r="Z88" i="7"/>
  <c r="Y88" i="7"/>
  <c r="X88" i="7"/>
  <c r="T88" i="7"/>
  <c r="S88" i="7"/>
  <c r="R88" i="7"/>
  <c r="Q88" i="7"/>
  <c r="P88" i="7"/>
  <c r="O88" i="7"/>
  <c r="N88" i="7"/>
  <c r="M88" i="7"/>
  <c r="L88" i="7"/>
  <c r="K88" i="7"/>
  <c r="J88" i="7"/>
  <c r="I88" i="7"/>
  <c r="H88" i="7"/>
  <c r="G88" i="7"/>
  <c r="F88" i="7"/>
  <c r="E88" i="7"/>
  <c r="D88" i="7"/>
  <c r="C88" i="7"/>
  <c r="B88" i="7"/>
  <c r="AJ87" i="7"/>
  <c r="AI87" i="7"/>
  <c r="AH87" i="7"/>
  <c r="AG87" i="7"/>
  <c r="AF87" i="7"/>
  <c r="AE87" i="7"/>
  <c r="AD87" i="7"/>
  <c r="AA87" i="7"/>
  <c r="Y87" i="7"/>
  <c r="T87" i="7"/>
  <c r="S87" i="7"/>
  <c r="R87" i="7"/>
  <c r="Q87" i="7"/>
  <c r="P87" i="7"/>
  <c r="O87" i="7"/>
  <c r="N87" i="7"/>
  <c r="M87" i="7"/>
  <c r="L87" i="7"/>
  <c r="K87" i="7"/>
  <c r="J87" i="7"/>
  <c r="I87" i="7"/>
  <c r="H87" i="7"/>
  <c r="G87" i="7"/>
  <c r="F87" i="7"/>
  <c r="E87" i="7"/>
  <c r="D87" i="7"/>
  <c r="C87" i="7"/>
  <c r="B87" i="7"/>
  <c r="AJ86" i="7"/>
  <c r="AI86" i="7"/>
  <c r="AH86" i="7"/>
  <c r="AG86" i="7"/>
  <c r="AF86" i="7"/>
  <c r="AE86" i="7"/>
  <c r="AD86" i="7"/>
  <c r="Z86" i="7"/>
  <c r="V86" i="7"/>
  <c r="T86" i="7"/>
  <c r="S86" i="7"/>
  <c r="R86" i="7"/>
  <c r="Q86" i="7"/>
  <c r="P86" i="7"/>
  <c r="O86" i="7"/>
  <c r="N86" i="7"/>
  <c r="M86" i="7"/>
  <c r="L86" i="7"/>
  <c r="K86" i="7"/>
  <c r="J86" i="7"/>
  <c r="I86" i="7"/>
  <c r="H86" i="7"/>
  <c r="G86" i="7"/>
  <c r="F86" i="7"/>
  <c r="E86" i="7"/>
  <c r="D86" i="7"/>
  <c r="C86" i="7"/>
  <c r="B86" i="7"/>
  <c r="AJ85" i="7"/>
  <c r="AI85" i="7"/>
  <c r="AH85" i="7"/>
  <c r="AG85" i="7"/>
  <c r="AF85" i="7"/>
  <c r="AE85" i="7"/>
  <c r="AD85" i="7"/>
  <c r="AC85" i="7"/>
  <c r="Y85" i="7"/>
  <c r="X85" i="7"/>
  <c r="T85" i="7"/>
  <c r="S85" i="7"/>
  <c r="R85" i="7"/>
  <c r="Q85" i="7"/>
  <c r="P85" i="7"/>
  <c r="O85" i="7"/>
  <c r="N85" i="7"/>
  <c r="M85" i="7"/>
  <c r="L85" i="7"/>
  <c r="K85" i="7"/>
  <c r="J85" i="7"/>
  <c r="I85" i="7"/>
  <c r="H85" i="7"/>
  <c r="G85" i="7"/>
  <c r="F85" i="7"/>
  <c r="E85" i="7"/>
  <c r="D85" i="7"/>
  <c r="C85" i="7"/>
  <c r="B85" i="7"/>
  <c r="AJ84" i="7"/>
  <c r="AI84" i="7"/>
  <c r="AH84" i="7"/>
  <c r="AG84" i="7"/>
  <c r="AF84" i="7"/>
  <c r="AE84" i="7"/>
  <c r="AD84" i="7"/>
  <c r="Z84" i="7"/>
  <c r="Y84" i="7"/>
  <c r="T84" i="7"/>
  <c r="S84" i="7"/>
  <c r="R84" i="7"/>
  <c r="Q84" i="7"/>
  <c r="P84" i="7"/>
  <c r="O84" i="7"/>
  <c r="N84" i="7"/>
  <c r="M84" i="7"/>
  <c r="L84" i="7"/>
  <c r="K84" i="7"/>
  <c r="J84" i="7"/>
  <c r="I84" i="7"/>
  <c r="H84" i="7"/>
  <c r="G84" i="7"/>
  <c r="F84" i="7"/>
  <c r="E84" i="7"/>
  <c r="D84" i="7"/>
  <c r="C84" i="7"/>
  <c r="B84" i="7"/>
  <c r="AJ83" i="7"/>
  <c r="AI83" i="7"/>
  <c r="AH83" i="7"/>
  <c r="AG83" i="7"/>
  <c r="AF83" i="7"/>
  <c r="AE83" i="7"/>
  <c r="AD83" i="7"/>
  <c r="AA83" i="7"/>
  <c r="T83" i="7"/>
  <c r="S83" i="7"/>
  <c r="R83" i="7"/>
  <c r="Q83" i="7"/>
  <c r="P83" i="7"/>
  <c r="O83" i="7"/>
  <c r="N83" i="7"/>
  <c r="M83" i="7"/>
  <c r="L83" i="7"/>
  <c r="K83" i="7"/>
  <c r="J83" i="7"/>
  <c r="I83" i="7"/>
  <c r="H83" i="7"/>
  <c r="G83" i="7"/>
  <c r="F83" i="7"/>
  <c r="E83" i="7"/>
  <c r="D83" i="7"/>
  <c r="C83" i="7"/>
  <c r="B83" i="7"/>
  <c r="AJ82" i="7"/>
  <c r="AI82" i="7"/>
  <c r="AH82" i="7"/>
  <c r="AG82" i="7"/>
  <c r="AF82" i="7"/>
  <c r="AE82" i="7"/>
  <c r="AD82" i="7"/>
  <c r="AB82" i="7"/>
  <c r="Y82" i="7"/>
  <c r="V82" i="7"/>
  <c r="T82" i="7"/>
  <c r="S82" i="7"/>
  <c r="R82" i="7"/>
  <c r="Q82" i="7"/>
  <c r="P82" i="7"/>
  <c r="O82" i="7"/>
  <c r="N82" i="7"/>
  <c r="M82" i="7"/>
  <c r="L82" i="7"/>
  <c r="K82" i="7"/>
  <c r="J82" i="7"/>
  <c r="I82" i="7"/>
  <c r="H82" i="7"/>
  <c r="G82" i="7"/>
  <c r="F82" i="7"/>
  <c r="E82" i="7"/>
  <c r="D82" i="7"/>
  <c r="C82" i="7"/>
  <c r="B82" i="7"/>
  <c r="AJ81" i="7"/>
  <c r="AI81" i="7"/>
  <c r="AH81" i="7"/>
  <c r="AG81" i="7"/>
  <c r="AF81" i="7"/>
  <c r="AE81" i="7"/>
  <c r="AD81" i="7"/>
  <c r="AB81" i="7"/>
  <c r="AA81" i="7"/>
  <c r="Z81" i="7"/>
  <c r="T81" i="7"/>
  <c r="S81" i="7"/>
  <c r="R81" i="7"/>
  <c r="Q81" i="7"/>
  <c r="P81" i="7"/>
  <c r="O81" i="7"/>
  <c r="N81" i="7"/>
  <c r="M81" i="7"/>
  <c r="L81" i="7"/>
  <c r="K81" i="7"/>
  <c r="J81" i="7"/>
  <c r="I81" i="7"/>
  <c r="H81" i="7"/>
  <c r="G81" i="7"/>
  <c r="F81" i="7"/>
  <c r="E81" i="7"/>
  <c r="D81" i="7"/>
  <c r="C81" i="7"/>
  <c r="B81" i="7"/>
  <c r="AJ80" i="7"/>
  <c r="AI80" i="7"/>
  <c r="AH80" i="7"/>
  <c r="AG80" i="7"/>
  <c r="AF80" i="7"/>
  <c r="AE80" i="7"/>
  <c r="AD80" i="7"/>
  <c r="AA80" i="7"/>
  <c r="Z80" i="7"/>
  <c r="Y80" i="7"/>
  <c r="T80" i="7"/>
  <c r="S80" i="7"/>
  <c r="R80" i="7"/>
  <c r="Q80" i="7"/>
  <c r="P80" i="7"/>
  <c r="O80" i="7"/>
  <c r="N80" i="7"/>
  <c r="M80" i="7"/>
  <c r="L80" i="7"/>
  <c r="K80" i="7"/>
  <c r="J80" i="7"/>
  <c r="I80" i="7"/>
  <c r="H80" i="7"/>
  <c r="G80" i="7"/>
  <c r="F80" i="7"/>
  <c r="E80" i="7"/>
  <c r="D80" i="7"/>
  <c r="C80" i="7"/>
  <c r="B80" i="7"/>
  <c r="AJ79" i="7"/>
  <c r="AI79" i="7"/>
  <c r="AH79" i="7"/>
  <c r="AG79" i="7"/>
  <c r="AF79" i="7"/>
  <c r="AE79" i="7"/>
  <c r="AD79" i="7"/>
  <c r="V79" i="7"/>
  <c r="T79" i="7"/>
  <c r="S79" i="7"/>
  <c r="R79" i="7"/>
  <c r="Q79" i="7"/>
  <c r="P79" i="7"/>
  <c r="O79" i="7"/>
  <c r="N79" i="7"/>
  <c r="M79" i="7"/>
  <c r="L79" i="7"/>
  <c r="K79" i="7"/>
  <c r="J79" i="7"/>
  <c r="I79" i="7"/>
  <c r="H79" i="7"/>
  <c r="G79" i="7"/>
  <c r="F79" i="7"/>
  <c r="E79" i="7"/>
  <c r="D79" i="7"/>
  <c r="C79" i="7"/>
  <c r="B79" i="7"/>
  <c r="AJ78" i="7"/>
  <c r="AI78" i="7"/>
  <c r="AH78" i="7"/>
  <c r="AG78" i="7"/>
  <c r="AF78" i="7"/>
  <c r="AE78" i="7"/>
  <c r="AD78" i="7"/>
  <c r="AA78" i="7"/>
  <c r="V78" i="7"/>
  <c r="T78" i="7"/>
  <c r="S78" i="7"/>
  <c r="R78" i="7"/>
  <c r="Q78" i="7"/>
  <c r="P78" i="7"/>
  <c r="O78" i="7"/>
  <c r="N78" i="7"/>
  <c r="M78" i="7"/>
  <c r="L78" i="7"/>
  <c r="K78" i="7"/>
  <c r="J78" i="7"/>
  <c r="I78" i="7"/>
  <c r="H78" i="7"/>
  <c r="G78" i="7"/>
  <c r="F78" i="7"/>
  <c r="E78" i="7"/>
  <c r="D78" i="7"/>
  <c r="C78" i="7"/>
  <c r="B78" i="7"/>
  <c r="AJ77" i="7"/>
  <c r="AI77" i="7"/>
  <c r="AH77" i="7"/>
  <c r="AG77" i="7"/>
  <c r="AF77" i="7"/>
  <c r="AE77" i="7"/>
  <c r="AD77" i="7"/>
  <c r="AC77" i="7"/>
  <c r="AB77" i="7"/>
  <c r="AA77" i="7"/>
  <c r="X77" i="7"/>
  <c r="T77" i="7"/>
  <c r="S77" i="7"/>
  <c r="R77" i="7"/>
  <c r="Q77" i="7"/>
  <c r="P77" i="7"/>
  <c r="O77" i="7"/>
  <c r="N77" i="7"/>
  <c r="M77" i="7"/>
  <c r="L77" i="7"/>
  <c r="K77" i="7"/>
  <c r="J77" i="7"/>
  <c r="I77" i="7"/>
  <c r="H77" i="7"/>
  <c r="G77" i="7"/>
  <c r="F77" i="7"/>
  <c r="E77" i="7"/>
  <c r="D77" i="7"/>
  <c r="C77" i="7"/>
  <c r="B77" i="7"/>
  <c r="AJ76" i="7"/>
  <c r="AI76" i="7"/>
  <c r="AH76" i="7"/>
  <c r="AG76" i="7"/>
  <c r="AF76" i="7"/>
  <c r="AE76" i="7"/>
  <c r="AD76" i="7"/>
  <c r="AB76" i="7"/>
  <c r="T76" i="7"/>
  <c r="S76" i="7"/>
  <c r="R76" i="7"/>
  <c r="Q76" i="7"/>
  <c r="P76" i="7"/>
  <c r="O76" i="7"/>
  <c r="N76" i="7"/>
  <c r="M76" i="7"/>
  <c r="L76" i="7"/>
  <c r="K76" i="7"/>
  <c r="J76" i="7"/>
  <c r="I76" i="7"/>
  <c r="H76" i="7"/>
  <c r="G76" i="7"/>
  <c r="F76" i="7"/>
  <c r="E76" i="7"/>
  <c r="D76" i="7"/>
  <c r="C76" i="7"/>
  <c r="B76" i="7"/>
  <c r="AJ75" i="7"/>
  <c r="AI75" i="7"/>
  <c r="AH75" i="7"/>
  <c r="AG75" i="7"/>
  <c r="AF75" i="7"/>
  <c r="AE75" i="7"/>
  <c r="AA75" i="7"/>
  <c r="Z75" i="7"/>
  <c r="Y75" i="7"/>
  <c r="T75" i="7"/>
  <c r="S75" i="7"/>
  <c r="R75" i="7"/>
  <c r="Q75" i="7"/>
  <c r="P75" i="7"/>
  <c r="O75" i="7"/>
  <c r="N75" i="7"/>
  <c r="M75" i="7"/>
  <c r="L75" i="7"/>
  <c r="K75" i="7"/>
  <c r="J75" i="7"/>
  <c r="I75" i="7"/>
  <c r="H75" i="7"/>
  <c r="G75" i="7"/>
  <c r="F75" i="7"/>
  <c r="E75" i="7"/>
  <c r="D75" i="7"/>
  <c r="C75" i="7"/>
  <c r="B75" i="7"/>
  <c r="AJ74" i="7"/>
  <c r="AI74" i="7"/>
  <c r="AH74" i="7"/>
  <c r="AG74" i="7"/>
  <c r="AF74" i="7"/>
  <c r="AE74" i="7"/>
  <c r="AB74" i="7"/>
  <c r="Z74" i="7"/>
  <c r="T74" i="7"/>
  <c r="S74" i="7"/>
  <c r="R74" i="7"/>
  <c r="Q74" i="7"/>
  <c r="P74" i="7"/>
  <c r="O74" i="7"/>
  <c r="N74" i="7"/>
  <c r="M74" i="7"/>
  <c r="L74" i="7"/>
  <c r="K74" i="7"/>
  <c r="J74" i="7"/>
  <c r="I74" i="7"/>
  <c r="H74" i="7"/>
  <c r="G74" i="7"/>
  <c r="F74" i="7"/>
  <c r="E74" i="7"/>
  <c r="D74" i="7"/>
  <c r="C74" i="7"/>
  <c r="B74" i="7"/>
  <c r="AJ73" i="7"/>
  <c r="AI73" i="7"/>
  <c r="AH73" i="7"/>
  <c r="AG73" i="7"/>
  <c r="AF73" i="7"/>
  <c r="AE73" i="7"/>
  <c r="AD73" i="7"/>
  <c r="Z73" i="7"/>
  <c r="T73" i="7"/>
  <c r="S73" i="7"/>
  <c r="R73" i="7"/>
  <c r="Q73" i="7"/>
  <c r="P73" i="7"/>
  <c r="O73" i="7"/>
  <c r="N73" i="7"/>
  <c r="M73" i="7"/>
  <c r="L73" i="7"/>
  <c r="K73" i="7"/>
  <c r="J73" i="7"/>
  <c r="I73" i="7"/>
  <c r="H73" i="7"/>
  <c r="G73" i="7"/>
  <c r="F73" i="7"/>
  <c r="E73" i="7"/>
  <c r="D73" i="7"/>
  <c r="C73" i="7"/>
  <c r="B73" i="7"/>
  <c r="AJ72" i="7"/>
  <c r="AI72" i="7"/>
  <c r="AH72" i="7"/>
  <c r="AG72" i="7"/>
  <c r="AF72" i="7"/>
  <c r="AE72" i="7"/>
  <c r="AD72" i="7"/>
  <c r="AB72" i="7"/>
  <c r="Z72" i="7"/>
  <c r="V72" i="7"/>
  <c r="T72" i="7"/>
  <c r="S72" i="7"/>
  <c r="R72" i="7"/>
  <c r="Q72" i="7"/>
  <c r="P72" i="7"/>
  <c r="O72" i="7"/>
  <c r="N72" i="7"/>
  <c r="M72" i="7"/>
  <c r="L72" i="7"/>
  <c r="K72" i="7"/>
  <c r="J72" i="7"/>
  <c r="I72" i="7"/>
  <c r="H72" i="7"/>
  <c r="G72" i="7"/>
  <c r="F72" i="7"/>
  <c r="E72" i="7"/>
  <c r="D72" i="7"/>
  <c r="C72" i="7"/>
  <c r="B72" i="7"/>
  <c r="AJ71" i="7"/>
  <c r="AI71" i="7"/>
  <c r="AH71" i="7"/>
  <c r="AG71" i="7"/>
  <c r="AF71" i="7"/>
  <c r="AE71" i="7"/>
  <c r="AD71" i="7"/>
  <c r="W71" i="7"/>
  <c r="T71" i="7"/>
  <c r="S71" i="7"/>
  <c r="R71" i="7"/>
  <c r="Q71" i="7"/>
  <c r="P71" i="7"/>
  <c r="O71" i="7"/>
  <c r="N71" i="7"/>
  <c r="M71" i="7"/>
  <c r="L71" i="7"/>
  <c r="K71" i="7"/>
  <c r="J71" i="7"/>
  <c r="I71" i="7"/>
  <c r="H71" i="7"/>
  <c r="G71" i="7"/>
  <c r="F71" i="7"/>
  <c r="E71" i="7"/>
  <c r="D71" i="7"/>
  <c r="C71" i="7"/>
  <c r="B71" i="7"/>
  <c r="AJ70" i="7"/>
  <c r="AI70" i="7"/>
  <c r="AH70" i="7"/>
  <c r="AG70" i="7"/>
  <c r="AF70" i="7"/>
  <c r="AE70" i="7"/>
  <c r="T70" i="7"/>
  <c r="S70" i="7"/>
  <c r="R70" i="7"/>
  <c r="Q70" i="7"/>
  <c r="P70" i="7"/>
  <c r="O70" i="7"/>
  <c r="N70" i="7"/>
  <c r="M70" i="7"/>
  <c r="L70" i="7"/>
  <c r="K70" i="7"/>
  <c r="J70" i="7"/>
  <c r="I70" i="7"/>
  <c r="H70" i="7"/>
  <c r="G70" i="7"/>
  <c r="F70" i="7"/>
  <c r="E70" i="7"/>
  <c r="D70" i="7"/>
  <c r="C70" i="7"/>
  <c r="B70" i="7"/>
  <c r="AJ69" i="7"/>
  <c r="AI69" i="7"/>
  <c r="AH69" i="7"/>
  <c r="AG69" i="7"/>
  <c r="AF69" i="7"/>
  <c r="AE69" i="7"/>
  <c r="AD69" i="7"/>
  <c r="T69" i="7"/>
  <c r="S69" i="7"/>
  <c r="R69" i="7"/>
  <c r="Q69" i="7"/>
  <c r="P69" i="7"/>
  <c r="O69" i="7"/>
  <c r="N69" i="7"/>
  <c r="M69" i="7"/>
  <c r="L69" i="7"/>
  <c r="K69" i="7"/>
  <c r="J69" i="7"/>
  <c r="I69" i="7"/>
  <c r="H69" i="7"/>
  <c r="G69" i="7"/>
  <c r="F69" i="7"/>
  <c r="E69" i="7"/>
  <c r="D69" i="7"/>
  <c r="C69" i="7"/>
  <c r="B69" i="7"/>
  <c r="AJ68" i="7"/>
  <c r="AI68" i="7"/>
  <c r="AH68" i="7"/>
  <c r="AG68" i="7"/>
  <c r="AF68" i="7"/>
  <c r="AE68" i="7"/>
  <c r="AD68" i="7"/>
  <c r="Z68" i="7"/>
  <c r="T68" i="7"/>
  <c r="S68" i="7"/>
  <c r="R68" i="7"/>
  <c r="Q68" i="7"/>
  <c r="P68" i="7"/>
  <c r="O68" i="7"/>
  <c r="N68" i="7"/>
  <c r="M68" i="7"/>
  <c r="L68" i="7"/>
  <c r="K68" i="7"/>
  <c r="J68" i="7"/>
  <c r="I68" i="7"/>
  <c r="H68" i="7"/>
  <c r="G68" i="7"/>
  <c r="F68" i="7"/>
  <c r="E68" i="7"/>
  <c r="D68" i="7"/>
  <c r="C68" i="7"/>
  <c r="B68" i="7"/>
  <c r="AJ67" i="7"/>
  <c r="AI67" i="7"/>
  <c r="AH67" i="7"/>
  <c r="AG67" i="7"/>
  <c r="AF67" i="7"/>
  <c r="AE67" i="7"/>
  <c r="AD67" i="7"/>
  <c r="AB67" i="7"/>
  <c r="AA67" i="7"/>
  <c r="Y67" i="7"/>
  <c r="T67" i="7"/>
  <c r="S67" i="7"/>
  <c r="R67" i="7"/>
  <c r="Q67" i="7"/>
  <c r="P67" i="7"/>
  <c r="O67" i="7"/>
  <c r="N67" i="7"/>
  <c r="M67" i="7"/>
  <c r="L67" i="7"/>
  <c r="K67" i="7"/>
  <c r="J67" i="7"/>
  <c r="I67" i="7"/>
  <c r="H67" i="7"/>
  <c r="G67" i="7"/>
  <c r="F67" i="7"/>
  <c r="E67" i="7"/>
  <c r="D67" i="7"/>
  <c r="C67" i="7"/>
  <c r="B67" i="7"/>
  <c r="AJ66" i="7"/>
  <c r="AI66" i="7"/>
  <c r="AH66" i="7"/>
  <c r="AG66" i="7"/>
  <c r="AF66" i="7"/>
  <c r="AE66" i="7"/>
  <c r="AD66" i="7"/>
  <c r="AC66" i="7"/>
  <c r="Z66" i="7"/>
  <c r="Y66" i="7"/>
  <c r="X66" i="7"/>
  <c r="T66" i="7"/>
  <c r="S66" i="7"/>
  <c r="R66" i="7"/>
  <c r="Q66" i="7"/>
  <c r="P66" i="7"/>
  <c r="O66" i="7"/>
  <c r="N66" i="7"/>
  <c r="M66" i="7"/>
  <c r="L66" i="7"/>
  <c r="K66" i="7"/>
  <c r="J66" i="7"/>
  <c r="I66" i="7"/>
  <c r="H66" i="7"/>
  <c r="G66" i="7"/>
  <c r="F66" i="7"/>
  <c r="E66" i="7"/>
  <c r="D66" i="7"/>
  <c r="C66" i="7"/>
  <c r="B66" i="7"/>
  <c r="AJ65" i="7"/>
  <c r="AI65" i="7"/>
  <c r="AH65" i="7"/>
  <c r="AG65" i="7"/>
  <c r="AF65" i="7"/>
  <c r="AE65" i="7"/>
  <c r="AD65" i="7"/>
  <c r="AB65" i="7"/>
  <c r="AA65" i="7"/>
  <c r="Z65" i="7"/>
  <c r="T65" i="7"/>
  <c r="S65" i="7"/>
  <c r="R65" i="7"/>
  <c r="Q65" i="7"/>
  <c r="P65" i="7"/>
  <c r="O65" i="7"/>
  <c r="N65" i="7"/>
  <c r="M65" i="7"/>
  <c r="L65" i="7"/>
  <c r="K65" i="7"/>
  <c r="J65" i="7"/>
  <c r="I65" i="7"/>
  <c r="H65" i="7"/>
  <c r="G65" i="7"/>
  <c r="F65" i="7"/>
  <c r="E65" i="7"/>
  <c r="D65" i="7"/>
  <c r="C65" i="7"/>
  <c r="B65" i="7"/>
  <c r="AJ64" i="7"/>
  <c r="AI64" i="7"/>
  <c r="AH64" i="7"/>
  <c r="AG64" i="7"/>
  <c r="AF64" i="7"/>
  <c r="AE64" i="7"/>
  <c r="AD64" i="7"/>
  <c r="Y64" i="7"/>
  <c r="R64" i="7"/>
  <c r="Q64" i="7"/>
  <c r="P64" i="7"/>
  <c r="O64" i="7"/>
  <c r="N64" i="7"/>
  <c r="M64" i="7"/>
  <c r="L64" i="7"/>
  <c r="K64" i="7"/>
  <c r="J64" i="7"/>
  <c r="I64" i="7"/>
  <c r="H64" i="7"/>
  <c r="G64" i="7"/>
  <c r="F64" i="7"/>
  <c r="E64" i="7"/>
  <c r="D64" i="7"/>
  <c r="AJ63" i="7"/>
  <c r="AI63" i="7"/>
  <c r="AH63" i="7"/>
  <c r="AG63" i="7"/>
  <c r="AF63" i="7"/>
  <c r="AE63" i="7"/>
  <c r="AD63" i="7"/>
  <c r="Z63" i="7"/>
  <c r="Y63" i="7"/>
  <c r="S63" i="7"/>
  <c r="R63" i="7"/>
  <c r="Q63" i="7"/>
  <c r="P63" i="7"/>
  <c r="O63" i="7"/>
  <c r="N63" i="7"/>
  <c r="M63" i="7"/>
  <c r="L63" i="7"/>
  <c r="K63" i="7"/>
  <c r="J63" i="7"/>
  <c r="I63" i="7"/>
  <c r="H63" i="7"/>
  <c r="G63" i="7"/>
  <c r="F63" i="7"/>
  <c r="E63" i="7"/>
  <c r="D63" i="7"/>
  <c r="C63" i="7"/>
  <c r="B63" i="7"/>
  <c r="AJ62" i="7"/>
  <c r="AI62" i="7"/>
  <c r="AH62" i="7"/>
  <c r="AG62" i="7"/>
  <c r="AF62" i="7"/>
  <c r="AE62" i="7"/>
  <c r="AD62" i="7"/>
  <c r="AA62" i="7"/>
  <c r="X62" i="7"/>
  <c r="T62" i="7"/>
  <c r="S62" i="7"/>
  <c r="R62" i="7"/>
  <c r="Q62" i="7"/>
  <c r="P62" i="7"/>
  <c r="O62" i="7"/>
  <c r="N62" i="7"/>
  <c r="M62" i="7"/>
  <c r="L62" i="7"/>
  <c r="K62" i="7"/>
  <c r="J62" i="7"/>
  <c r="I62" i="7"/>
  <c r="H62" i="7"/>
  <c r="G62" i="7"/>
  <c r="F62" i="7"/>
  <c r="E62" i="7"/>
  <c r="D62" i="7"/>
  <c r="C62" i="7"/>
  <c r="B62" i="7"/>
  <c r="AJ61" i="7"/>
  <c r="AI61" i="7"/>
  <c r="AH61" i="7"/>
  <c r="AG61" i="7"/>
  <c r="AF61" i="7"/>
  <c r="AE61" i="7"/>
  <c r="AD61" i="7"/>
  <c r="AC61" i="7"/>
  <c r="Y61" i="7"/>
  <c r="T61" i="7"/>
  <c r="S61" i="7"/>
  <c r="R61" i="7"/>
  <c r="Q61" i="7"/>
  <c r="P61" i="7"/>
  <c r="O61" i="7"/>
  <c r="N61" i="7"/>
  <c r="M61" i="7"/>
  <c r="L61" i="7"/>
  <c r="K61" i="7"/>
  <c r="J61" i="7"/>
  <c r="I61" i="7"/>
  <c r="H61" i="7"/>
  <c r="G61" i="7"/>
  <c r="F61" i="7"/>
  <c r="E61" i="7"/>
  <c r="D61" i="7"/>
  <c r="C61" i="7"/>
  <c r="B61" i="7"/>
  <c r="AJ60" i="7"/>
  <c r="AI60" i="7"/>
  <c r="AH60" i="7"/>
  <c r="AG60" i="7"/>
  <c r="AF60" i="7"/>
  <c r="AE60" i="7"/>
  <c r="AD60" i="7"/>
  <c r="T60" i="7"/>
  <c r="S60" i="7"/>
  <c r="R60" i="7"/>
  <c r="Q60" i="7"/>
  <c r="P60" i="7"/>
  <c r="O60" i="7"/>
  <c r="N60" i="7"/>
  <c r="M60" i="7"/>
  <c r="L60" i="7"/>
  <c r="K60" i="7"/>
  <c r="J60" i="7"/>
  <c r="I60" i="7"/>
  <c r="H60" i="7"/>
  <c r="G60" i="7"/>
  <c r="F60" i="7"/>
  <c r="E60" i="7"/>
  <c r="D60" i="7"/>
  <c r="C60" i="7"/>
  <c r="B60" i="7"/>
  <c r="AJ59" i="7"/>
  <c r="AI59" i="7"/>
  <c r="AH59" i="7"/>
  <c r="AG59" i="7"/>
  <c r="AF59" i="7"/>
  <c r="AE59" i="7"/>
  <c r="AD59" i="7"/>
  <c r="AB59" i="7"/>
  <c r="AA59" i="7"/>
  <c r="Y59" i="7"/>
  <c r="T59" i="7"/>
  <c r="S59" i="7"/>
  <c r="R59" i="7"/>
  <c r="Q59" i="7"/>
  <c r="P59" i="7"/>
  <c r="O59" i="7"/>
  <c r="N59" i="7"/>
  <c r="M59" i="7"/>
  <c r="L59" i="7"/>
  <c r="K59" i="7"/>
  <c r="J59" i="7"/>
  <c r="I59" i="7"/>
  <c r="H59" i="7"/>
  <c r="G59" i="7"/>
  <c r="F59" i="7"/>
  <c r="E59" i="7"/>
  <c r="D59" i="7"/>
  <c r="C59" i="7"/>
  <c r="B59" i="7"/>
  <c r="AJ58" i="7"/>
  <c r="AI58" i="7"/>
  <c r="AH58" i="7"/>
  <c r="AG58" i="7"/>
  <c r="AF58" i="7"/>
  <c r="AE58" i="7"/>
  <c r="AD58" i="7"/>
  <c r="V58" i="7"/>
  <c r="T58" i="7"/>
  <c r="S58" i="7"/>
  <c r="R58" i="7"/>
  <c r="Q58" i="7"/>
  <c r="P58" i="7"/>
  <c r="O58" i="7"/>
  <c r="N58" i="7"/>
  <c r="M58" i="7"/>
  <c r="L58" i="7"/>
  <c r="K58" i="7"/>
  <c r="J58" i="7"/>
  <c r="I58" i="7"/>
  <c r="H58" i="7"/>
  <c r="G58" i="7"/>
  <c r="F58" i="7"/>
  <c r="E58" i="7"/>
  <c r="D58" i="7"/>
  <c r="C58" i="7"/>
  <c r="B58" i="7"/>
  <c r="AJ57" i="7"/>
  <c r="AI57" i="7"/>
  <c r="AH57" i="7"/>
  <c r="AG57" i="7"/>
  <c r="AF57" i="7"/>
  <c r="AE57" i="7"/>
  <c r="AD57" i="7"/>
  <c r="AA57" i="7"/>
  <c r="Z57" i="7"/>
  <c r="Y57" i="7"/>
  <c r="T57" i="7"/>
  <c r="S57" i="7"/>
  <c r="R57" i="7"/>
  <c r="Q57" i="7"/>
  <c r="P57" i="7"/>
  <c r="O57" i="7"/>
  <c r="N57" i="7"/>
  <c r="M57" i="7"/>
  <c r="L57" i="7"/>
  <c r="K57" i="7"/>
  <c r="J57" i="7"/>
  <c r="I57" i="7"/>
  <c r="H57" i="7"/>
  <c r="G57" i="7"/>
  <c r="F57" i="7"/>
  <c r="E57" i="7"/>
  <c r="D57" i="7"/>
  <c r="C57" i="7"/>
  <c r="B57" i="7"/>
  <c r="AJ56" i="7"/>
  <c r="AI56" i="7"/>
  <c r="AH56" i="7"/>
  <c r="AG56" i="7"/>
  <c r="AF56" i="7"/>
  <c r="AE56" i="7"/>
  <c r="AD56" i="7"/>
  <c r="AB56" i="7"/>
  <c r="AA56" i="7"/>
  <c r="Z56" i="7"/>
  <c r="Y56" i="7"/>
  <c r="V56" i="7"/>
  <c r="T56" i="7"/>
  <c r="S56" i="7"/>
  <c r="R56" i="7"/>
  <c r="Q56" i="7"/>
  <c r="P56" i="7"/>
  <c r="O56" i="7"/>
  <c r="N56" i="7"/>
  <c r="M56" i="7"/>
  <c r="L56" i="7"/>
  <c r="K56" i="7"/>
  <c r="J56" i="7"/>
  <c r="I56" i="7"/>
  <c r="H56" i="7"/>
  <c r="G56" i="7"/>
  <c r="F56" i="7"/>
  <c r="E56" i="7"/>
  <c r="D56" i="7"/>
  <c r="C56" i="7"/>
  <c r="B56" i="7"/>
  <c r="AJ55" i="7"/>
  <c r="AI55" i="7"/>
  <c r="AH55" i="7"/>
  <c r="AG55" i="7"/>
  <c r="AF55" i="7"/>
  <c r="AE55" i="7"/>
  <c r="AD55" i="7"/>
  <c r="AA55" i="7"/>
  <c r="Y55" i="7"/>
  <c r="X55" i="7"/>
  <c r="T55" i="7"/>
  <c r="S55" i="7"/>
  <c r="R55" i="7"/>
  <c r="Q55" i="7"/>
  <c r="P55" i="7"/>
  <c r="O55" i="7"/>
  <c r="N55" i="7"/>
  <c r="M55" i="7"/>
  <c r="L55" i="7"/>
  <c r="K55" i="7"/>
  <c r="J55" i="7"/>
  <c r="I55" i="7"/>
  <c r="H55" i="7"/>
  <c r="G55" i="7"/>
  <c r="F55" i="7"/>
  <c r="E55" i="7"/>
  <c r="D55" i="7"/>
  <c r="C55" i="7"/>
  <c r="B55" i="7"/>
  <c r="AJ54" i="7"/>
  <c r="AI54" i="7"/>
  <c r="AH54" i="7"/>
  <c r="AG54" i="7"/>
  <c r="AF54" i="7"/>
  <c r="AE54" i="7"/>
  <c r="AD54" i="7"/>
  <c r="Z54" i="7"/>
  <c r="X54" i="7"/>
  <c r="T54" i="7"/>
  <c r="S54" i="7"/>
  <c r="R54" i="7"/>
  <c r="Q54" i="7"/>
  <c r="P54" i="7"/>
  <c r="O54" i="7"/>
  <c r="N54" i="7"/>
  <c r="M54" i="7"/>
  <c r="L54" i="7"/>
  <c r="K54" i="7"/>
  <c r="J54" i="7"/>
  <c r="I54" i="7"/>
  <c r="H54" i="7"/>
  <c r="G54" i="7"/>
  <c r="F54" i="7"/>
  <c r="E54" i="7"/>
  <c r="D54" i="7"/>
  <c r="C54" i="7"/>
  <c r="B54" i="7"/>
  <c r="AJ53" i="7"/>
  <c r="AI53" i="7"/>
  <c r="AH53" i="7"/>
  <c r="AG53" i="7"/>
  <c r="AF53" i="7"/>
  <c r="AE53" i="7"/>
  <c r="W53" i="7"/>
  <c r="T53" i="7"/>
  <c r="S53" i="7"/>
  <c r="R53" i="7"/>
  <c r="Q53" i="7"/>
  <c r="P53" i="7"/>
  <c r="O53" i="7"/>
  <c r="N53" i="7"/>
  <c r="M53" i="7"/>
  <c r="L53" i="7"/>
  <c r="K53" i="7"/>
  <c r="J53" i="7"/>
  <c r="I53" i="7"/>
  <c r="H53" i="7"/>
  <c r="G53" i="7"/>
  <c r="F53" i="7"/>
  <c r="E53" i="7"/>
  <c r="D53" i="7"/>
  <c r="C53" i="7"/>
  <c r="B53" i="7"/>
  <c r="AJ52" i="7"/>
  <c r="AI52" i="7"/>
  <c r="AH52" i="7"/>
  <c r="AG52" i="7"/>
  <c r="AF52" i="7"/>
  <c r="AE52" i="7"/>
  <c r="AD52" i="7"/>
  <c r="AB52" i="7"/>
  <c r="Z52" i="7"/>
  <c r="Y52" i="7"/>
  <c r="S52" i="7"/>
  <c r="R52" i="7"/>
  <c r="Q52" i="7"/>
  <c r="P52" i="7"/>
  <c r="O52" i="7"/>
  <c r="N52" i="7"/>
  <c r="M52" i="7"/>
  <c r="L52" i="7"/>
  <c r="K52" i="7"/>
  <c r="J52" i="7"/>
  <c r="I52" i="7"/>
  <c r="H52" i="7"/>
  <c r="G52" i="7"/>
  <c r="F52" i="7"/>
  <c r="E52" i="7"/>
  <c r="D52" i="7"/>
  <c r="C52" i="7"/>
  <c r="B52" i="7"/>
  <c r="AJ51" i="7"/>
  <c r="AI51" i="7"/>
  <c r="AH51" i="7"/>
  <c r="AG51" i="7"/>
  <c r="AF51" i="7"/>
  <c r="AE51" i="7"/>
  <c r="AD51" i="7"/>
  <c r="AA51" i="7"/>
  <c r="Y51" i="7"/>
  <c r="T51" i="7"/>
  <c r="S51" i="7"/>
  <c r="R51" i="7"/>
  <c r="Q51" i="7"/>
  <c r="P51" i="7"/>
  <c r="O51" i="7"/>
  <c r="N51" i="7"/>
  <c r="M51" i="7"/>
  <c r="L51" i="7"/>
  <c r="K51" i="7"/>
  <c r="J51" i="7"/>
  <c r="I51" i="7"/>
  <c r="H51" i="7"/>
  <c r="G51" i="7"/>
  <c r="F51" i="7"/>
  <c r="E51" i="7"/>
  <c r="D51" i="7"/>
  <c r="C51" i="7"/>
  <c r="B51" i="7"/>
  <c r="AJ50" i="7"/>
  <c r="AI50" i="7"/>
  <c r="AH50" i="7"/>
  <c r="AG50" i="7"/>
  <c r="AF50" i="7"/>
  <c r="AE50" i="7"/>
  <c r="AD50" i="7"/>
  <c r="AC50" i="7"/>
  <c r="Y50" i="7"/>
  <c r="T50" i="7"/>
  <c r="S50" i="7"/>
  <c r="R50" i="7"/>
  <c r="Q50" i="7"/>
  <c r="P50" i="7"/>
  <c r="O50" i="7"/>
  <c r="N50" i="7"/>
  <c r="M50" i="7"/>
  <c r="L50" i="7"/>
  <c r="K50" i="7"/>
  <c r="J50" i="7"/>
  <c r="I50" i="7"/>
  <c r="H50" i="7"/>
  <c r="G50" i="7"/>
  <c r="F50" i="7"/>
  <c r="E50" i="7"/>
  <c r="D50" i="7"/>
  <c r="C50" i="7"/>
  <c r="B50" i="7"/>
  <c r="AJ49" i="7"/>
  <c r="AI49" i="7"/>
  <c r="AH49" i="7"/>
  <c r="AG49" i="7"/>
  <c r="AF49" i="7"/>
  <c r="AE49" i="7"/>
  <c r="AD49" i="7"/>
  <c r="Y49" i="7"/>
  <c r="T49" i="7"/>
  <c r="S49" i="7"/>
  <c r="R49" i="7"/>
  <c r="Q49" i="7"/>
  <c r="P49" i="7"/>
  <c r="O49" i="7"/>
  <c r="N49" i="7"/>
  <c r="M49" i="7"/>
  <c r="L49" i="7"/>
  <c r="K49" i="7"/>
  <c r="J49" i="7"/>
  <c r="I49" i="7"/>
  <c r="H49" i="7"/>
  <c r="G49" i="7"/>
  <c r="F49" i="7"/>
  <c r="E49" i="7"/>
  <c r="D49" i="7"/>
  <c r="C49" i="7"/>
  <c r="B49" i="7"/>
  <c r="AJ48" i="7"/>
  <c r="AI48" i="7"/>
  <c r="AH48" i="7"/>
  <c r="AG48" i="7"/>
  <c r="AF48" i="7"/>
  <c r="AE48" i="7"/>
  <c r="AA48" i="7"/>
  <c r="T48" i="7"/>
  <c r="S48" i="7"/>
  <c r="R48" i="7"/>
  <c r="Q48" i="7"/>
  <c r="P48" i="7"/>
  <c r="O48" i="7"/>
  <c r="N48" i="7"/>
  <c r="M48" i="7"/>
  <c r="L48" i="7"/>
  <c r="K48" i="7"/>
  <c r="J48" i="7"/>
  <c r="I48" i="7"/>
  <c r="H48" i="7"/>
  <c r="G48" i="7"/>
  <c r="F48" i="7"/>
  <c r="E48" i="7"/>
  <c r="D48" i="7"/>
  <c r="C48" i="7"/>
  <c r="B48" i="7"/>
  <c r="AJ47" i="7"/>
  <c r="AI47" i="7"/>
  <c r="AH47" i="7"/>
  <c r="AG47" i="7"/>
  <c r="AF47" i="7"/>
  <c r="AE47" i="7"/>
  <c r="AD47" i="7"/>
  <c r="AB47" i="7"/>
  <c r="AA47" i="7"/>
  <c r="Z47" i="7"/>
  <c r="Y47" i="7"/>
  <c r="T47" i="7"/>
  <c r="S47" i="7"/>
  <c r="R47" i="7"/>
  <c r="Q47" i="7"/>
  <c r="P47" i="7"/>
  <c r="O47" i="7"/>
  <c r="N47" i="7"/>
  <c r="M47" i="7"/>
  <c r="L47" i="7"/>
  <c r="K47" i="7"/>
  <c r="J47" i="7"/>
  <c r="I47" i="7"/>
  <c r="H47" i="7"/>
  <c r="G47" i="7"/>
  <c r="F47" i="7"/>
  <c r="E47" i="7"/>
  <c r="D47" i="7"/>
  <c r="C47" i="7"/>
  <c r="B47" i="7"/>
  <c r="AJ46" i="7"/>
  <c r="AI46" i="7"/>
  <c r="AH46" i="7"/>
  <c r="AG46" i="7"/>
  <c r="AF46" i="7"/>
  <c r="AE46" i="7"/>
  <c r="AD46" i="7"/>
  <c r="Y46" i="7"/>
  <c r="T46" i="7"/>
  <c r="S46" i="7"/>
  <c r="R46" i="7"/>
  <c r="Q46" i="7"/>
  <c r="P46" i="7"/>
  <c r="O46" i="7"/>
  <c r="N46" i="7"/>
  <c r="M46" i="7"/>
  <c r="L46" i="7"/>
  <c r="K46" i="7"/>
  <c r="J46" i="7"/>
  <c r="I46" i="7"/>
  <c r="H46" i="7"/>
  <c r="G46" i="7"/>
  <c r="F46" i="7"/>
  <c r="E46" i="7"/>
  <c r="D46" i="7"/>
  <c r="C46" i="7"/>
  <c r="B46" i="7"/>
  <c r="AJ45" i="7"/>
  <c r="AI45" i="7"/>
  <c r="AH45" i="7"/>
  <c r="AG45" i="7"/>
  <c r="AF45" i="7"/>
  <c r="AE45" i="7"/>
  <c r="AD45" i="7"/>
  <c r="Z45" i="7"/>
  <c r="Y45" i="7"/>
  <c r="T45" i="7"/>
  <c r="S45" i="7"/>
  <c r="R45" i="7"/>
  <c r="Q45" i="7"/>
  <c r="P45" i="7"/>
  <c r="O45" i="7"/>
  <c r="N45" i="7"/>
  <c r="M45" i="7"/>
  <c r="L45" i="7"/>
  <c r="K45" i="7"/>
  <c r="J45" i="7"/>
  <c r="I45" i="7"/>
  <c r="H45" i="7"/>
  <c r="G45" i="7"/>
  <c r="F45" i="7"/>
  <c r="E45" i="7"/>
  <c r="D45" i="7"/>
  <c r="C45" i="7"/>
  <c r="B45" i="7"/>
  <c r="AJ44" i="7"/>
  <c r="AI44" i="7"/>
  <c r="AH44" i="7"/>
  <c r="AG44" i="7"/>
  <c r="AF44" i="7"/>
  <c r="AE44" i="7"/>
  <c r="AD44" i="7"/>
  <c r="AB44" i="7"/>
  <c r="AA44" i="7"/>
  <c r="T44" i="7"/>
  <c r="S44" i="7"/>
  <c r="R44" i="7"/>
  <c r="Q44" i="7"/>
  <c r="P44" i="7"/>
  <c r="O44" i="7"/>
  <c r="N44" i="7"/>
  <c r="M44" i="7"/>
  <c r="L44" i="7"/>
  <c r="K44" i="7"/>
  <c r="J44" i="7"/>
  <c r="I44" i="7"/>
  <c r="H44" i="7"/>
  <c r="G44" i="7"/>
  <c r="F44" i="7"/>
  <c r="E44" i="7"/>
  <c r="D44" i="7"/>
  <c r="C44" i="7"/>
  <c r="B44" i="7"/>
  <c r="AJ43" i="7"/>
  <c r="AI43" i="7"/>
  <c r="AH43" i="7"/>
  <c r="AG43" i="7"/>
  <c r="AF43" i="7"/>
  <c r="AE43" i="7"/>
  <c r="AD43" i="7"/>
  <c r="AB43" i="7"/>
  <c r="Z43" i="7"/>
  <c r="Y43" i="7"/>
  <c r="X43" i="7"/>
  <c r="T43" i="7"/>
  <c r="S43" i="7"/>
  <c r="R43" i="7"/>
  <c r="Q43" i="7"/>
  <c r="P43" i="7"/>
  <c r="O43" i="7"/>
  <c r="N43" i="7"/>
  <c r="M43" i="7"/>
  <c r="L43" i="7"/>
  <c r="K43" i="7"/>
  <c r="J43" i="7"/>
  <c r="I43" i="7"/>
  <c r="H43" i="7"/>
  <c r="G43" i="7"/>
  <c r="F43" i="7"/>
  <c r="E43" i="7"/>
  <c r="D43" i="7"/>
  <c r="C43" i="7"/>
  <c r="B43" i="7"/>
  <c r="AJ42" i="7"/>
  <c r="AI42" i="7"/>
  <c r="AH42" i="7"/>
  <c r="AG42" i="7"/>
  <c r="AF42" i="7"/>
  <c r="AE42" i="7"/>
  <c r="AD42" i="7"/>
  <c r="AB42" i="7"/>
  <c r="Z42" i="7"/>
  <c r="T42" i="7"/>
  <c r="S42" i="7"/>
  <c r="R42" i="7"/>
  <c r="Q42" i="7"/>
  <c r="P42" i="7"/>
  <c r="O42" i="7"/>
  <c r="N42" i="7"/>
  <c r="M42" i="7"/>
  <c r="L42" i="7"/>
  <c r="K42" i="7"/>
  <c r="J42" i="7"/>
  <c r="I42" i="7"/>
  <c r="H42" i="7"/>
  <c r="G42" i="7"/>
  <c r="F42" i="7"/>
  <c r="E42" i="7"/>
  <c r="D42" i="7"/>
  <c r="C42" i="7"/>
  <c r="B42" i="7"/>
  <c r="AJ41" i="7"/>
  <c r="AI41" i="7"/>
  <c r="AH41" i="7"/>
  <c r="AG41" i="7"/>
  <c r="AF41" i="7"/>
  <c r="AE41" i="7"/>
  <c r="AD41" i="7"/>
  <c r="AC41" i="7"/>
  <c r="AB41" i="7"/>
  <c r="W41" i="7"/>
  <c r="V41" i="7"/>
  <c r="S41" i="7"/>
  <c r="R41" i="7"/>
  <c r="Q41" i="7"/>
  <c r="P41" i="7"/>
  <c r="O41" i="7"/>
  <c r="N41" i="7"/>
  <c r="M41" i="7"/>
  <c r="L41" i="7"/>
  <c r="K41" i="7"/>
  <c r="J41" i="7"/>
  <c r="I41" i="7"/>
  <c r="H41" i="7"/>
  <c r="G41" i="7"/>
  <c r="F41" i="7"/>
  <c r="E41" i="7"/>
  <c r="D41" i="7"/>
  <c r="C41" i="7"/>
  <c r="B41" i="7"/>
  <c r="AJ40" i="7"/>
  <c r="AI40" i="7"/>
  <c r="AH40" i="7"/>
  <c r="AG40" i="7"/>
  <c r="AF40" i="7"/>
  <c r="AE40" i="7"/>
  <c r="AD40" i="7"/>
  <c r="W40" i="7"/>
  <c r="T40" i="7"/>
  <c r="S40" i="7"/>
  <c r="R40" i="7"/>
  <c r="Q40" i="7"/>
  <c r="P40" i="7"/>
  <c r="O40" i="7"/>
  <c r="N40" i="7"/>
  <c r="M40" i="7"/>
  <c r="L40" i="7"/>
  <c r="K40" i="7"/>
  <c r="J40" i="7"/>
  <c r="I40" i="7"/>
  <c r="H40" i="7"/>
  <c r="G40" i="7"/>
  <c r="F40" i="7"/>
  <c r="E40" i="7"/>
  <c r="D40" i="7"/>
  <c r="C40" i="7"/>
  <c r="B40" i="7"/>
  <c r="AJ39" i="7"/>
  <c r="AI39" i="7"/>
  <c r="AH39" i="7"/>
  <c r="AG39" i="7"/>
  <c r="AF39" i="7"/>
  <c r="AE39" i="7"/>
  <c r="AD39" i="7"/>
  <c r="AA39" i="7"/>
  <c r="Z39" i="7"/>
  <c r="T39" i="7"/>
  <c r="S39" i="7"/>
  <c r="R39" i="7"/>
  <c r="Q39" i="7"/>
  <c r="P39" i="7"/>
  <c r="O39" i="7"/>
  <c r="N39" i="7"/>
  <c r="M39" i="7"/>
  <c r="L39" i="7"/>
  <c r="K39" i="7"/>
  <c r="J39" i="7"/>
  <c r="I39" i="7"/>
  <c r="H39" i="7"/>
  <c r="G39" i="7"/>
  <c r="F39" i="7"/>
  <c r="E39" i="7"/>
  <c r="D39" i="7"/>
  <c r="C39" i="7"/>
  <c r="B39" i="7"/>
  <c r="AJ38" i="7"/>
  <c r="AI38" i="7"/>
  <c r="AH38" i="7"/>
  <c r="AG38" i="7"/>
  <c r="AF38" i="7"/>
  <c r="AD38" i="7"/>
  <c r="AC38" i="7"/>
  <c r="Y38" i="7"/>
  <c r="S38" i="7"/>
  <c r="N38" i="7"/>
  <c r="M38" i="7"/>
  <c r="L38" i="7"/>
  <c r="I38" i="7"/>
  <c r="H38" i="7"/>
  <c r="G38" i="7"/>
  <c r="F38" i="7"/>
  <c r="E38" i="7"/>
  <c r="D38" i="7"/>
  <c r="AJ37" i="7"/>
  <c r="AI37" i="7"/>
  <c r="AH37" i="7"/>
  <c r="AG37" i="7"/>
  <c r="AF37" i="7"/>
  <c r="AE37" i="7"/>
  <c r="AD37" i="7"/>
  <c r="AB37" i="7"/>
  <c r="Z37" i="7"/>
  <c r="T37" i="7"/>
  <c r="S37" i="7"/>
  <c r="R37" i="7"/>
  <c r="Q37" i="7"/>
  <c r="P37" i="7"/>
  <c r="O37" i="7"/>
  <c r="N37" i="7"/>
  <c r="M37" i="7"/>
  <c r="L37" i="7"/>
  <c r="K37" i="7"/>
  <c r="J37" i="7"/>
  <c r="I37" i="7"/>
  <c r="H37" i="7"/>
  <c r="G37" i="7"/>
  <c r="F37" i="7"/>
  <c r="E37" i="7"/>
  <c r="D37" i="7"/>
  <c r="C37" i="7"/>
  <c r="B37" i="7"/>
  <c r="AJ36" i="7"/>
  <c r="AI36" i="7"/>
  <c r="AH36" i="7"/>
  <c r="AG36" i="7"/>
  <c r="AF36" i="7"/>
  <c r="AE36" i="7"/>
  <c r="AD36" i="7"/>
  <c r="Z36" i="7"/>
  <c r="T36" i="7"/>
  <c r="S36" i="7"/>
  <c r="R36" i="7"/>
  <c r="Q36" i="7"/>
  <c r="P36" i="7"/>
  <c r="O36" i="7"/>
  <c r="N36" i="7"/>
  <c r="M36" i="7"/>
  <c r="L36" i="7"/>
  <c r="K36" i="7"/>
  <c r="J36" i="7"/>
  <c r="I36" i="7"/>
  <c r="H36" i="7"/>
  <c r="G36" i="7"/>
  <c r="F36" i="7"/>
  <c r="E36" i="7"/>
  <c r="D36" i="7"/>
  <c r="C36" i="7"/>
  <c r="B36" i="7"/>
  <c r="AJ35" i="7"/>
  <c r="AI35" i="7"/>
  <c r="AH35" i="7"/>
  <c r="AG35" i="7"/>
  <c r="AF35" i="7"/>
  <c r="AE35" i="7"/>
  <c r="AD35" i="7"/>
  <c r="AC35" i="7"/>
  <c r="T35" i="7"/>
  <c r="S35" i="7"/>
  <c r="R35" i="7"/>
  <c r="Q35" i="7"/>
  <c r="P35" i="7"/>
  <c r="O35" i="7"/>
  <c r="N35" i="7"/>
  <c r="M35" i="7"/>
  <c r="L35" i="7"/>
  <c r="K35" i="7"/>
  <c r="J35" i="7"/>
  <c r="I35" i="7"/>
  <c r="H35" i="7"/>
  <c r="G35" i="7"/>
  <c r="F35" i="7"/>
  <c r="E35" i="7"/>
  <c r="D35" i="7"/>
  <c r="C35" i="7"/>
  <c r="B35" i="7"/>
  <c r="AJ34" i="7"/>
  <c r="AI34" i="7"/>
  <c r="AH34" i="7"/>
  <c r="AG34" i="7"/>
  <c r="AF34" i="7"/>
  <c r="AE34" i="7"/>
  <c r="AD34" i="7"/>
  <c r="T34" i="7"/>
  <c r="S34" i="7"/>
  <c r="R34" i="7"/>
  <c r="Q34" i="7"/>
  <c r="P34" i="7"/>
  <c r="O34" i="7"/>
  <c r="N34" i="7"/>
  <c r="M34" i="7"/>
  <c r="L34" i="7"/>
  <c r="K34" i="7"/>
  <c r="J34" i="7"/>
  <c r="I34" i="7"/>
  <c r="H34" i="7"/>
  <c r="G34" i="7"/>
  <c r="F34" i="7"/>
  <c r="E34" i="7"/>
  <c r="D34" i="7"/>
  <c r="C34" i="7"/>
  <c r="B34" i="7"/>
  <c r="AJ33" i="7"/>
  <c r="AI33" i="7"/>
  <c r="AH33" i="7"/>
  <c r="AG33" i="7"/>
  <c r="AF33" i="7"/>
  <c r="AE33" i="7"/>
  <c r="AD33" i="7"/>
  <c r="AB33" i="7"/>
  <c r="T33" i="7"/>
  <c r="S33" i="7"/>
  <c r="R33" i="7"/>
  <c r="Q33" i="7"/>
  <c r="P33" i="7"/>
  <c r="O33" i="7"/>
  <c r="N33" i="7"/>
  <c r="M33" i="7"/>
  <c r="L33" i="7"/>
  <c r="K33" i="7"/>
  <c r="J33" i="7"/>
  <c r="I33" i="7"/>
  <c r="H33" i="7"/>
  <c r="G33" i="7"/>
  <c r="F33" i="7"/>
  <c r="E33" i="7"/>
  <c r="D33" i="7"/>
  <c r="C33" i="7"/>
  <c r="B33" i="7"/>
  <c r="AJ32" i="7"/>
  <c r="AI32" i="7"/>
  <c r="AH32" i="7"/>
  <c r="AG32" i="7"/>
  <c r="AF32" i="7"/>
  <c r="AE32" i="7"/>
  <c r="AD32" i="7"/>
  <c r="AB32" i="7"/>
  <c r="Y32" i="7"/>
  <c r="T32" i="7"/>
  <c r="S32" i="7"/>
  <c r="R32" i="7"/>
  <c r="Q32" i="7"/>
  <c r="P32" i="7"/>
  <c r="O32" i="7"/>
  <c r="N32" i="7"/>
  <c r="M32" i="7"/>
  <c r="L32" i="7"/>
  <c r="K32" i="7"/>
  <c r="J32" i="7"/>
  <c r="I32" i="7"/>
  <c r="H32" i="7"/>
  <c r="G32" i="7"/>
  <c r="F32" i="7"/>
  <c r="E32" i="7"/>
  <c r="D32" i="7"/>
  <c r="C32" i="7"/>
  <c r="B32" i="7"/>
  <c r="AJ31" i="7"/>
  <c r="AI31" i="7"/>
  <c r="AH31" i="7"/>
  <c r="AG31" i="7"/>
  <c r="AF31" i="7"/>
  <c r="AE31" i="7"/>
  <c r="AD31" i="7"/>
  <c r="AA31" i="7"/>
  <c r="Z31" i="7"/>
  <c r="Y31" i="7"/>
  <c r="T31" i="7"/>
  <c r="S31" i="7"/>
  <c r="R31" i="7"/>
  <c r="Q31" i="7"/>
  <c r="P31" i="7"/>
  <c r="O31" i="7"/>
  <c r="N31" i="7"/>
  <c r="M31" i="7"/>
  <c r="L31" i="7"/>
  <c r="K31" i="7"/>
  <c r="J31" i="7"/>
  <c r="I31" i="7"/>
  <c r="H31" i="7"/>
  <c r="G31" i="7"/>
  <c r="F31" i="7"/>
  <c r="E31" i="7"/>
  <c r="D31" i="7"/>
  <c r="C31" i="7"/>
  <c r="B31" i="7"/>
  <c r="AJ30" i="7"/>
  <c r="AI30" i="7"/>
  <c r="AH30" i="7"/>
  <c r="AG30" i="7"/>
  <c r="AF30" i="7"/>
  <c r="AE30" i="7"/>
  <c r="AD30" i="7"/>
  <c r="AC30" i="7"/>
  <c r="AB30" i="7"/>
  <c r="Z30" i="7"/>
  <c r="V30" i="7"/>
  <c r="T30" i="7"/>
  <c r="S30" i="7"/>
  <c r="R30" i="7"/>
  <c r="Q30" i="7"/>
  <c r="P30" i="7"/>
  <c r="O30" i="7"/>
  <c r="N30" i="7"/>
  <c r="M30" i="7"/>
  <c r="L30" i="7"/>
  <c r="K30" i="7"/>
  <c r="J30" i="7"/>
  <c r="I30" i="7"/>
  <c r="H30" i="7"/>
  <c r="G30" i="7"/>
  <c r="F30" i="7"/>
  <c r="E30" i="7"/>
  <c r="D30" i="7"/>
  <c r="C30" i="7"/>
  <c r="B30" i="7"/>
  <c r="AJ29" i="7"/>
  <c r="AI29" i="7"/>
  <c r="AH29" i="7"/>
  <c r="AG29" i="7"/>
  <c r="AF29" i="7"/>
  <c r="AE29" i="7"/>
  <c r="AD29" i="7"/>
  <c r="AC29" i="7"/>
  <c r="AA29" i="7"/>
  <c r="Z29" i="7"/>
  <c r="X29" i="7"/>
  <c r="W29" i="7"/>
  <c r="T29" i="7"/>
  <c r="R29" i="7"/>
  <c r="Q29" i="7"/>
  <c r="P29" i="7"/>
  <c r="O29" i="7"/>
  <c r="N29" i="7"/>
  <c r="M29" i="7"/>
  <c r="L29" i="7"/>
  <c r="K29" i="7"/>
  <c r="J29" i="7"/>
  <c r="I29" i="7"/>
  <c r="H29" i="7"/>
  <c r="G29" i="7"/>
  <c r="F29" i="7"/>
  <c r="E29" i="7"/>
  <c r="D29" i="7"/>
  <c r="C29" i="7"/>
  <c r="B29" i="7"/>
  <c r="AJ28" i="7"/>
  <c r="AI28" i="7"/>
  <c r="AH28" i="7"/>
  <c r="AG28" i="7"/>
  <c r="AF28" i="7"/>
  <c r="AE28" i="7"/>
  <c r="AD28" i="7"/>
  <c r="Z28" i="7"/>
  <c r="T28" i="7"/>
  <c r="S28" i="7"/>
  <c r="R28" i="7"/>
  <c r="Q28" i="7"/>
  <c r="P28" i="7"/>
  <c r="O28" i="7"/>
  <c r="N28" i="7"/>
  <c r="M28" i="7"/>
  <c r="L28" i="7"/>
  <c r="K28" i="7"/>
  <c r="J28" i="7"/>
  <c r="I28" i="7"/>
  <c r="H28" i="7"/>
  <c r="G28" i="7"/>
  <c r="F28" i="7"/>
  <c r="E28" i="7"/>
  <c r="D28" i="7"/>
  <c r="C28" i="7"/>
  <c r="B28" i="7"/>
  <c r="AJ27" i="7"/>
  <c r="AI27" i="7"/>
  <c r="AH27" i="7"/>
  <c r="AG27" i="7"/>
  <c r="AF27" i="7"/>
  <c r="AE27" i="7"/>
  <c r="AD27" i="7"/>
  <c r="AC27" i="7"/>
  <c r="AA27" i="7"/>
  <c r="Y27" i="7"/>
  <c r="V27" i="7"/>
  <c r="T27" i="7"/>
  <c r="S27" i="7"/>
  <c r="R27" i="7"/>
  <c r="Q27" i="7"/>
  <c r="P27" i="7"/>
  <c r="O27" i="7"/>
  <c r="N27" i="7"/>
  <c r="M27" i="7"/>
  <c r="L27" i="7"/>
  <c r="K27" i="7"/>
  <c r="J27" i="7"/>
  <c r="I27" i="7"/>
  <c r="H27" i="7"/>
  <c r="G27" i="7"/>
  <c r="F27" i="7"/>
  <c r="E27" i="7"/>
  <c r="D27" i="7"/>
  <c r="C27" i="7"/>
  <c r="B27" i="7"/>
  <c r="AJ26" i="7"/>
  <c r="AI26" i="7"/>
  <c r="AH26" i="7"/>
  <c r="AG26" i="7"/>
  <c r="AF26" i="7"/>
  <c r="AE26" i="7"/>
  <c r="AC26" i="7"/>
  <c r="Z26" i="7"/>
  <c r="T26" i="7"/>
  <c r="S26" i="7"/>
  <c r="R26" i="7"/>
  <c r="Q26" i="7"/>
  <c r="P26" i="7"/>
  <c r="O26" i="7"/>
  <c r="N26" i="7"/>
  <c r="M26" i="7"/>
  <c r="L26" i="7"/>
  <c r="K26" i="7"/>
  <c r="J26" i="7"/>
  <c r="I26" i="7"/>
  <c r="H26" i="7"/>
  <c r="G26" i="7"/>
  <c r="F26" i="7"/>
  <c r="E26" i="7"/>
  <c r="D26" i="7"/>
  <c r="C26" i="7"/>
  <c r="B26" i="7"/>
  <c r="AJ25" i="7"/>
  <c r="AI25" i="7"/>
  <c r="AH25" i="7"/>
  <c r="AG25" i="7"/>
  <c r="AF25" i="7"/>
  <c r="AE25" i="7"/>
  <c r="AD25" i="7"/>
  <c r="Z25" i="7"/>
  <c r="T25" i="7"/>
  <c r="S25" i="7"/>
  <c r="R25" i="7"/>
  <c r="Q25" i="7"/>
  <c r="P25" i="7"/>
  <c r="O25" i="7"/>
  <c r="N25" i="7"/>
  <c r="M25" i="7"/>
  <c r="L25" i="7"/>
  <c r="K25" i="7"/>
  <c r="J25" i="7"/>
  <c r="I25" i="7"/>
  <c r="H25" i="7"/>
  <c r="G25" i="7"/>
  <c r="F25" i="7"/>
  <c r="E25" i="7"/>
  <c r="D25" i="7"/>
  <c r="C25" i="7"/>
  <c r="B25" i="7"/>
  <c r="AJ24" i="7"/>
  <c r="AI24" i="7"/>
  <c r="AH24" i="7"/>
  <c r="AG24" i="7"/>
  <c r="AF24" i="7"/>
  <c r="AE24" i="7"/>
  <c r="AD24" i="7"/>
  <c r="AC24" i="7"/>
  <c r="AA24" i="7"/>
  <c r="W24" i="7"/>
  <c r="T24" i="7"/>
  <c r="S24" i="7"/>
  <c r="R24" i="7"/>
  <c r="Q24" i="7"/>
  <c r="P24" i="7"/>
  <c r="O24" i="7"/>
  <c r="N24" i="7"/>
  <c r="M24" i="7"/>
  <c r="L24" i="7"/>
  <c r="K24" i="7"/>
  <c r="J24" i="7"/>
  <c r="I24" i="7"/>
  <c r="H24" i="7"/>
  <c r="G24" i="7"/>
  <c r="F24" i="7"/>
  <c r="E24" i="7"/>
  <c r="D24" i="7"/>
  <c r="C24" i="7"/>
  <c r="B24" i="7"/>
  <c r="AJ23" i="7"/>
  <c r="AI23" i="7"/>
  <c r="AH23" i="7"/>
  <c r="AG23" i="7"/>
  <c r="AF23" i="7"/>
  <c r="AE23" i="7"/>
  <c r="AD23" i="7"/>
  <c r="AB23" i="7"/>
  <c r="Z23" i="7"/>
  <c r="T23" i="7"/>
  <c r="S23" i="7"/>
  <c r="R23" i="7"/>
  <c r="Q23" i="7"/>
  <c r="P23" i="7"/>
  <c r="O23" i="7"/>
  <c r="N23" i="7"/>
  <c r="M23" i="7"/>
  <c r="L23" i="7"/>
  <c r="K23" i="7"/>
  <c r="J23" i="7"/>
  <c r="I23" i="7"/>
  <c r="H23" i="7"/>
  <c r="G23" i="7"/>
  <c r="F23" i="7"/>
  <c r="E23" i="7"/>
  <c r="D23" i="7"/>
  <c r="C23" i="7"/>
  <c r="B23" i="7"/>
  <c r="AJ22" i="7"/>
  <c r="AI22" i="7"/>
  <c r="AH22" i="7"/>
  <c r="AG22" i="7"/>
  <c r="AF22" i="7"/>
  <c r="AE22" i="7"/>
  <c r="AD22" i="7"/>
  <c r="AB22" i="7"/>
  <c r="Z22" i="7"/>
  <c r="T22" i="7"/>
  <c r="S22" i="7"/>
  <c r="R22" i="7"/>
  <c r="Q22" i="7"/>
  <c r="P22" i="7"/>
  <c r="O22" i="7"/>
  <c r="N22" i="7"/>
  <c r="M22" i="7"/>
  <c r="L22" i="7"/>
  <c r="K22" i="7"/>
  <c r="J22" i="7"/>
  <c r="I22" i="7"/>
  <c r="H22" i="7"/>
  <c r="G22" i="7"/>
  <c r="F22" i="7"/>
  <c r="E22" i="7"/>
  <c r="D22" i="7"/>
  <c r="C22" i="7"/>
  <c r="B22" i="7"/>
  <c r="AJ21" i="7"/>
  <c r="AI21" i="7"/>
  <c r="AH21" i="7"/>
  <c r="AG21" i="7"/>
  <c r="AF21" i="7"/>
  <c r="AE21" i="7"/>
  <c r="AD21" i="7"/>
  <c r="AB21" i="7"/>
  <c r="Z21" i="7"/>
  <c r="Y21" i="7"/>
  <c r="T21" i="7"/>
  <c r="S21" i="7"/>
  <c r="R21" i="7"/>
  <c r="Q21" i="7"/>
  <c r="P21" i="7"/>
  <c r="O21" i="7"/>
  <c r="N21" i="7"/>
  <c r="M21" i="7"/>
  <c r="L21" i="7"/>
  <c r="K21" i="7"/>
  <c r="J21" i="7"/>
  <c r="I21" i="7"/>
  <c r="H21" i="7"/>
  <c r="G21" i="7"/>
  <c r="F21" i="7"/>
  <c r="E21" i="7"/>
  <c r="D21" i="7"/>
  <c r="C21" i="7"/>
  <c r="B21" i="7"/>
  <c r="AJ20" i="7"/>
  <c r="AI20" i="7"/>
  <c r="AH20" i="7"/>
  <c r="AG20" i="7"/>
  <c r="AF20" i="7"/>
  <c r="AE20" i="7"/>
  <c r="T20" i="7"/>
  <c r="S20" i="7"/>
  <c r="R20" i="7"/>
  <c r="Q20" i="7"/>
  <c r="P20" i="7"/>
  <c r="O20" i="7"/>
  <c r="N20" i="7"/>
  <c r="M20" i="7"/>
  <c r="L20" i="7"/>
  <c r="K20" i="7"/>
  <c r="J20" i="7"/>
  <c r="I20" i="7"/>
  <c r="H20" i="7"/>
  <c r="G20" i="7"/>
  <c r="F20" i="7"/>
  <c r="E20" i="7"/>
  <c r="D20" i="7"/>
  <c r="C20" i="7"/>
  <c r="B20" i="7"/>
  <c r="AJ19" i="7"/>
  <c r="AI19" i="7"/>
  <c r="AH19" i="7"/>
  <c r="AG19" i="7"/>
  <c r="AF19" i="7"/>
  <c r="AE19" i="7"/>
  <c r="AB19" i="7"/>
  <c r="T19" i="7"/>
  <c r="S19" i="7"/>
  <c r="R19" i="7"/>
  <c r="Q19" i="7"/>
  <c r="P19" i="7"/>
  <c r="O19" i="7"/>
  <c r="N19" i="7"/>
  <c r="M19" i="7"/>
  <c r="L19" i="7"/>
  <c r="K19" i="7"/>
  <c r="J19" i="7"/>
  <c r="I19" i="7"/>
  <c r="H19" i="7"/>
  <c r="G19" i="7"/>
  <c r="F19" i="7"/>
  <c r="E19" i="7"/>
  <c r="D19" i="7"/>
  <c r="C19" i="7"/>
  <c r="B19" i="7"/>
  <c r="AJ18" i="7"/>
  <c r="AI18" i="7"/>
  <c r="AH18" i="7"/>
  <c r="AG18" i="7"/>
  <c r="AF18" i="7"/>
  <c r="AE18" i="7"/>
  <c r="AC18" i="7"/>
  <c r="AB18" i="7"/>
  <c r="Z18" i="7"/>
  <c r="W18" i="7"/>
  <c r="V18" i="7"/>
  <c r="T18" i="7"/>
  <c r="S18" i="7"/>
  <c r="R18" i="7"/>
  <c r="Q18" i="7"/>
  <c r="P18" i="7"/>
  <c r="O18" i="7"/>
  <c r="N18" i="7"/>
  <c r="M18" i="7"/>
  <c r="L18" i="7"/>
  <c r="K18" i="7"/>
  <c r="J18" i="7"/>
  <c r="I18" i="7"/>
  <c r="H18" i="7"/>
  <c r="G18" i="7"/>
  <c r="F18" i="7"/>
  <c r="E18" i="7"/>
  <c r="D18" i="7"/>
  <c r="C18" i="7"/>
  <c r="B18" i="7"/>
  <c r="AJ17" i="7"/>
  <c r="AI17" i="7"/>
  <c r="AH17" i="7"/>
  <c r="AG17" i="7"/>
  <c r="AF17" i="7"/>
  <c r="AE17" i="7"/>
  <c r="AD17" i="7"/>
  <c r="AC17" i="7"/>
  <c r="T17" i="7"/>
  <c r="S17" i="7"/>
  <c r="R17" i="7"/>
  <c r="Q17" i="7"/>
  <c r="P17" i="7"/>
  <c r="O17" i="7"/>
  <c r="N17" i="7"/>
  <c r="M17" i="7"/>
  <c r="L17" i="7"/>
  <c r="K17" i="7"/>
  <c r="J17" i="7"/>
  <c r="I17" i="7"/>
  <c r="H17" i="7"/>
  <c r="G17" i="7"/>
  <c r="F17" i="7"/>
  <c r="E17" i="7"/>
  <c r="D17" i="7"/>
  <c r="C17" i="7"/>
  <c r="B17" i="7"/>
  <c r="AJ16" i="7"/>
  <c r="AI16" i="7"/>
  <c r="AH16" i="7"/>
  <c r="AG16" i="7"/>
  <c r="AF16" i="7"/>
  <c r="AE16" i="7"/>
  <c r="AD16" i="7"/>
  <c r="AA16" i="7"/>
  <c r="Z16" i="7"/>
  <c r="V16" i="7"/>
  <c r="T16" i="7"/>
  <c r="S16" i="7"/>
  <c r="R16" i="7"/>
  <c r="Q16" i="7"/>
  <c r="P16" i="7"/>
  <c r="O16" i="7"/>
  <c r="N16" i="7"/>
  <c r="M16" i="7"/>
  <c r="L16" i="7"/>
  <c r="K16" i="7"/>
  <c r="J16" i="7"/>
  <c r="I16" i="7"/>
  <c r="H16" i="7"/>
  <c r="G16" i="7"/>
  <c r="F16" i="7"/>
  <c r="E16" i="7"/>
  <c r="D16" i="7"/>
  <c r="C16" i="7"/>
  <c r="B16" i="7"/>
  <c r="AJ15" i="7"/>
  <c r="AI15" i="7"/>
  <c r="AH15" i="7"/>
  <c r="AG15" i="7"/>
  <c r="AF15" i="7"/>
  <c r="AE15" i="7"/>
  <c r="AD15" i="7"/>
  <c r="AC15" i="7"/>
  <c r="AA15" i="7"/>
  <c r="X15" i="7"/>
  <c r="W15" i="7"/>
  <c r="T15" i="7"/>
  <c r="S15" i="7"/>
  <c r="R15" i="7"/>
  <c r="Q15" i="7"/>
  <c r="P15" i="7"/>
  <c r="O15" i="7"/>
  <c r="N15" i="7"/>
  <c r="M15" i="7"/>
  <c r="L15" i="7"/>
  <c r="K15" i="7"/>
  <c r="J15" i="7"/>
  <c r="I15" i="7"/>
  <c r="H15" i="7"/>
  <c r="G15" i="7"/>
  <c r="F15" i="7"/>
  <c r="E15" i="7"/>
  <c r="D15" i="7"/>
  <c r="C15" i="7"/>
  <c r="B15" i="7"/>
  <c r="AJ14" i="7"/>
  <c r="AI14" i="7"/>
  <c r="AH14" i="7"/>
  <c r="AG14" i="7"/>
  <c r="AF14" i="7"/>
  <c r="AE14" i="7"/>
  <c r="AD14" i="7"/>
  <c r="AC14" i="7"/>
  <c r="T14" i="7"/>
  <c r="S14" i="7"/>
  <c r="R14" i="7"/>
  <c r="Q14" i="7"/>
  <c r="P14" i="7"/>
  <c r="O14" i="7"/>
  <c r="N14" i="7"/>
  <c r="M14" i="7"/>
  <c r="L14" i="7"/>
  <c r="K14" i="7"/>
  <c r="J14" i="7"/>
  <c r="I14" i="7"/>
  <c r="H14" i="7"/>
  <c r="G14" i="7"/>
  <c r="F14" i="7"/>
  <c r="E14" i="7"/>
  <c r="D14" i="7"/>
  <c r="C14" i="7"/>
  <c r="B14" i="7"/>
  <c r="AJ13" i="7"/>
  <c r="AI13" i="7"/>
  <c r="AH13" i="7"/>
  <c r="AG13" i="7"/>
  <c r="AF13" i="7"/>
  <c r="AE13" i="7"/>
  <c r="AD13" i="7"/>
  <c r="AB13" i="7"/>
  <c r="AA13" i="7"/>
  <c r="Z13" i="7"/>
  <c r="Y13" i="7"/>
  <c r="V13" i="7"/>
  <c r="T13" i="7"/>
  <c r="S13" i="7"/>
  <c r="R13" i="7"/>
  <c r="Q13" i="7"/>
  <c r="P13" i="7"/>
  <c r="O13" i="7"/>
  <c r="N13" i="7"/>
  <c r="M13" i="7"/>
  <c r="L13" i="7"/>
  <c r="K13" i="7"/>
  <c r="J13" i="7"/>
  <c r="I13" i="7"/>
  <c r="H13" i="7"/>
  <c r="G13" i="7"/>
  <c r="F13" i="7"/>
  <c r="E13" i="7"/>
  <c r="D13" i="7"/>
  <c r="C13" i="7"/>
  <c r="B13" i="7"/>
  <c r="AJ12" i="7"/>
  <c r="AI12" i="7"/>
  <c r="AH12" i="7"/>
  <c r="AG12" i="7"/>
  <c r="AF12" i="7"/>
  <c r="AE12" i="7"/>
  <c r="AD12" i="7"/>
  <c r="AC12" i="7"/>
  <c r="AA12" i="7"/>
  <c r="W12" i="7"/>
  <c r="T12" i="7"/>
  <c r="S12" i="7"/>
  <c r="R12" i="7"/>
  <c r="Q12" i="7"/>
  <c r="P12" i="7"/>
  <c r="O12" i="7"/>
  <c r="N12" i="7"/>
  <c r="M12" i="7"/>
  <c r="L12" i="7"/>
  <c r="K12" i="7"/>
  <c r="J12" i="7"/>
  <c r="I12" i="7"/>
  <c r="H12" i="7"/>
  <c r="G12" i="7"/>
  <c r="F12" i="7"/>
  <c r="E12" i="7"/>
  <c r="D12" i="7"/>
  <c r="C12" i="7"/>
  <c r="B12" i="7"/>
  <c r="AJ11" i="7"/>
  <c r="AI11" i="7"/>
  <c r="AH11" i="7"/>
  <c r="AG11" i="7"/>
  <c r="AF11" i="7"/>
  <c r="AE11" i="7"/>
  <c r="AD11" i="7"/>
  <c r="AB11" i="7"/>
  <c r="AA11" i="7"/>
  <c r="Y11" i="7"/>
  <c r="W11" i="7"/>
  <c r="V11" i="7"/>
  <c r="T11" i="7"/>
  <c r="S11" i="7"/>
  <c r="R11" i="7"/>
  <c r="Q11" i="7"/>
  <c r="P11" i="7"/>
  <c r="O11" i="7"/>
  <c r="N11" i="7"/>
  <c r="M11" i="7"/>
  <c r="L11" i="7"/>
  <c r="K11" i="7"/>
  <c r="J11" i="7"/>
  <c r="I11" i="7"/>
  <c r="H11" i="7"/>
  <c r="G11" i="7"/>
  <c r="F11" i="7"/>
  <c r="E11" i="7"/>
  <c r="D11" i="7"/>
  <c r="C11" i="7"/>
  <c r="B11" i="7"/>
  <c r="AJ10" i="7"/>
  <c r="AI10" i="7"/>
  <c r="AH10" i="7"/>
  <c r="AG10" i="7"/>
  <c r="AF10" i="7"/>
  <c r="AE10" i="7"/>
  <c r="AD10" i="7"/>
  <c r="AC10" i="7"/>
  <c r="AA10" i="7"/>
  <c r="Z10" i="7"/>
  <c r="Y10" i="7"/>
  <c r="T10" i="7"/>
  <c r="S10" i="7"/>
  <c r="R10" i="7"/>
  <c r="Q10" i="7"/>
  <c r="P10" i="7"/>
  <c r="O10" i="7"/>
  <c r="N10" i="7"/>
  <c r="M10" i="7"/>
  <c r="L10" i="7"/>
  <c r="K10" i="7"/>
  <c r="J10" i="7"/>
  <c r="I10" i="7"/>
  <c r="H10" i="7"/>
  <c r="G10" i="7"/>
  <c r="F10" i="7"/>
  <c r="E10" i="7"/>
  <c r="D10" i="7"/>
  <c r="C10" i="7"/>
  <c r="B10" i="7"/>
  <c r="AJ9" i="7"/>
  <c r="AI9" i="7"/>
  <c r="AH9" i="7"/>
  <c r="AG9" i="7"/>
  <c r="AF9" i="7"/>
  <c r="AE9" i="7"/>
  <c r="AD9" i="7"/>
  <c r="AB9" i="7"/>
  <c r="AA9" i="7"/>
  <c r="Z9" i="7"/>
  <c r="Y9" i="7"/>
  <c r="V9" i="7"/>
  <c r="T9" i="7"/>
  <c r="S9" i="7"/>
  <c r="R9" i="7"/>
  <c r="Q9" i="7"/>
  <c r="P9" i="7"/>
  <c r="O9" i="7"/>
  <c r="N9" i="7"/>
  <c r="M9" i="7"/>
  <c r="L9" i="7"/>
  <c r="K9" i="7"/>
  <c r="J9" i="7"/>
  <c r="I9" i="7"/>
  <c r="H9" i="7"/>
  <c r="G9" i="7"/>
  <c r="F9" i="7"/>
  <c r="E9" i="7"/>
  <c r="D9" i="7"/>
  <c r="C9" i="7"/>
  <c r="B9" i="7"/>
  <c r="AJ8" i="7"/>
  <c r="AI8" i="7"/>
  <c r="AH8" i="7"/>
  <c r="AG8" i="7"/>
  <c r="AF8" i="7"/>
  <c r="AE8" i="7"/>
  <c r="AD8" i="7"/>
  <c r="AC8" i="7"/>
  <c r="AA8" i="7"/>
  <c r="Y8" i="7"/>
  <c r="T8" i="7"/>
  <c r="S8" i="7"/>
  <c r="R8" i="7"/>
  <c r="Q8" i="7"/>
  <c r="P8" i="7"/>
  <c r="O8" i="7"/>
  <c r="N8" i="7"/>
  <c r="M8" i="7"/>
  <c r="L8" i="7"/>
  <c r="K8" i="7"/>
  <c r="J8" i="7"/>
  <c r="I8" i="7"/>
  <c r="H8" i="7"/>
  <c r="G8" i="7"/>
  <c r="F8" i="7"/>
  <c r="E8" i="7"/>
  <c r="D8" i="7"/>
  <c r="C8" i="7"/>
  <c r="B8" i="7"/>
  <c r="AJ7" i="7"/>
  <c r="AI7" i="7"/>
  <c r="AH7" i="7"/>
  <c r="AG7" i="7"/>
  <c r="AF7" i="7"/>
  <c r="AE7" i="7"/>
  <c r="AD7" i="7"/>
  <c r="X7" i="7"/>
  <c r="T7" i="7"/>
  <c r="S7" i="7"/>
  <c r="R7" i="7"/>
  <c r="Q7" i="7"/>
  <c r="P7" i="7"/>
  <c r="O7" i="7"/>
  <c r="N7" i="7"/>
  <c r="M7" i="7"/>
  <c r="L7" i="7"/>
  <c r="K7" i="7"/>
  <c r="J7" i="7"/>
  <c r="I7" i="7"/>
  <c r="H7" i="7"/>
  <c r="G7" i="7"/>
  <c r="F7" i="7"/>
  <c r="E7" i="7"/>
  <c r="D7" i="7"/>
  <c r="C7" i="7"/>
  <c r="B7" i="7"/>
  <c r="AJ6" i="7"/>
  <c r="AI6" i="7"/>
  <c r="AH6" i="7"/>
  <c r="AG6" i="7"/>
  <c r="AF6" i="7"/>
  <c r="AE6" i="7"/>
  <c r="Z6" i="7"/>
  <c r="V6" i="7"/>
  <c r="T6" i="7"/>
  <c r="S6" i="7"/>
  <c r="R6" i="7"/>
  <c r="Q6" i="7"/>
  <c r="P6" i="7"/>
  <c r="O6" i="7"/>
  <c r="N6" i="7"/>
  <c r="M6" i="7"/>
  <c r="L6" i="7"/>
  <c r="K6" i="7"/>
  <c r="J6" i="7"/>
  <c r="I6" i="7"/>
  <c r="H6" i="7"/>
  <c r="G6" i="7"/>
  <c r="F6" i="7"/>
  <c r="E6" i="7"/>
  <c r="D6" i="7"/>
  <c r="C6" i="7"/>
  <c r="B6" i="7"/>
  <c r="AJ5" i="7"/>
  <c r="AI5" i="7"/>
  <c r="AH5" i="7"/>
  <c r="AG5" i="7"/>
  <c r="AF5" i="7"/>
  <c r="AE5" i="7"/>
  <c r="AD5" i="7"/>
  <c r="AC5" i="7"/>
  <c r="AA5" i="7"/>
  <c r="Z5" i="7"/>
  <c r="V5" i="7"/>
  <c r="T5" i="7"/>
  <c r="S5" i="7"/>
  <c r="R5" i="7"/>
  <c r="Q5" i="7"/>
  <c r="P5" i="7"/>
  <c r="O5" i="7"/>
  <c r="N5" i="7"/>
  <c r="M5" i="7"/>
  <c r="L5" i="7"/>
  <c r="K5" i="7"/>
  <c r="J5" i="7"/>
  <c r="I5" i="7"/>
  <c r="H5" i="7"/>
  <c r="G5" i="7"/>
  <c r="F5" i="7"/>
  <c r="E5" i="7"/>
  <c r="D5" i="7"/>
  <c r="C5" i="7"/>
  <c r="B5" i="7"/>
  <c r="AJ4" i="7"/>
  <c r="AI4" i="7"/>
  <c r="AH4" i="7"/>
  <c r="AG4" i="7"/>
  <c r="AF4" i="7"/>
  <c r="AE4" i="7"/>
  <c r="AD4" i="7"/>
  <c r="AB4" i="7"/>
  <c r="Z4" i="7"/>
  <c r="T4" i="7"/>
  <c r="S4" i="7"/>
  <c r="R4" i="7"/>
  <c r="Q4" i="7"/>
  <c r="P4" i="7"/>
  <c r="O4" i="7"/>
  <c r="N4" i="7"/>
  <c r="M4" i="7"/>
  <c r="L4" i="7"/>
  <c r="K4" i="7"/>
  <c r="J4" i="7"/>
  <c r="I4" i="7"/>
  <c r="H4" i="7"/>
  <c r="G4" i="7"/>
  <c r="F4" i="7"/>
  <c r="E4" i="7"/>
  <c r="D4" i="7"/>
  <c r="C4" i="7"/>
  <c r="B4" i="7"/>
  <c r="AJ3" i="7"/>
  <c r="AI3" i="7"/>
  <c r="AH3" i="7"/>
  <c r="AG3" i="7"/>
  <c r="AF3" i="7"/>
  <c r="AE3" i="7"/>
  <c r="AD3" i="7"/>
  <c r="AB3" i="7"/>
  <c r="AA3" i="7"/>
  <c r="X3" i="7"/>
  <c r="W3" i="7"/>
  <c r="T3" i="7"/>
  <c r="S3" i="7"/>
  <c r="R3" i="7"/>
  <c r="Q3" i="7"/>
  <c r="P3" i="7"/>
  <c r="O3" i="7"/>
  <c r="N3" i="7"/>
  <c r="M3" i="7"/>
  <c r="L3" i="7"/>
  <c r="K3" i="7"/>
  <c r="J3" i="7"/>
  <c r="I3" i="7"/>
  <c r="H3" i="7"/>
  <c r="G3" i="7"/>
  <c r="F3" i="7"/>
  <c r="E3" i="7"/>
  <c r="D3" i="7"/>
  <c r="C3" i="7"/>
  <c r="B3" i="7"/>
  <c r="AJ2" i="7"/>
  <c r="AI2" i="7"/>
  <c r="AH2" i="7"/>
  <c r="AG2" i="7"/>
  <c r="AE2" i="7"/>
  <c r="AD2" i="7"/>
  <c r="K38" i="6" s="1"/>
  <c r="AC2" i="7"/>
  <c r="AB2" i="7"/>
  <c r="AA2" i="7"/>
  <c r="Z2" i="7"/>
  <c r="Y2" i="7"/>
  <c r="X2" i="7"/>
  <c r="X120" i="7" s="1"/>
  <c r="W2" i="7"/>
  <c r="V2" i="7"/>
  <c r="U2" i="7"/>
  <c r="T2" i="7"/>
  <c r="S2" i="7"/>
  <c r="R2" i="7"/>
  <c r="Q2" i="7"/>
  <c r="P2" i="7"/>
  <c r="O2" i="7"/>
  <c r="N2" i="7"/>
  <c r="M2" i="7"/>
  <c r="L2" i="7"/>
  <c r="K2" i="7"/>
  <c r="J2" i="7"/>
  <c r="I2" i="7"/>
  <c r="H2" i="7"/>
  <c r="G2" i="7"/>
  <c r="F2" i="7"/>
  <c r="E2" i="7"/>
  <c r="D2" i="7"/>
  <c r="C2" i="7"/>
  <c r="B2" i="7"/>
  <c r="Q80" i="6"/>
  <c r="P80" i="6"/>
  <c r="O80" i="6"/>
  <c r="N80" i="6"/>
  <c r="Q79" i="6"/>
  <c r="P79" i="6"/>
  <c r="O79" i="6"/>
  <c r="N79" i="6"/>
  <c r="B79" i="6"/>
  <c r="N78" i="6"/>
  <c r="B78" i="6"/>
  <c r="P77" i="6"/>
  <c r="N77" i="6"/>
  <c r="B77" i="6"/>
  <c r="Q76" i="6"/>
  <c r="P76" i="6"/>
  <c r="N76" i="6"/>
  <c r="B76" i="6"/>
  <c r="Q75" i="6"/>
  <c r="P75" i="6"/>
  <c r="N75" i="6"/>
  <c r="B75" i="6"/>
  <c r="P74" i="6"/>
  <c r="N74" i="6"/>
  <c r="B74" i="6"/>
  <c r="N73" i="6"/>
  <c r="C73" i="6"/>
  <c r="B73" i="6"/>
  <c r="N72" i="6"/>
  <c r="B72" i="6"/>
  <c r="N71" i="6"/>
  <c r="B71" i="6"/>
  <c r="O70" i="6"/>
  <c r="AC155" i="7" s="1"/>
  <c r="N70" i="6"/>
  <c r="B70" i="6"/>
  <c r="O69" i="6"/>
  <c r="N69" i="6"/>
  <c r="C69" i="6"/>
  <c r="B69" i="6"/>
  <c r="O68" i="6"/>
  <c r="N68" i="6"/>
  <c r="B68" i="6"/>
  <c r="O67" i="6"/>
  <c r="N67" i="6"/>
  <c r="B67" i="6"/>
  <c r="N66" i="6"/>
  <c r="B66" i="6"/>
  <c r="B65" i="6"/>
  <c r="Q64" i="6"/>
  <c r="Q65" i="6" s="1"/>
  <c r="Q66" i="6" s="1"/>
  <c r="Q67" i="6" s="1"/>
  <c r="Q68" i="6" s="1"/>
  <c r="Q69" i="6" s="1"/>
  <c r="Q70" i="6" s="1"/>
  <c r="Q71" i="6" s="1"/>
  <c r="Q72" i="6" s="1"/>
  <c r="Q73" i="6" s="1"/>
  <c r="B64" i="6"/>
  <c r="Q63" i="6"/>
  <c r="Q62" i="6"/>
  <c r="B62" i="6"/>
  <c r="Q61" i="6"/>
  <c r="B61" i="6"/>
  <c r="Q60" i="6"/>
  <c r="B60" i="6"/>
  <c r="Q59" i="6"/>
  <c r="B59" i="6"/>
  <c r="Q58" i="6"/>
  <c r="B58" i="6"/>
  <c r="Q57" i="6"/>
  <c r="B57" i="6"/>
  <c r="Q56" i="6"/>
  <c r="B56" i="6"/>
  <c r="Q55" i="6"/>
  <c r="B55" i="6"/>
  <c r="Q54" i="6"/>
  <c r="P54" i="6"/>
  <c r="P55" i="6" s="1"/>
  <c r="P56" i="6" s="1"/>
  <c r="P57" i="6" s="1"/>
  <c r="P58" i="6" s="1"/>
  <c r="P59" i="6" s="1"/>
  <c r="P60" i="6" s="1"/>
  <c r="P61" i="6" s="1"/>
  <c r="P62" i="6" s="1"/>
  <c r="P63" i="6" s="1"/>
  <c r="P64" i="6" s="1"/>
  <c r="P65" i="6" s="1"/>
  <c r="P66" i="6" s="1"/>
  <c r="P67" i="6" s="1"/>
  <c r="P68" i="6" s="1"/>
  <c r="P69" i="6" s="1"/>
  <c r="P70" i="6" s="1"/>
  <c r="P71" i="6" s="1"/>
  <c r="P72" i="6" s="1"/>
  <c r="P73" i="6" s="1"/>
  <c r="B54" i="6"/>
  <c r="Q53" i="6"/>
  <c r="P53" i="6"/>
  <c r="B53" i="6"/>
  <c r="P52" i="6"/>
  <c r="B52" i="6"/>
  <c r="Q51" i="6"/>
  <c r="P51" i="6"/>
  <c r="B51" i="6"/>
  <c r="B50" i="6"/>
  <c r="B49" i="6"/>
  <c r="B48" i="6"/>
  <c r="B47" i="6"/>
  <c r="C46" i="6"/>
  <c r="B46" i="6"/>
  <c r="B45" i="6"/>
  <c r="B44" i="6"/>
  <c r="F43" i="6"/>
  <c r="B43" i="6"/>
  <c r="L42" i="6"/>
  <c r="F42" i="6"/>
  <c r="D42" i="6"/>
  <c r="B42" i="6"/>
  <c r="L41" i="6"/>
  <c r="F41" i="6"/>
  <c r="D41" i="6"/>
  <c r="B41" i="6"/>
  <c r="B40" i="6"/>
  <c r="J38" i="6"/>
  <c r="F38" i="6"/>
  <c r="D38" i="6"/>
  <c r="B38" i="6"/>
  <c r="J37" i="6"/>
  <c r="H37" i="6"/>
  <c r="F37" i="6"/>
  <c r="D37" i="6"/>
  <c r="B37" i="6"/>
  <c r="N36" i="6"/>
  <c r="J36" i="6"/>
  <c r="H36" i="6"/>
  <c r="F36" i="6"/>
  <c r="D36" i="6"/>
  <c r="C36" i="6"/>
  <c r="B36" i="6"/>
  <c r="N35" i="6"/>
  <c r="J35" i="6"/>
  <c r="H35" i="6"/>
  <c r="F35" i="6"/>
  <c r="E35" i="6"/>
  <c r="D35" i="6"/>
  <c r="B35" i="6"/>
  <c r="P34" i="6"/>
  <c r="N34" i="6"/>
  <c r="J34" i="6"/>
  <c r="H34" i="6"/>
  <c r="D34" i="6"/>
  <c r="B34" i="6"/>
  <c r="P33" i="6"/>
  <c r="N33" i="6"/>
  <c r="K33" i="6"/>
  <c r="J33" i="6"/>
  <c r="I33" i="6"/>
  <c r="H33" i="6"/>
  <c r="D33" i="6"/>
  <c r="B33" i="6"/>
  <c r="Q32" i="6"/>
  <c r="P32" i="6"/>
  <c r="N32" i="6"/>
  <c r="M32" i="6"/>
  <c r="L32" i="6"/>
  <c r="J32" i="6"/>
  <c r="H32" i="6"/>
  <c r="D32" i="6"/>
  <c r="B32" i="6"/>
  <c r="P31" i="6"/>
  <c r="N31" i="6"/>
  <c r="L31" i="6"/>
  <c r="J31" i="6"/>
  <c r="I31" i="6"/>
  <c r="H31" i="6"/>
  <c r="F31" i="6"/>
  <c r="E31" i="6"/>
  <c r="D31" i="6"/>
  <c r="B31" i="6"/>
  <c r="P30" i="6"/>
  <c r="N30" i="6"/>
  <c r="L30" i="6"/>
  <c r="J30" i="6"/>
  <c r="H30" i="6"/>
  <c r="F30" i="6"/>
  <c r="E30" i="6"/>
  <c r="D30" i="6"/>
  <c r="C30" i="6"/>
  <c r="B30" i="6"/>
  <c r="P29" i="6"/>
  <c r="N29" i="6"/>
  <c r="L29" i="6"/>
  <c r="J29" i="6"/>
  <c r="H29" i="6"/>
  <c r="F29" i="6"/>
  <c r="D29" i="6"/>
  <c r="B29" i="6"/>
  <c r="N28" i="6"/>
  <c r="L28" i="6"/>
  <c r="J28" i="6"/>
  <c r="H28" i="6"/>
  <c r="F28" i="6"/>
  <c r="D28" i="6"/>
  <c r="B28" i="6"/>
  <c r="P26" i="6"/>
  <c r="N26" i="6"/>
  <c r="J26" i="6"/>
  <c r="H26" i="6"/>
  <c r="F26" i="6"/>
  <c r="D26" i="6"/>
  <c r="B26" i="6"/>
  <c r="Q25" i="6"/>
  <c r="P25" i="6"/>
  <c r="N25" i="6"/>
  <c r="J25" i="6"/>
  <c r="H25" i="6"/>
  <c r="F25" i="6"/>
  <c r="D25" i="6"/>
  <c r="B25" i="6"/>
  <c r="Q24" i="6"/>
  <c r="P24" i="6"/>
  <c r="O24" i="6"/>
  <c r="N24" i="6"/>
  <c r="J24" i="6"/>
  <c r="I24" i="6"/>
  <c r="H24" i="6"/>
  <c r="F24" i="6"/>
  <c r="D24" i="6"/>
  <c r="C24" i="6"/>
  <c r="B24" i="6"/>
  <c r="P23" i="6"/>
  <c r="N23" i="6"/>
  <c r="L23" i="6"/>
  <c r="J23" i="6"/>
  <c r="I23" i="6"/>
  <c r="H23" i="6"/>
  <c r="F23" i="6"/>
  <c r="D23" i="6"/>
  <c r="B23" i="6"/>
  <c r="P22" i="6"/>
  <c r="N22" i="6"/>
  <c r="L22" i="6"/>
  <c r="K22" i="6"/>
  <c r="J22" i="6"/>
  <c r="I22" i="6"/>
  <c r="H22" i="6"/>
  <c r="F22" i="6"/>
  <c r="E22" i="6"/>
  <c r="D22" i="6"/>
  <c r="B22" i="6"/>
  <c r="P21" i="6"/>
  <c r="N21" i="6"/>
  <c r="L21" i="6"/>
  <c r="J21" i="6"/>
  <c r="H21" i="6"/>
  <c r="F21" i="6"/>
  <c r="D21" i="6"/>
  <c r="B21" i="6"/>
  <c r="P20" i="6"/>
  <c r="O20" i="6"/>
  <c r="N20" i="6"/>
  <c r="L20" i="6"/>
  <c r="K20" i="6"/>
  <c r="J20" i="6"/>
  <c r="I20" i="6"/>
  <c r="H20" i="6"/>
  <c r="G20" i="6"/>
  <c r="F20" i="6"/>
  <c r="C20" i="6"/>
  <c r="B20" i="6"/>
  <c r="N19" i="6"/>
  <c r="L19" i="6"/>
  <c r="K19" i="6"/>
  <c r="J19" i="6"/>
  <c r="I19" i="6"/>
  <c r="H19" i="6"/>
  <c r="G19" i="6"/>
  <c r="G24" i="6" s="1"/>
  <c r="F19" i="6"/>
  <c r="E19" i="6"/>
  <c r="D19" i="6"/>
  <c r="C19" i="6"/>
  <c r="B19" i="6"/>
  <c r="O18" i="6"/>
  <c r="N18" i="6"/>
  <c r="L18" i="6"/>
  <c r="J18" i="6"/>
  <c r="I18" i="6"/>
  <c r="H18" i="6"/>
  <c r="G18" i="6"/>
  <c r="F18" i="6"/>
  <c r="E18" i="6"/>
  <c r="D18" i="6"/>
  <c r="B18" i="6"/>
  <c r="P17" i="6"/>
  <c r="N17" i="6"/>
  <c r="L17" i="6"/>
  <c r="J17" i="6"/>
  <c r="H17" i="6"/>
  <c r="F17" i="6"/>
  <c r="D17" i="6"/>
  <c r="B17" i="6"/>
  <c r="P16" i="6"/>
  <c r="N16" i="6"/>
  <c r="L16" i="6"/>
  <c r="J16" i="6"/>
  <c r="H16" i="6"/>
  <c r="F16" i="6"/>
  <c r="D16" i="6"/>
  <c r="B16" i="6"/>
  <c r="P14" i="6"/>
  <c r="N14" i="6"/>
  <c r="L14" i="6"/>
  <c r="J14" i="6"/>
  <c r="H14" i="6"/>
  <c r="F14" i="6"/>
  <c r="D14" i="6"/>
  <c r="B14" i="6"/>
  <c r="N12" i="6"/>
  <c r="L12" i="6"/>
  <c r="J12" i="6"/>
  <c r="H12" i="6"/>
  <c r="F12" i="6"/>
  <c r="D12" i="6"/>
  <c r="B12" i="6"/>
  <c r="N11" i="6"/>
  <c r="M11" i="6"/>
  <c r="L11" i="6"/>
  <c r="J11" i="6"/>
  <c r="H11" i="6"/>
  <c r="F11" i="6"/>
  <c r="D11" i="6"/>
  <c r="B11" i="6"/>
  <c r="N10" i="6"/>
  <c r="L10" i="6"/>
  <c r="J10" i="6"/>
  <c r="H10" i="6"/>
  <c r="F10" i="6"/>
  <c r="B10" i="6"/>
  <c r="L9" i="6"/>
  <c r="J9" i="6"/>
  <c r="I9" i="6"/>
  <c r="H9" i="6"/>
  <c r="F9" i="6"/>
  <c r="D9" i="6"/>
  <c r="B9" i="6"/>
  <c r="L8" i="6"/>
  <c r="K8" i="6"/>
  <c r="J8" i="6"/>
  <c r="I8" i="6"/>
  <c r="H8" i="6"/>
  <c r="F8" i="6"/>
  <c r="B8" i="6"/>
  <c r="L7" i="6"/>
  <c r="J7" i="6"/>
  <c r="H7" i="6"/>
  <c r="F7" i="6"/>
  <c r="D7" i="6"/>
  <c r="B7" i="6"/>
  <c r="P6" i="6"/>
  <c r="N6" i="6"/>
  <c r="L6" i="6"/>
  <c r="K6" i="6"/>
  <c r="J6" i="6"/>
  <c r="I6" i="6"/>
  <c r="H6" i="6"/>
  <c r="G6" i="6"/>
  <c r="F6" i="6"/>
  <c r="C6" i="6"/>
  <c r="B6" i="6"/>
  <c r="Q5" i="6"/>
  <c r="P5" i="6"/>
  <c r="O5" i="6"/>
  <c r="N5" i="6"/>
  <c r="L5" i="6"/>
  <c r="K5" i="6"/>
  <c r="K10" i="6" s="1"/>
  <c r="J5" i="6"/>
  <c r="I5" i="6"/>
  <c r="I10" i="6" s="1"/>
  <c r="H5" i="6"/>
  <c r="G5" i="6"/>
  <c r="F5" i="6"/>
  <c r="C5" i="6"/>
  <c r="B5" i="6"/>
  <c r="Q4" i="6"/>
  <c r="P4" i="6"/>
  <c r="N4" i="6"/>
  <c r="L4" i="6"/>
  <c r="J4" i="6"/>
  <c r="I4" i="6"/>
  <c r="H4" i="6"/>
  <c r="F4" i="6"/>
  <c r="D4" i="6"/>
  <c r="B4" i="6"/>
  <c r="Q3" i="6"/>
  <c r="G10" i="6" s="1"/>
  <c r="P3" i="6"/>
  <c r="N3" i="6"/>
  <c r="L3" i="6"/>
  <c r="J3" i="6"/>
  <c r="H3" i="6"/>
  <c r="F3" i="6"/>
  <c r="D3" i="6"/>
  <c r="B3" i="6"/>
  <c r="P2" i="6"/>
  <c r="N2" i="6"/>
  <c r="L2" i="6"/>
  <c r="J2" i="6"/>
  <c r="H2" i="6"/>
  <c r="F2" i="6"/>
  <c r="D2" i="6"/>
  <c r="B2" i="6"/>
  <c r="C6" i="4"/>
  <c r="B6" i="4"/>
  <c r="C5" i="4"/>
  <c r="B5" i="4"/>
  <c r="C4" i="4"/>
  <c r="B4" i="4"/>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E7" i="3" s="1"/>
  <c r="E8" i="3" s="1"/>
  <c r="E9" i="3" s="1"/>
  <c r="E10" i="3" s="1"/>
  <c r="E11" i="3" s="1"/>
  <c r="E12" i="3" s="1"/>
  <c r="E13" i="3" s="1"/>
  <c r="E14" i="3" s="1"/>
  <c r="E15" i="3" s="1"/>
  <c r="E16" i="3" s="1"/>
  <c r="E17" i="3" s="1"/>
  <c r="E18" i="3" s="1"/>
  <c r="E19" i="3" s="1"/>
  <c r="E20" i="3" s="1"/>
  <c r="E21" i="3" s="1"/>
  <c r="E22" i="3" s="1"/>
  <c r="E23" i="3" s="1"/>
  <c r="E24" i="3" s="1"/>
  <c r="E25" i="3" s="1"/>
  <c r="E26" i="3" s="1"/>
  <c r="E27" i="3" s="1"/>
  <c r="E28" i="3" s="1"/>
  <c r="E29" i="3" s="1"/>
  <c r="E30" i="3" s="1"/>
  <c r="E31" i="3" s="1"/>
  <c r="E32" i="3" s="1"/>
  <c r="E33" i="3" s="1"/>
  <c r="E34" i="3" s="1"/>
  <c r="E35" i="3" s="1"/>
  <c r="E36" i="3" s="1"/>
  <c r="J3" i="3"/>
  <c r="B3" i="3"/>
  <c r="F38" i="2"/>
  <c r="F37" i="2"/>
  <c r="F36" i="2"/>
  <c r="O35" i="2"/>
  <c r="F35" i="2"/>
  <c r="Q34" i="2"/>
  <c r="O34" i="2"/>
  <c r="F34" i="2"/>
  <c r="F33" i="2"/>
  <c r="F31" i="2"/>
  <c r="B31" i="2"/>
  <c r="F30" i="2"/>
  <c r="B30" i="2"/>
  <c r="F29" i="2"/>
  <c r="F28" i="2"/>
  <c r="F27" i="2"/>
  <c r="F26" i="2"/>
  <c r="Q25" i="2"/>
  <c r="F24" i="2"/>
  <c r="F23" i="2"/>
  <c r="F22" i="2"/>
  <c r="B22" i="2"/>
  <c r="F21" i="2"/>
  <c r="F20" i="2"/>
  <c r="F19" i="2"/>
  <c r="N18" i="2"/>
  <c r="F18" i="2"/>
  <c r="F17" i="2"/>
  <c r="C16" i="2"/>
  <c r="O13" i="2"/>
  <c r="N13" i="2"/>
  <c r="L13" i="2"/>
  <c r="I13" i="2"/>
  <c r="F13" i="2"/>
  <c r="Q12" i="2"/>
  <c r="O12" i="2"/>
  <c r="E12" i="2"/>
  <c r="O11" i="2"/>
  <c r="O10" i="2"/>
  <c r="O9" i="2"/>
  <c r="E8" i="2"/>
  <c r="C7" i="2"/>
  <c r="U6" i="2"/>
  <c r="O5" i="2"/>
  <c r="F5" i="2"/>
  <c r="I4" i="2"/>
  <c r="I2" i="2"/>
  <c r="B3" i="1"/>
  <c r="A3" i="1"/>
  <c r="B2" i="1"/>
  <c r="B26" i="2" l="1"/>
  <c r="N21" i="2"/>
  <c r="N22" i="2"/>
  <c r="B34" i="2"/>
  <c r="B24" i="2"/>
  <c r="B27" i="2"/>
  <c r="B32" i="2"/>
  <c r="B25" i="2"/>
  <c r="N19" i="2"/>
  <c r="B23" i="2"/>
  <c r="B35" i="2"/>
  <c r="N20" i="2"/>
  <c r="N23" i="2"/>
  <c r="B28" i="2"/>
  <c r="W164" i="9"/>
  <c r="G21" i="9"/>
  <c r="AP21" i="9" s="1"/>
  <c r="W194" i="9"/>
  <c r="W62" i="9"/>
  <c r="AD106" i="7"/>
  <c r="AD139" i="7"/>
  <c r="W66" i="9"/>
  <c r="AA25" i="7"/>
  <c r="K24" i="6"/>
  <c r="AA28" i="7"/>
  <c r="AA72" i="7"/>
  <c r="O72" i="6"/>
  <c r="O75" i="6"/>
  <c r="O78" i="6"/>
  <c r="O73" i="6"/>
  <c r="AA36" i="7"/>
  <c r="O77" i="6"/>
  <c r="AA19" i="7"/>
  <c r="AA22" i="7"/>
  <c r="AA33" i="7"/>
  <c r="AA71" i="7"/>
  <c r="AA82" i="7"/>
  <c r="Q77" i="6"/>
  <c r="Q6" i="6"/>
  <c r="AA164" i="7"/>
  <c r="AA150" i="7"/>
  <c r="AA147" i="7"/>
  <c r="AA146" i="7"/>
  <c r="AA138" i="7"/>
  <c r="AA162" i="7"/>
  <c r="AA143" i="7"/>
  <c r="AA132" i="7"/>
  <c r="AA129" i="7"/>
  <c r="AA121" i="7"/>
  <c r="AA118" i="7"/>
  <c r="AA104" i="7"/>
  <c r="AA96" i="7"/>
  <c r="AA157" i="7"/>
  <c r="AA145" i="7"/>
  <c r="AA134" i="7"/>
  <c r="S134" i="7"/>
  <c r="AA123" i="7"/>
  <c r="AA120" i="7"/>
  <c r="AA109" i="7"/>
  <c r="AA106" i="7"/>
  <c r="AA149" i="7"/>
  <c r="AA142" i="7"/>
  <c r="AA155" i="7"/>
  <c r="AA152" i="7"/>
  <c r="AA92" i="7"/>
  <c r="AA156" i="7"/>
  <c r="AA124" i="7"/>
  <c r="AA116" i="7"/>
  <c r="AA111" i="7"/>
  <c r="AA95" i="7"/>
  <c r="AA91" i="7"/>
  <c r="AA63" i="7"/>
  <c r="AA60" i="7"/>
  <c r="AA128" i="7"/>
  <c r="AA122" i="7"/>
  <c r="AA88" i="7"/>
  <c r="AA74" i="7"/>
  <c r="AA165" i="7"/>
  <c r="AA159" i="7"/>
  <c r="AA114" i="7"/>
  <c r="AA108" i="7"/>
  <c r="AA102" i="7"/>
  <c r="AA148" i="7"/>
  <c r="AA127" i="7"/>
  <c r="AA119" i="7"/>
  <c r="AA113" i="7"/>
  <c r="AA161" i="7"/>
  <c r="AA139" i="7"/>
  <c r="AA105" i="7"/>
  <c r="AA101" i="7"/>
  <c r="AA93" i="7"/>
  <c r="AA79" i="7"/>
  <c r="AA73" i="7"/>
  <c r="AA53" i="7"/>
  <c r="AA163" i="7"/>
  <c r="AA90" i="7"/>
  <c r="AA52" i="7"/>
  <c r="AA41" i="7"/>
  <c r="AA30" i="7"/>
  <c r="AA18" i="7"/>
  <c r="AA100" i="7"/>
  <c r="AA66" i="7"/>
  <c r="AA35" i="7"/>
  <c r="AA84" i="7"/>
  <c r="AA76" i="7"/>
  <c r="AA64" i="7"/>
  <c r="AA61" i="7"/>
  <c r="AA32" i="7"/>
  <c r="AA21" i="7"/>
  <c r="AA86" i="7"/>
  <c r="AA54" i="7"/>
  <c r="AA49" i="7"/>
  <c r="AA46" i="7"/>
  <c r="AA43" i="7"/>
  <c r="AA40" i="7"/>
  <c r="AA26" i="7"/>
  <c r="AA17" i="7"/>
  <c r="AA14" i="7"/>
  <c r="AA37" i="7"/>
  <c r="AA34" i="7"/>
  <c r="AA23" i="7"/>
  <c r="AA20" i="7"/>
  <c r="AA7" i="7"/>
  <c r="AA4" i="7"/>
  <c r="AA69" i="7"/>
  <c r="AA68" i="7"/>
  <c r="AA58" i="7"/>
  <c r="AA45" i="7"/>
  <c r="AA70" i="7"/>
  <c r="AA42" i="7"/>
  <c r="O74" i="6"/>
  <c r="O76" i="6"/>
  <c r="AA6" i="7"/>
  <c r="AC44" i="7"/>
  <c r="AC47" i="7"/>
  <c r="Z48" i="7"/>
  <c r="T52" i="7"/>
  <c r="AC52" i="7"/>
  <c r="Z53" i="7"/>
  <c r="AC56" i="7"/>
  <c r="Z58" i="7"/>
  <c r="Z69" i="7"/>
  <c r="AB73" i="7"/>
  <c r="AC75" i="7"/>
  <c r="AC99" i="7"/>
  <c r="Z105" i="7"/>
  <c r="AC110" i="7"/>
  <c r="Z112" i="7"/>
  <c r="AB116" i="7"/>
  <c r="AB124" i="7"/>
  <c r="Z139" i="7"/>
  <c r="AB152" i="7"/>
  <c r="AC163" i="7"/>
  <c r="AC160" i="7"/>
  <c r="AC152" i="7"/>
  <c r="AC161" i="7"/>
  <c r="AC154" i="7"/>
  <c r="AC150" i="7"/>
  <c r="AC140" i="7"/>
  <c r="AC157" i="7"/>
  <c r="AC145" i="7"/>
  <c r="AC137" i="7"/>
  <c r="AC134" i="7"/>
  <c r="AC131" i="7"/>
  <c r="AC123" i="7"/>
  <c r="AC120" i="7"/>
  <c r="AC109" i="7"/>
  <c r="AC106" i="7"/>
  <c r="AC98" i="7"/>
  <c r="AC165" i="7"/>
  <c r="AC148" i="7"/>
  <c r="AC139" i="7"/>
  <c r="AC136" i="7"/>
  <c r="AC125" i="7"/>
  <c r="AC114" i="7"/>
  <c r="AC159" i="7"/>
  <c r="AC156" i="7"/>
  <c r="AC144" i="7"/>
  <c r="AC151" i="7"/>
  <c r="AC129" i="7"/>
  <c r="AC124" i="7"/>
  <c r="AC116" i="7"/>
  <c r="AC111" i="7"/>
  <c r="AC103" i="7"/>
  <c r="AC91" i="7"/>
  <c r="AC83" i="7"/>
  <c r="AC164" i="7"/>
  <c r="AC128" i="7"/>
  <c r="AC121" i="7"/>
  <c r="AC115" i="7"/>
  <c r="AC108" i="7"/>
  <c r="AC102" i="7"/>
  <c r="AC71" i="7"/>
  <c r="AC65" i="7"/>
  <c r="AC62" i="7"/>
  <c r="AC51" i="7"/>
  <c r="AC147" i="7"/>
  <c r="AC127" i="7"/>
  <c r="AC119" i="7"/>
  <c r="AC113" i="7"/>
  <c r="AC107" i="7"/>
  <c r="AC90" i="7"/>
  <c r="AC82" i="7"/>
  <c r="AC70" i="7"/>
  <c r="AC138" i="7"/>
  <c r="AC135" i="7"/>
  <c r="AC118" i="7"/>
  <c r="AC101" i="7"/>
  <c r="AC87" i="7"/>
  <c r="AC79" i="7"/>
  <c r="AC130" i="7"/>
  <c r="AC126" i="7"/>
  <c r="AC93" i="7"/>
  <c r="AC153" i="7"/>
  <c r="AC149" i="7"/>
  <c r="AC142" i="7"/>
  <c r="AC141" i="7"/>
  <c r="AC117" i="7"/>
  <c r="AC104" i="7"/>
  <c r="AC96" i="7"/>
  <c r="AC92" i="7"/>
  <c r="AC89" i="7"/>
  <c r="AC81" i="7"/>
  <c r="AC69" i="7"/>
  <c r="AC58" i="7"/>
  <c r="AC55" i="7"/>
  <c r="AB98" i="7"/>
  <c r="AB85" i="7"/>
  <c r="T162" i="7"/>
  <c r="AA98" i="7"/>
  <c r="AA85" i="7"/>
  <c r="Z98" i="7"/>
  <c r="Z82" i="7"/>
  <c r="T64" i="7"/>
  <c r="AB50" i="7"/>
  <c r="AC3" i="7"/>
  <c r="AB6" i="7"/>
  <c r="Z7" i="7"/>
  <c r="AB16" i="7"/>
  <c r="AC19" i="7"/>
  <c r="Z20" i="7"/>
  <c r="AC22" i="7"/>
  <c r="AB25" i="7"/>
  <c r="AB28" i="7"/>
  <c r="AC33" i="7"/>
  <c r="Z34" i="7"/>
  <c r="AB36" i="7"/>
  <c r="O38" i="7"/>
  <c r="AE38" i="7"/>
  <c r="AB39" i="7"/>
  <c r="AB53" i="7"/>
  <c r="AB57" i="7"/>
  <c r="Y60" i="7"/>
  <c r="AC67" i="7"/>
  <c r="AB70" i="7"/>
  <c r="AC72" i="7"/>
  <c r="AC73" i="7"/>
  <c r="AC74" i="7"/>
  <c r="Z87" i="7"/>
  <c r="Z97" i="7"/>
  <c r="Z142" i="7"/>
  <c r="AB151" i="7"/>
  <c r="AC6" i="7"/>
  <c r="AC9" i="7"/>
  <c r="AC13" i="7"/>
  <c r="Z14" i="7"/>
  <c r="AC16" i="7"/>
  <c r="Z17" i="7"/>
  <c r="AC25" i="7"/>
  <c r="AC28" i="7"/>
  <c r="AB31" i="7"/>
  <c r="AC36" i="7"/>
  <c r="P38" i="7"/>
  <c r="AC39" i="7"/>
  <c r="Z40" i="7"/>
  <c r="AC42" i="7"/>
  <c r="AB45" i="7"/>
  <c r="Z46" i="7"/>
  <c r="AB48" i="7"/>
  <c r="Z49" i="7"/>
  <c r="AC53" i="7"/>
  <c r="AC57" i="7"/>
  <c r="AB58" i="7"/>
  <c r="Z60" i="7"/>
  <c r="AC68" i="7"/>
  <c r="AB69" i="7"/>
  <c r="Z79" i="7"/>
  <c r="AB112" i="7"/>
  <c r="AP4" i="9"/>
  <c r="AB155" i="7"/>
  <c r="AB162" i="7"/>
  <c r="AB143" i="7"/>
  <c r="AB132" i="7"/>
  <c r="AB161" i="7"/>
  <c r="AB154" i="7"/>
  <c r="AB150" i="7"/>
  <c r="AB115" i="7"/>
  <c r="AB93" i="7"/>
  <c r="AB160" i="7"/>
  <c r="AB153" i="7"/>
  <c r="AB142" i="7"/>
  <c r="AB128" i="7"/>
  <c r="AB165" i="7"/>
  <c r="AA160" i="7"/>
  <c r="AB148" i="7"/>
  <c r="AB163" i="7"/>
  <c r="AB145" i="7"/>
  <c r="AB125" i="7"/>
  <c r="AB100" i="7"/>
  <c r="AB86" i="7"/>
  <c r="AB78" i="7"/>
  <c r="AB75" i="7"/>
  <c r="AB158" i="7"/>
  <c r="AB146" i="7"/>
  <c r="AB109" i="7"/>
  <c r="AB88" i="7"/>
  <c r="AB80" i="7"/>
  <c r="AB68" i="7"/>
  <c r="AB54" i="7"/>
  <c r="AB164" i="7"/>
  <c r="AB120" i="7"/>
  <c r="AB114" i="7"/>
  <c r="AB102" i="7"/>
  <c r="AB71" i="7"/>
  <c r="AB147" i="7"/>
  <c r="AB136" i="7"/>
  <c r="AB127" i="7"/>
  <c r="AB113" i="7"/>
  <c r="AB107" i="7"/>
  <c r="AB94" i="7"/>
  <c r="AB90" i="7"/>
  <c r="AB138" i="7"/>
  <c r="AB137" i="7"/>
  <c r="AB135" i="7"/>
  <c r="AB134" i="7"/>
  <c r="AB118" i="7"/>
  <c r="AB105" i="7"/>
  <c r="AB130" i="7"/>
  <c r="AB84" i="7"/>
  <c r="AB64" i="7"/>
  <c r="AB61" i="7"/>
  <c r="AB7" i="7"/>
  <c r="AB20" i="7"/>
  <c r="S29" i="7"/>
  <c r="AC31" i="7"/>
  <c r="Z32" i="7"/>
  <c r="AB34" i="7"/>
  <c r="Q38" i="7"/>
  <c r="AC45" i="7"/>
  <c r="AC48" i="7"/>
  <c r="Z50" i="7"/>
  <c r="Z55" i="7"/>
  <c r="AC59" i="7"/>
  <c r="AB60" i="7"/>
  <c r="Z61" i="7"/>
  <c r="Z64" i="7"/>
  <c r="Z77" i="7"/>
  <c r="AB79" i="7"/>
  <c r="AC80" i="7"/>
  <c r="Z85" i="7"/>
  <c r="AB87" i="7"/>
  <c r="AC88" i="7"/>
  <c r="AB91" i="7"/>
  <c r="T99" i="7"/>
  <c r="Z101" i="7"/>
  <c r="AB141" i="7"/>
  <c r="AC4" i="7"/>
  <c r="AC7" i="7"/>
  <c r="Z8" i="7"/>
  <c r="AB10" i="7"/>
  <c r="AB14" i="7"/>
  <c r="Z15" i="7"/>
  <c r="AB17" i="7"/>
  <c r="AC20" i="7"/>
  <c r="AC23" i="7"/>
  <c r="Z24" i="7"/>
  <c r="AB26" i="7"/>
  <c r="Z27" i="7"/>
  <c r="AB29" i="7"/>
  <c r="AC34" i="7"/>
  <c r="Z35" i="7"/>
  <c r="AC37" i="7"/>
  <c r="B38" i="7"/>
  <c r="J38" i="7"/>
  <c r="R38" i="7"/>
  <c r="Z38" i="7"/>
  <c r="AB40" i="7"/>
  <c r="AB46" i="7"/>
  <c r="AB49" i="7"/>
  <c r="AA50" i="7"/>
  <c r="Z51" i="7"/>
  <c r="AC54" i="7"/>
  <c r="AC60" i="7"/>
  <c r="AB63" i="7"/>
  <c r="AC86" i="7"/>
  <c r="Z93" i="7"/>
  <c r="AB96" i="7"/>
  <c r="AB104" i="7"/>
  <c r="AB111" i="7"/>
  <c r="AB123" i="7"/>
  <c r="C38" i="7"/>
  <c r="K38" i="7"/>
  <c r="AC40" i="7"/>
  <c r="Z41" i="7"/>
  <c r="AC43" i="7"/>
  <c r="Z44" i="7"/>
  <c r="AC46" i="7"/>
  <c r="AC49" i="7"/>
  <c r="AB55" i="7"/>
  <c r="AB62" i="7"/>
  <c r="AC63" i="7"/>
  <c r="B64" i="7"/>
  <c r="AC64" i="7"/>
  <c r="AC78" i="7"/>
  <c r="AC84" i="7"/>
  <c r="AB129" i="7"/>
  <c r="AC146" i="7"/>
  <c r="Z141" i="7"/>
  <c r="Z158" i="7"/>
  <c r="Z146" i="7"/>
  <c r="Z135" i="7"/>
  <c r="Z124" i="7"/>
  <c r="Z110" i="7"/>
  <c r="Z99" i="7"/>
  <c r="Z154" i="7"/>
  <c r="Z140" i="7"/>
  <c r="Z137" i="7"/>
  <c r="Z115" i="7"/>
  <c r="Z157" i="7"/>
  <c r="Z149" i="7"/>
  <c r="Z96" i="7"/>
  <c r="Z76" i="7"/>
  <c r="Z144" i="7"/>
  <c r="Z123" i="7"/>
  <c r="Z78" i="7"/>
  <c r="Z156" i="7"/>
  <c r="Z116" i="7"/>
  <c r="Z111" i="7"/>
  <c r="Z109" i="7"/>
  <c r="Z103" i="7"/>
  <c r="Z95" i="7"/>
  <c r="Z91" i="7"/>
  <c r="Z83" i="7"/>
  <c r="Z128" i="7"/>
  <c r="Z122" i="7"/>
  <c r="Z120" i="7"/>
  <c r="Z159" i="7"/>
  <c r="Z147" i="7"/>
  <c r="Z114" i="7"/>
  <c r="Z108" i="7"/>
  <c r="Z106" i="7"/>
  <c r="T163" i="7"/>
  <c r="Z148" i="7"/>
  <c r="Z134" i="7"/>
  <c r="Z131" i="7"/>
  <c r="Z127" i="7"/>
  <c r="Z119" i="7"/>
  <c r="Z118" i="7"/>
  <c r="Z90" i="7"/>
  <c r="Z70" i="7"/>
  <c r="Z59" i="7"/>
  <c r="Z3" i="7"/>
  <c r="AB5" i="7"/>
  <c r="AB8" i="7"/>
  <c r="AB12" i="7"/>
  <c r="AB15" i="7"/>
  <c r="Z19" i="7"/>
  <c r="AC21" i="7"/>
  <c r="AB24" i="7"/>
  <c r="AB27" i="7"/>
  <c r="AC32" i="7"/>
  <c r="Z33" i="7"/>
  <c r="AB35" i="7"/>
  <c r="T38" i="7"/>
  <c r="AB38" i="7"/>
  <c r="AB51" i="7"/>
  <c r="C64" i="7"/>
  <c r="S64" i="7"/>
  <c r="AB66" i="7"/>
  <c r="Z67" i="7"/>
  <c r="Z71" i="7"/>
  <c r="AC76" i="7"/>
  <c r="AB83" i="7"/>
  <c r="Z92" i="7"/>
  <c r="AC100" i="7"/>
  <c r="AC122" i="7"/>
  <c r="Z143" i="7"/>
  <c r="AP45" i="9"/>
  <c r="AI12" i="9"/>
  <c r="AP16" i="9"/>
  <c r="AJ19" i="9"/>
  <c r="AI20" i="9"/>
  <c r="AI22" i="9"/>
  <c r="AJ23" i="9"/>
  <c r="AJ25" i="9"/>
  <c r="AI26" i="9"/>
  <c r="AI31" i="9"/>
  <c r="AJ32" i="9"/>
  <c r="AJ34" i="9"/>
  <c r="AI35" i="9"/>
  <c r="AJ40" i="9"/>
  <c r="AI68" i="9"/>
  <c r="AI69" i="9"/>
  <c r="AI70" i="9"/>
  <c r="AP74" i="9"/>
  <c r="AJ95" i="9"/>
  <c r="AI97" i="9"/>
  <c r="AP103" i="9"/>
  <c r="AI104" i="9"/>
  <c r="AJ126" i="9"/>
  <c r="AI127" i="9"/>
  <c r="AI128" i="9"/>
  <c r="AP137" i="9"/>
  <c r="AJ138" i="9"/>
  <c r="AI180" i="9"/>
  <c r="AJ182" i="9"/>
  <c r="AI3" i="9"/>
  <c r="C64" i="6" s="1"/>
  <c r="AJ9" i="9"/>
  <c r="AI11" i="9"/>
  <c r="B226" i="9" s="1" a="1"/>
  <c r="B226" i="9" s="1"/>
  <c r="C19" i="2" s="1"/>
  <c r="AJ12" i="9"/>
  <c r="AI13" i="9"/>
  <c r="AJ18" i="9"/>
  <c r="AJ20" i="9"/>
  <c r="AI21" i="9"/>
  <c r="AJ22" i="9"/>
  <c r="AJ31" i="9"/>
  <c r="AI41" i="9"/>
  <c r="C61" i="6" s="1"/>
  <c r="AJ48" i="9"/>
  <c r="AI49" i="9"/>
  <c r="AP53" i="9"/>
  <c r="AJ65" i="9"/>
  <c r="AJ68" i="9"/>
  <c r="AJ69" i="9"/>
  <c r="AI71" i="9"/>
  <c r="AI85" i="9"/>
  <c r="AJ94" i="9"/>
  <c r="AJ96" i="9"/>
  <c r="AJ103" i="9"/>
  <c r="AP113" i="9"/>
  <c r="AJ123" i="9"/>
  <c r="AJ133" i="9"/>
  <c r="AJ213" i="9"/>
  <c r="D3" i="10"/>
  <c r="L10" i="10"/>
  <c r="AI134" i="9"/>
  <c r="AI136" i="9"/>
  <c r="AJ146" i="9"/>
  <c r="AI147" i="9"/>
  <c r="AI148" i="9"/>
  <c r="H5" i="10"/>
  <c r="AJ4" i="9"/>
  <c r="AI5" i="9"/>
  <c r="AI6" i="9"/>
  <c r="AP7" i="9"/>
  <c r="AJ10" i="9"/>
  <c r="AI14" i="9"/>
  <c r="AP30" i="9"/>
  <c r="AI42" i="9"/>
  <c r="AI44" i="9"/>
  <c r="AI45" i="9"/>
  <c r="AJ51" i="9"/>
  <c r="AJ61" i="9"/>
  <c r="AI66" i="9"/>
  <c r="AI75" i="9"/>
  <c r="AI76" i="9"/>
  <c r="AJ92" i="9"/>
  <c r="AP102" i="9"/>
  <c r="AJ116" i="9"/>
  <c r="AJ117" i="9"/>
  <c r="AJ134" i="9"/>
  <c r="AI143" i="9"/>
  <c r="AI144" i="9"/>
  <c r="AI145" i="9"/>
  <c r="AI218" i="9"/>
  <c r="AG226" i="9"/>
  <c r="AA226" i="9"/>
  <c r="Q21" i="6" s="1"/>
  <c r="AI217" i="9"/>
  <c r="AJ215" i="9"/>
  <c r="AJ210" i="9"/>
  <c r="AJ203" i="9"/>
  <c r="AI201" i="9"/>
  <c r="AI199" i="9"/>
  <c r="AJ197" i="9"/>
  <c r="Y226" i="9"/>
  <c r="C33" i="6" s="1"/>
  <c r="AJ224" i="9"/>
  <c r="AJ212" i="9"/>
  <c r="AJ209" i="9"/>
  <c r="AJ207" i="9"/>
  <c r="AJ205" i="9"/>
  <c r="AJ200" i="9"/>
  <c r="AI195" i="9"/>
  <c r="AI193" i="9"/>
  <c r="AI191" i="9"/>
  <c r="AJ186" i="9"/>
  <c r="AJ184" i="9"/>
  <c r="AI182" i="9"/>
  <c r="C67" i="6" s="1"/>
  <c r="AI179" i="9"/>
  <c r="AI177" i="9"/>
  <c r="AI175" i="9"/>
  <c r="AJ170" i="9"/>
  <c r="X226" i="9"/>
  <c r="AI224" i="9"/>
  <c r="AJ216" i="9"/>
  <c r="AJ214" i="9"/>
  <c r="AI212" i="9"/>
  <c r="AI209" i="9"/>
  <c r="AI207" i="9"/>
  <c r="AI205" i="9"/>
  <c r="AJ202" i="9"/>
  <c r="AI200" i="9"/>
  <c r="AI186" i="9"/>
  <c r="AI223" i="9"/>
  <c r="AI222" i="9"/>
  <c r="AJ218" i="9"/>
  <c r="AJ211" i="9"/>
  <c r="AJ206" i="9"/>
  <c r="AI194" i="9"/>
  <c r="AJ179" i="9"/>
  <c r="AJ156" i="9"/>
  <c r="AI151" i="9"/>
  <c r="AJ144" i="9"/>
  <c r="AI139" i="9"/>
  <c r="AI138" i="9"/>
  <c r="AJ217" i="9"/>
  <c r="AI216" i="9"/>
  <c r="AI210" i="9"/>
  <c r="AJ196" i="9"/>
  <c r="AJ188" i="9"/>
  <c r="AI185" i="9"/>
  <c r="AJ176" i="9"/>
  <c r="AI174" i="9"/>
  <c r="AJ171" i="9"/>
  <c r="AI169" i="9"/>
  <c r="AI167" i="9"/>
  <c r="AI165" i="9"/>
  <c r="AI163" i="9"/>
  <c r="C49" i="6" s="1"/>
  <c r="AI161" i="9"/>
  <c r="AI155" i="9"/>
  <c r="AI150" i="9"/>
  <c r="AI149" i="9"/>
  <c r="AJ148" i="9"/>
  <c r="AJ143" i="9"/>
  <c r="AI137" i="9"/>
  <c r="AJ136" i="9"/>
  <c r="AI133" i="9"/>
  <c r="AI130" i="9"/>
  <c r="AI125" i="9"/>
  <c r="AI120" i="9"/>
  <c r="AJ119" i="9"/>
  <c r="AI114" i="9"/>
  <c r="AI99" i="9"/>
  <c r="AI98" i="9"/>
  <c r="AJ86" i="9"/>
  <c r="AJ85" i="9"/>
  <c r="AJ82" i="9"/>
  <c r="AI78" i="9"/>
  <c r="AI74" i="9"/>
  <c r="AJ70" i="9"/>
  <c r="AI65" i="9"/>
  <c r="AJ63" i="9"/>
  <c r="AI60" i="9"/>
  <c r="AJ59" i="9"/>
  <c r="AJ54" i="9"/>
  <c r="AI50" i="9"/>
  <c r="AJ44" i="9"/>
  <c r="AJ43" i="9"/>
  <c r="AJ39" i="9"/>
  <c r="AI33" i="9"/>
  <c r="AI32" i="9"/>
  <c r="AF226" i="9"/>
  <c r="O6" i="6" s="1"/>
  <c r="I8" i="2" s="1"/>
  <c r="AJ204" i="9"/>
  <c r="AJ199" i="9"/>
  <c r="AI196" i="9"/>
  <c r="AJ193" i="9"/>
  <c r="AI188" i="9"/>
  <c r="AJ181" i="9"/>
  <c r="AJ178" i="9"/>
  <c r="AI176" i="9"/>
  <c r="AJ173" i="9"/>
  <c r="AI171" i="9"/>
  <c r="C68" i="6" s="1"/>
  <c r="AJ222" i="9"/>
  <c r="AJ208" i="9"/>
  <c r="AI204" i="9"/>
  <c r="AI203" i="9"/>
  <c r="AJ192" i="9"/>
  <c r="AJ187" i="9"/>
  <c r="AI184" i="9"/>
  <c r="AI181" i="9"/>
  <c r="AI178" i="9"/>
  <c r="AI173" i="9"/>
  <c r="AJ166" i="9"/>
  <c r="AJ162" i="9"/>
  <c r="AJ154" i="9"/>
  <c r="AJ147" i="9"/>
  <c r="AJ142" i="9"/>
  <c r="AJ141" i="9"/>
  <c r="AJ132" i="9"/>
  <c r="AI129" i="9"/>
  <c r="AJ128" i="9"/>
  <c r="AI124" i="9"/>
  <c r="AI123" i="9"/>
  <c r="AI118" i="9"/>
  <c r="C72" i="6" s="1"/>
  <c r="AI113" i="9"/>
  <c r="AJ108" i="9"/>
  <c r="AI105" i="9"/>
  <c r="AJ104" i="9"/>
  <c r="AJ97" i="9"/>
  <c r="AI89" i="9"/>
  <c r="AI81" i="9"/>
  <c r="AJ76" i="9"/>
  <c r="AJ73" i="9"/>
  <c r="Z226" i="9"/>
  <c r="C38" i="6" s="1"/>
  <c r="AJ223" i="9"/>
  <c r="AI214" i="9"/>
  <c r="AI213" i="9"/>
  <c r="AJ198" i="9"/>
  <c r="AJ195" i="9"/>
  <c r="AJ183" i="9"/>
  <c r="AJ180" i="9"/>
  <c r="AJ175" i="9"/>
  <c r="AJ172" i="9"/>
  <c r="AJ168" i="9"/>
  <c r="AI164" i="9"/>
  <c r="AI158" i="9"/>
  <c r="AJ157" i="9"/>
  <c r="AI153" i="9"/>
  <c r="AI152" i="9"/>
  <c r="AI146" i="9"/>
  <c r="AJ145" i="9"/>
  <c r="AI140" i="9"/>
  <c r="AI135" i="9"/>
  <c r="AJ127" i="9"/>
  <c r="AI122" i="9"/>
  <c r="AJ112" i="9"/>
  <c r="AJ111" i="9"/>
  <c r="AI107" i="9"/>
  <c r="AI103" i="9"/>
  <c r="C50" i="6" s="1"/>
  <c r="AI102" i="9"/>
  <c r="AI101" i="9"/>
  <c r="AI96" i="9"/>
  <c r="AJ88" i="9"/>
  <c r="AJ84" i="9"/>
  <c r="AI80" i="9"/>
  <c r="AI77" i="9"/>
  <c r="AJ75" i="9"/>
  <c r="AI72" i="9"/>
  <c r="AI67" i="9"/>
  <c r="AJ66" i="9"/>
  <c r="AI64" i="9"/>
  <c r="AJ62" i="9"/>
  <c r="AI57" i="9"/>
  <c r="AJ52" i="9"/>
  <c r="AI48" i="9"/>
  <c r="AI47" i="9"/>
  <c r="AI46" i="9"/>
  <c r="AJ174" i="9"/>
  <c r="AI172" i="9"/>
  <c r="AI154" i="9"/>
  <c r="AJ153" i="9"/>
  <c r="AJ151" i="9"/>
  <c r="AJ149" i="9"/>
  <c r="AJ124" i="9"/>
  <c r="AJ122" i="9"/>
  <c r="AI108" i="9"/>
  <c r="AJ107" i="9"/>
  <c r="AI95" i="9"/>
  <c r="AI94" i="9"/>
  <c r="AI93" i="9"/>
  <c r="AI92" i="9"/>
  <c r="AI88" i="9"/>
  <c r="AJ87" i="9"/>
  <c r="AJ77" i="9"/>
  <c r="AJ74" i="9"/>
  <c r="AI61" i="9"/>
  <c r="AJ60" i="9"/>
  <c r="AJ58" i="9"/>
  <c r="AI208" i="9"/>
  <c r="AI198" i="9"/>
  <c r="AI170" i="9"/>
  <c r="C47" i="6" s="1"/>
  <c r="AJ163" i="9"/>
  <c r="AI162" i="9"/>
  <c r="AJ150" i="9"/>
  <c r="AI132" i="9"/>
  <c r="AJ121" i="9"/>
  <c r="AJ106" i="9"/>
  <c r="AI87" i="9"/>
  <c r="AI86" i="9"/>
  <c r="AI84" i="9"/>
  <c r="AJ83" i="9"/>
  <c r="AJ64" i="9"/>
  <c r="AI58" i="9"/>
  <c r="AJ57" i="9"/>
  <c r="AJ46" i="9"/>
  <c r="AI40" i="9"/>
  <c r="AJ28" i="9"/>
  <c r="AJ27" i="9"/>
  <c r="AI19" i="9"/>
  <c r="AI18" i="9"/>
  <c r="AJ15" i="9"/>
  <c r="AI9" i="9"/>
  <c r="AI4" i="9"/>
  <c r="AI211" i="9"/>
  <c r="AI206" i="9"/>
  <c r="AI197" i="9"/>
  <c r="AJ194" i="9"/>
  <c r="AI192" i="9"/>
  <c r="AI121" i="9"/>
  <c r="AI119" i="9"/>
  <c r="AJ118" i="9"/>
  <c r="AI106" i="9"/>
  <c r="AI83" i="9"/>
  <c r="AI82" i="9"/>
  <c r="AJ81" i="9"/>
  <c r="AI73" i="9"/>
  <c r="AJ72" i="9"/>
  <c r="AJ56" i="9"/>
  <c r="AJ55" i="9"/>
  <c r="AJ49" i="9"/>
  <c r="AJ47" i="9"/>
  <c r="AI39" i="9"/>
  <c r="AJ35" i="9"/>
  <c r="AI28" i="9"/>
  <c r="AI27" i="9"/>
  <c r="P226" i="9" s="1"/>
  <c r="C35" i="6" s="1"/>
  <c r="C37" i="6" s="1"/>
  <c r="AJ26" i="9"/>
  <c r="AI15" i="9"/>
  <c r="AJ14" i="9"/>
  <c r="AJ191" i="9"/>
  <c r="AI187" i="9"/>
  <c r="AI183" i="9"/>
  <c r="AJ169" i="9"/>
  <c r="AI168" i="9"/>
  <c r="AJ139" i="9"/>
  <c r="AJ137" i="9"/>
  <c r="AJ135" i="9"/>
  <c r="AI131" i="9"/>
  <c r="C52" i="6" s="1"/>
  <c r="AJ115" i="9"/>
  <c r="AJ109" i="9"/>
  <c r="AJ102" i="9"/>
  <c r="AJ100" i="9"/>
  <c r="AJ98" i="9"/>
  <c r="AJ79" i="9"/>
  <c r="AJ5" i="9"/>
  <c r="AO226" i="9" s="1" a="1"/>
  <c r="AO226" i="9" s="1"/>
  <c r="AJ6" i="9"/>
  <c r="AI7" i="9"/>
  <c r="F226" i="9" s="1" a="1"/>
  <c r="F226" i="9" s="1"/>
  <c r="AI16" i="9"/>
  <c r="C54" i="6" s="1"/>
  <c r="AJ42" i="9"/>
  <c r="AI43" i="9"/>
  <c r="C62" i="6" s="1"/>
  <c r="I21" i="6" s="1"/>
  <c r="AJ45" i="9"/>
  <c r="AI52" i="9"/>
  <c r="AI53" i="9"/>
  <c r="AI62" i="9"/>
  <c r="AJ89" i="9"/>
  <c r="AI91" i="9"/>
  <c r="AI112" i="9"/>
  <c r="AI115" i="9"/>
  <c r="AP130" i="9"/>
  <c r="AI142" i="9"/>
  <c r="AJ155" i="9"/>
  <c r="AI156" i="9"/>
  <c r="AP23" i="9"/>
  <c r="AP33" i="9"/>
  <c r="AP35" i="9"/>
  <c r="AI55" i="9"/>
  <c r="C65" i="6" s="1"/>
  <c r="AI63" i="9"/>
  <c r="AP78" i="9"/>
  <c r="AP83" i="9"/>
  <c r="AJ90" i="9"/>
  <c r="AJ99" i="9"/>
  <c r="AJ110" i="9"/>
  <c r="AI111" i="9"/>
  <c r="AJ140" i="9"/>
  <c r="AI141" i="9"/>
  <c r="AJ164" i="9"/>
  <c r="AI166" i="9"/>
  <c r="AJ167" i="9"/>
  <c r="AI202" i="9"/>
  <c r="AI215" i="9"/>
  <c r="AP84" i="9"/>
  <c r="AP87" i="9"/>
  <c r="AP41" i="9"/>
  <c r="AP59" i="9"/>
  <c r="AP75" i="9"/>
  <c r="AP86" i="9"/>
  <c r="AP148" i="9"/>
  <c r="AP177" i="9"/>
  <c r="Z2" i="10"/>
  <c r="Z3" i="10"/>
  <c r="C18" i="6" s="1"/>
  <c r="H6" i="12"/>
  <c r="F7" i="12"/>
  <c r="I6" i="12"/>
  <c r="AP62" i="9"/>
  <c r="AP63" i="9"/>
  <c r="AP66" i="9"/>
  <c r="AP127" i="9"/>
  <c r="AP144" i="9"/>
  <c r="AP145" i="9"/>
  <c r="Z4" i="10"/>
  <c r="G4" i="6" s="1"/>
  <c r="P2" i="10"/>
  <c r="AP111" i="9"/>
  <c r="D10" i="10"/>
  <c r="I5" i="12"/>
  <c r="K7" i="10"/>
  <c r="G12" i="10"/>
  <c r="C18" i="10"/>
  <c r="S18" i="10"/>
  <c r="S23" i="10"/>
  <c r="G25" i="10"/>
  <c r="C2" i="10"/>
  <c r="K2" i="10"/>
  <c r="L2" i="10" s="1"/>
  <c r="K12" i="10"/>
  <c r="C22" i="10"/>
  <c r="D22" i="10" s="1"/>
  <c r="K22" i="10"/>
  <c r="L22" i="10" s="1"/>
  <c r="K25" i="10"/>
  <c r="H194" i="9" l="1"/>
  <c r="H164" i="9"/>
  <c r="D109" i="9"/>
  <c r="AP109" i="9" s="1"/>
  <c r="D29" i="9"/>
  <c r="AP29" i="9" s="1"/>
  <c r="D85" i="9"/>
  <c r="AP85" i="9" s="1"/>
  <c r="I17" i="6"/>
  <c r="I25" i="6" s="1"/>
  <c r="I26" i="6" s="1"/>
  <c r="F9" i="2" s="1"/>
  <c r="AB213" i="9"/>
  <c r="M211" i="9"/>
  <c r="AP211" i="9" s="1"/>
  <c r="G218" i="9"/>
  <c r="M215" i="9"/>
  <c r="AP215" i="9" s="1"/>
  <c r="M206" i="9"/>
  <c r="AP206" i="9" s="1"/>
  <c r="G204" i="9"/>
  <c r="AP204" i="9" s="1"/>
  <c r="G198" i="9"/>
  <c r="AP198" i="9" s="1"/>
  <c r="I196" i="9"/>
  <c r="M187" i="9"/>
  <c r="H183" i="9"/>
  <c r="G168" i="9"/>
  <c r="AP168" i="9" s="1"/>
  <c r="M217" i="9"/>
  <c r="H213" i="9"/>
  <c r="AG195" i="9"/>
  <c r="AG193" i="9"/>
  <c r="R191" i="9"/>
  <c r="G217" i="9"/>
  <c r="M214" i="9"/>
  <c r="R186" i="9"/>
  <c r="AB183" i="9"/>
  <c r="C173" i="9"/>
  <c r="AP173" i="9" s="1"/>
  <c r="C169" i="9"/>
  <c r="M164" i="9"/>
  <c r="C212" i="9"/>
  <c r="AP212" i="9" s="1"/>
  <c r="Y200" i="9"/>
  <c r="M194" i="9"/>
  <c r="G180" i="9"/>
  <c r="AP180" i="9" s="1"/>
  <c r="I175" i="9"/>
  <c r="I166" i="9"/>
  <c r="AP166" i="9" s="1"/>
  <c r="AG217" i="9"/>
  <c r="R216" i="9"/>
  <c r="S209" i="9"/>
  <c r="AP209" i="9" s="1"/>
  <c r="H197" i="9"/>
  <c r="AP197" i="9" s="1"/>
  <c r="H191" i="9"/>
  <c r="AP191" i="9" s="1"/>
  <c r="M185" i="9"/>
  <c r="AP185" i="9" s="1"/>
  <c r="AG165" i="9"/>
  <c r="AG163" i="9"/>
  <c r="R161" i="9"/>
  <c r="J205" i="9"/>
  <c r="H167" i="9"/>
  <c r="AP167" i="9" s="1"/>
  <c r="P208" i="9"/>
  <c r="AP208" i="9" s="1"/>
  <c r="Z192" i="9"/>
  <c r="AG187" i="9"/>
  <c r="M181" i="9"/>
  <c r="AP181" i="9" s="1"/>
  <c r="P178" i="9"/>
  <c r="AP178" i="9" s="1"/>
  <c r="M176" i="9"/>
  <c r="AP176" i="9" s="1"/>
  <c r="Z170" i="9"/>
  <c r="M169" i="9"/>
  <c r="Z162" i="9"/>
  <c r="C203" i="9"/>
  <c r="AP203" i="9" s="1"/>
  <c r="Z200" i="9"/>
  <c r="J166" i="9"/>
  <c r="Y165" i="9"/>
  <c r="C182" i="9"/>
  <c r="AP182" i="9" s="1"/>
  <c r="J175" i="9"/>
  <c r="AF173" i="9"/>
  <c r="P172" i="9"/>
  <c r="AP172" i="9" s="1"/>
  <c r="I205" i="9"/>
  <c r="M199" i="9"/>
  <c r="Y170" i="9"/>
  <c r="Y162" i="9"/>
  <c r="N213" i="9"/>
  <c r="C199" i="9"/>
  <c r="AP199" i="9" s="1"/>
  <c r="J196" i="9"/>
  <c r="M193" i="9"/>
  <c r="AP193" i="9" s="1"/>
  <c r="G187" i="9"/>
  <c r="G210" i="9"/>
  <c r="AP210" i="9" s="1"/>
  <c r="G188" i="9"/>
  <c r="S179" i="9"/>
  <c r="AP179" i="9" s="1"/>
  <c r="M184" i="9"/>
  <c r="Y192" i="9"/>
  <c r="H161" i="9"/>
  <c r="AP161" i="9" s="1"/>
  <c r="N183" i="9"/>
  <c r="M163" i="9"/>
  <c r="AP163" i="9" s="1"/>
  <c r="P202" i="9"/>
  <c r="AP202" i="9" s="1"/>
  <c r="G174" i="9"/>
  <c r="AP174" i="9" s="1"/>
  <c r="C44" i="6"/>
  <c r="C60" i="6"/>
  <c r="G7" i="6" s="1"/>
  <c r="O29" i="6"/>
  <c r="O31" i="6"/>
  <c r="I12" i="2" s="1"/>
  <c r="C57" i="6"/>
  <c r="Z62" i="7"/>
  <c r="C22" i="6"/>
  <c r="E7" i="6"/>
  <c r="Z11" i="10"/>
  <c r="D2" i="10"/>
  <c r="O226" i="9"/>
  <c r="C29" i="6" s="1"/>
  <c r="C31" i="6" s="1"/>
  <c r="C32" i="6" s="1"/>
  <c r="N226" i="9"/>
  <c r="O17" i="6" s="1"/>
  <c r="O21" i="6" s="1"/>
  <c r="L226" i="9" a="1"/>
  <c r="L226" i="9" s="1"/>
  <c r="U226" i="9"/>
  <c r="E34" i="6" s="1"/>
  <c r="C70" i="6"/>
  <c r="Q33" i="6" s="1"/>
  <c r="AB226" i="9"/>
  <c r="O23" i="6" s="1"/>
  <c r="AE226" i="9"/>
  <c r="C55" i="6"/>
  <c r="C43" i="6"/>
  <c r="C45" i="6"/>
  <c r="AH226" i="9"/>
  <c r="I14" i="6" s="1"/>
  <c r="V226" i="9"/>
  <c r="S226" i="9"/>
  <c r="O11" i="6" s="1"/>
  <c r="C53" i="6"/>
  <c r="D226" i="9" a="1"/>
  <c r="D226" i="9" s="1"/>
  <c r="G17" i="6" s="1"/>
  <c r="G25" i="6" s="1"/>
  <c r="T41" i="7"/>
  <c r="I34" i="6"/>
  <c r="O12" i="6"/>
  <c r="G22" i="6"/>
  <c r="G23" i="6"/>
  <c r="O3" i="6"/>
  <c r="C66" i="6"/>
  <c r="Z136" i="7"/>
  <c r="W226" i="9"/>
  <c r="C71" i="6"/>
  <c r="O35" i="6" s="1"/>
  <c r="O36" i="6"/>
  <c r="M10" i="6"/>
  <c r="C42" i="6"/>
  <c r="C59" i="6"/>
  <c r="C58" i="6"/>
  <c r="T226" i="9"/>
  <c r="E29" i="6" s="1"/>
  <c r="Q226" i="9"/>
  <c r="E17" i="6" s="1"/>
  <c r="E37" i="6"/>
  <c r="E32" i="6"/>
  <c r="O25" i="6"/>
  <c r="C25" i="6"/>
  <c r="Z10" i="10"/>
  <c r="O4" i="6" s="1"/>
  <c r="H7" i="12"/>
  <c r="F8" i="12"/>
  <c r="I7" i="12"/>
  <c r="C51" i="6"/>
  <c r="G8" i="6"/>
  <c r="Q34" i="6"/>
  <c r="G9" i="6"/>
  <c r="C48" i="6"/>
  <c r="C56" i="6"/>
  <c r="C9" i="6" s="1"/>
  <c r="R226" i="9"/>
  <c r="G36" i="6"/>
  <c r="O218" i="9"/>
  <c r="C214" i="9"/>
  <c r="E214" i="9"/>
  <c r="C184" i="9"/>
  <c r="AP184" i="9" s="1"/>
  <c r="K200" i="9"/>
  <c r="AP200" i="9" s="1"/>
  <c r="AD196" i="9"/>
  <c r="H184" i="9"/>
  <c r="AD166" i="9"/>
  <c r="K65" i="9"/>
  <c r="AP65" i="9" s="1"/>
  <c r="AC196" i="9"/>
  <c r="H214" i="9"/>
  <c r="H226" i="9" s="1" a="1"/>
  <c r="H226" i="9" s="1"/>
  <c r="E3" i="6" s="1"/>
  <c r="G107" i="9"/>
  <c r="AP107" i="9" s="1"/>
  <c r="K104" i="9"/>
  <c r="AP104" i="9" s="1"/>
  <c r="K98" i="9"/>
  <c r="I64" i="9"/>
  <c r="I226" i="9" s="1" a="1"/>
  <c r="I226" i="9" s="1"/>
  <c r="K3" i="6" s="1"/>
  <c r="R34" i="9"/>
  <c r="AP34" i="9" s="1"/>
  <c r="E184" i="9"/>
  <c r="E226" i="9" s="1" a="1"/>
  <c r="E226" i="9" s="1"/>
  <c r="I3" i="6" s="1"/>
  <c r="AC63" i="9"/>
  <c r="R52" i="9"/>
  <c r="N81" i="9"/>
  <c r="AP81" i="9" s="1"/>
  <c r="R98" i="9"/>
  <c r="J64" i="9"/>
  <c r="AD63" i="9"/>
  <c r="J52" i="9"/>
  <c r="O188" i="9"/>
  <c r="J3" i="9"/>
  <c r="C8" i="6"/>
  <c r="C10" i="6" s="1"/>
  <c r="AC166" i="9"/>
  <c r="L4" i="10"/>
  <c r="Z9" i="10" s="1"/>
  <c r="T4" i="10"/>
  <c r="M42" i="6"/>
  <c r="I10" i="2" s="1"/>
  <c r="I7" i="6" l="1"/>
  <c r="Y104" i="7" s="1"/>
  <c r="I11" i="6"/>
  <c r="J227" i="9" a="1"/>
  <c r="J227" i="9" s="1"/>
  <c r="M17" i="6" s="1"/>
  <c r="AP3" i="9"/>
  <c r="J226" i="9" a="1"/>
  <c r="J226" i="9" s="1"/>
  <c r="K17" i="6" s="1"/>
  <c r="AP214" i="9"/>
  <c r="AP196" i="9"/>
  <c r="X203" i="9"/>
  <c r="X173" i="9"/>
  <c r="AE216" i="9"/>
  <c r="AE169" i="9"/>
  <c r="AE199" i="9"/>
  <c r="AE68" i="9"/>
  <c r="AE186" i="9"/>
  <c r="G135" i="9"/>
  <c r="AP135" i="9" s="1"/>
  <c r="AE39" i="9"/>
  <c r="E24" i="6"/>
  <c r="E26" i="6" s="1"/>
  <c r="O30" i="6"/>
  <c r="AP169" i="9"/>
  <c r="C227" i="9" a="1"/>
  <c r="C227" i="9" s="1"/>
  <c r="K14" i="6" s="1"/>
  <c r="I227" i="9" a="1"/>
  <c r="I227" i="9" s="1"/>
  <c r="M3" i="6" s="1"/>
  <c r="AP64" i="9"/>
  <c r="K226" i="9" a="1"/>
  <c r="K226" i="9" s="1"/>
  <c r="C17" i="6" s="1"/>
  <c r="C23" i="6" s="1"/>
  <c r="AP213" i="9"/>
  <c r="I7" i="2"/>
  <c r="Z6" i="10"/>
  <c r="K4" i="6" s="1"/>
  <c r="K11" i="6" s="1"/>
  <c r="Z7" i="10"/>
  <c r="K18" i="6" s="1"/>
  <c r="K32" i="6"/>
  <c r="L12" i="2" s="1"/>
  <c r="K29" i="6"/>
  <c r="L9" i="2" s="1"/>
  <c r="K31" i="6"/>
  <c r="L11" i="2" s="1"/>
  <c r="K30" i="6"/>
  <c r="L10" i="2" s="1"/>
  <c r="AP52" i="9"/>
  <c r="E9" i="6"/>
  <c r="AP98" i="9"/>
  <c r="E23" i="6"/>
  <c r="G26" i="6"/>
  <c r="C9" i="2" s="1"/>
  <c r="I6" i="2"/>
  <c r="V127" i="7"/>
  <c r="X63" i="7"/>
  <c r="O26" i="6"/>
  <c r="F7" i="2" s="1"/>
  <c r="AP175" i="9"/>
  <c r="F9" i="12"/>
  <c r="I8" i="12"/>
  <c r="H8" i="12"/>
  <c r="G226" i="9" a="1"/>
  <c r="G226" i="9" s="1"/>
  <c r="C3" i="6" s="1"/>
  <c r="AH65" i="9"/>
  <c r="Y22" i="7"/>
  <c r="AH177" i="9"/>
  <c r="AH207" i="9"/>
  <c r="C226" i="9" a="1"/>
  <c r="C226" i="9" s="1"/>
  <c r="G3" i="6" s="1"/>
  <c r="M226" i="9" a="1"/>
  <c r="M226" i="9" s="1"/>
  <c r="Q23" i="6" s="1"/>
  <c r="Q26" i="6" s="1"/>
  <c r="AP164" i="9"/>
  <c r="K9" i="6"/>
  <c r="K23" i="6"/>
  <c r="AP205" i="9"/>
  <c r="AP183" i="9"/>
  <c r="AP194" i="9"/>
  <c r="K12" i="6" l="1"/>
  <c r="K35" i="6"/>
  <c r="N10" i="2" s="1"/>
  <c r="K37" i="6"/>
  <c r="N12" i="2" s="1"/>
  <c r="K34" i="6"/>
  <c r="N9" i="2" s="1"/>
  <c r="K36" i="6"/>
  <c r="N11" i="2" s="1"/>
  <c r="Z162" i="7"/>
  <c r="C14" i="6"/>
  <c r="L30" i="3"/>
  <c r="L22" i="3"/>
  <c r="L14" i="3"/>
  <c r="O31" i="2"/>
  <c r="L26" i="3"/>
  <c r="L18" i="3"/>
  <c r="L35" i="3"/>
  <c r="L27" i="3"/>
  <c r="L33" i="3"/>
  <c r="L25" i="3"/>
  <c r="L17" i="3"/>
  <c r="L9" i="3"/>
  <c r="L36" i="3"/>
  <c r="L28" i="3"/>
  <c r="L20" i="3"/>
  <c r="L12" i="3"/>
  <c r="L10" i="3"/>
  <c r="L31" i="3"/>
  <c r="L23" i="3"/>
  <c r="L15" i="3"/>
  <c r="L7" i="3"/>
  <c r="L34" i="3"/>
  <c r="M18" i="6"/>
  <c r="M19" i="6" s="1"/>
  <c r="M20" i="6" s="1"/>
  <c r="M21" i="6" s="1"/>
  <c r="L29" i="3"/>
  <c r="L21" i="3"/>
  <c r="L13" i="3"/>
  <c r="L32" i="3"/>
  <c r="L24" i="3"/>
  <c r="L16" i="3"/>
  <c r="L8" i="3"/>
  <c r="L19" i="3"/>
  <c r="L11" i="3"/>
  <c r="AA151" i="7"/>
  <c r="Z151" i="7"/>
  <c r="Z150" i="7"/>
  <c r="I36" i="6"/>
  <c r="C26" i="6"/>
  <c r="E68" i="6"/>
  <c r="I12" i="6"/>
  <c r="I29" i="6"/>
  <c r="G11" i="6"/>
  <c r="I30" i="6"/>
  <c r="I35" i="6" s="1"/>
  <c r="E25" i="6"/>
  <c r="I9" i="2"/>
  <c r="F10" i="12"/>
  <c r="I9" i="12"/>
  <c r="H9" i="12"/>
  <c r="K35" i="3"/>
  <c r="K27" i="3"/>
  <c r="K19" i="3"/>
  <c r="K11" i="3"/>
  <c r="K23" i="3"/>
  <c r="K15" i="3"/>
  <c r="K30" i="3"/>
  <c r="K22" i="3"/>
  <c r="K14" i="3"/>
  <c r="K33" i="3"/>
  <c r="K25" i="3"/>
  <c r="K17" i="3"/>
  <c r="K9" i="3"/>
  <c r="K31" i="3"/>
  <c r="K36" i="3"/>
  <c r="K28" i="3"/>
  <c r="K20" i="3"/>
  <c r="K12" i="3"/>
  <c r="O30" i="2"/>
  <c r="K7" i="3"/>
  <c r="K32" i="3"/>
  <c r="K34" i="3"/>
  <c r="K26" i="3"/>
  <c r="K18" i="3"/>
  <c r="K10" i="3"/>
  <c r="K24" i="3"/>
  <c r="K16" i="3"/>
  <c r="K8" i="3"/>
  <c r="K29" i="3"/>
  <c r="K21" i="3"/>
  <c r="K13" i="3"/>
  <c r="M4" i="6"/>
  <c r="M5" i="6" s="1"/>
  <c r="K25" i="6"/>
  <c r="K26" i="6" s="1"/>
  <c r="AC206" i="9"/>
  <c r="AC176" i="9"/>
  <c r="M14" i="6"/>
  <c r="F6" i="2" l="1"/>
  <c r="AE201" i="9"/>
  <c r="AE171" i="9"/>
  <c r="AE165" i="9"/>
  <c r="AE195" i="9"/>
  <c r="W41" i="9"/>
  <c r="Q14" i="6"/>
  <c r="O14" i="6"/>
  <c r="O29" i="2"/>
  <c r="M6" i="6"/>
  <c r="F10" i="2"/>
  <c r="G42" i="6"/>
  <c r="E4" i="6"/>
  <c r="E11" i="6" s="1"/>
  <c r="E12" i="6" s="1"/>
  <c r="E14" i="6"/>
  <c r="C4" i="6" s="1"/>
  <c r="Z164" i="7"/>
  <c r="W205" i="9"/>
  <c r="AH135" i="9"/>
  <c r="W175" i="9"/>
  <c r="AH55" i="9"/>
  <c r="Y111" i="7"/>
  <c r="Y122" i="7"/>
  <c r="V37" i="7"/>
  <c r="G12" i="6"/>
  <c r="T89" i="9"/>
  <c r="AP89" i="9" s="1"/>
  <c r="AH118" i="9"/>
  <c r="AH50" i="9"/>
  <c r="Y16" i="7"/>
  <c r="C10" i="2"/>
  <c r="Y97" i="7"/>
  <c r="G41" i="6"/>
  <c r="H10" i="12"/>
  <c r="F11" i="12"/>
  <c r="I10" i="12"/>
  <c r="AB131" i="7"/>
  <c r="Z160" i="7"/>
  <c r="AA140" i="7"/>
  <c r="Z12" i="7"/>
  <c r="AD53" i="7"/>
  <c r="AD19" i="7"/>
  <c r="G35" i="6"/>
  <c r="C5" i="2"/>
  <c r="AA38" i="7"/>
  <c r="C11" i="6" l="1"/>
  <c r="I37" i="6"/>
  <c r="T143" i="9"/>
  <c r="AP143" i="9" s="1"/>
  <c r="Y140" i="7"/>
  <c r="Y74" i="7"/>
  <c r="Y39" i="7"/>
  <c r="Y26" i="7"/>
  <c r="X26" i="7"/>
  <c r="E42" i="6"/>
  <c r="G14" i="6"/>
  <c r="Y7" i="7"/>
  <c r="Y20" i="7"/>
  <c r="E41" i="6"/>
  <c r="V125" i="7"/>
  <c r="V116" i="7"/>
  <c r="Y37" i="7"/>
  <c r="W164" i="7"/>
  <c r="V88" i="7"/>
  <c r="V48" i="7"/>
  <c r="Y76" i="7"/>
  <c r="AC78" i="9"/>
  <c r="AC226" i="9" s="1" a="1"/>
  <c r="AC226" i="9" s="1"/>
  <c r="M7" i="6"/>
  <c r="C6" i="2"/>
  <c r="I11" i="12"/>
  <c r="F12" i="12"/>
  <c r="H11" i="12"/>
  <c r="W208" i="9"/>
  <c r="W197" i="9"/>
  <c r="W167" i="9"/>
  <c r="W172" i="9"/>
  <c r="W211" i="9"/>
  <c r="W206" i="9"/>
  <c r="U90" i="9"/>
  <c r="AP90" i="9" s="1"/>
  <c r="W202" i="9"/>
  <c r="W176" i="9"/>
  <c r="V133" i="9"/>
  <c r="W178" i="9"/>
  <c r="Y81" i="7"/>
  <c r="W181" i="9"/>
  <c r="X157" i="7"/>
  <c r="X116" i="7"/>
  <c r="Y30" i="7"/>
  <c r="F4" i="2"/>
  <c r="W80" i="7"/>
  <c r="Y34" i="7"/>
  <c r="Y4" i="7"/>
  <c r="Y96" i="7"/>
  <c r="V59" i="7"/>
  <c r="W55" i="7"/>
  <c r="X111" i="7"/>
  <c r="W165" i="7"/>
  <c r="X72" i="7"/>
  <c r="V161" i="7"/>
  <c r="W153" i="7"/>
  <c r="V108" i="7"/>
  <c r="W85" i="7"/>
  <c r="X47" i="7"/>
  <c r="V77" i="7"/>
  <c r="W96" i="7"/>
  <c r="X165" i="7"/>
  <c r="W47" i="7"/>
  <c r="V73" i="7"/>
  <c r="V36" i="7"/>
  <c r="X118" i="7"/>
  <c r="Y153" i="7"/>
  <c r="V165" i="7"/>
  <c r="V117" i="7"/>
  <c r="V133" i="7"/>
  <c r="V118" i="7"/>
  <c r="V67" i="7"/>
  <c r="V15" i="7"/>
  <c r="U125" i="7"/>
  <c r="U130" i="7"/>
  <c r="V103" i="7"/>
  <c r="P122" i="9"/>
  <c r="AP122" i="9" s="1"/>
  <c r="T18" i="9"/>
  <c r="AP18" i="9" s="1"/>
  <c r="X79" i="7"/>
  <c r="J32" i="3"/>
  <c r="J24" i="3"/>
  <c r="J16" i="3"/>
  <c r="J8" i="3"/>
  <c r="J20" i="3"/>
  <c r="J21" i="3"/>
  <c r="J35" i="3"/>
  <c r="J27" i="3"/>
  <c r="J19" i="3"/>
  <c r="J11" i="3"/>
  <c r="J30" i="3"/>
  <c r="J22" i="3"/>
  <c r="J14" i="3"/>
  <c r="J36" i="3"/>
  <c r="J28" i="3"/>
  <c r="J33" i="3"/>
  <c r="J25" i="3"/>
  <c r="J17" i="3"/>
  <c r="J9" i="3"/>
  <c r="J12" i="3"/>
  <c r="J31" i="3"/>
  <c r="J23" i="3"/>
  <c r="J15" i="3"/>
  <c r="J7" i="3"/>
  <c r="J13" i="3"/>
  <c r="J34" i="3"/>
  <c r="J26" i="3"/>
  <c r="J18" i="3"/>
  <c r="J10" i="3"/>
  <c r="J29" i="3"/>
  <c r="AD78" i="9"/>
  <c r="AD226" i="9" s="1" a="1"/>
  <c r="AD226" i="9" s="1"/>
  <c r="M8" i="6" s="1"/>
  <c r="I32" i="6" s="1"/>
  <c r="M9" i="6" l="1"/>
  <c r="Y94" i="7" s="1"/>
  <c r="M12" i="6"/>
  <c r="M30" i="6"/>
  <c r="O10" i="6"/>
  <c r="M22" i="6"/>
  <c r="I12" i="12"/>
  <c r="H12" i="12"/>
  <c r="F13" i="12"/>
  <c r="W198" i="9"/>
  <c r="W168" i="9"/>
  <c r="Y141" i="7"/>
  <c r="Y33" i="7"/>
  <c r="X160" i="7"/>
  <c r="W60" i="7"/>
  <c r="X24" i="7"/>
  <c r="W95" i="7"/>
  <c r="W102" i="7"/>
  <c r="AE101" i="9"/>
  <c r="W77" i="7"/>
  <c r="W135" i="7"/>
  <c r="X33" i="7"/>
  <c r="Y36" i="7"/>
  <c r="X102" i="7"/>
  <c r="X64" i="7"/>
  <c r="U93" i="7"/>
  <c r="X114" i="7"/>
  <c r="W100" i="7"/>
  <c r="C12" i="6"/>
  <c r="W136" i="7" l="1"/>
  <c r="U149" i="7"/>
  <c r="U110" i="7"/>
  <c r="V20" i="7"/>
  <c r="V64" i="7"/>
  <c r="W42" i="7"/>
  <c r="U71" i="7"/>
  <c r="X40" i="7"/>
  <c r="V60" i="7"/>
  <c r="U94" i="7"/>
  <c r="U49" i="7"/>
  <c r="W128" i="7"/>
  <c r="X48" i="7"/>
  <c r="U53" i="7"/>
  <c r="X67" i="7"/>
  <c r="W98" i="7"/>
  <c r="X163" i="7"/>
  <c r="W147" i="7"/>
  <c r="X52" i="7"/>
  <c r="U147" i="7"/>
  <c r="U33" i="7"/>
  <c r="U140" i="7"/>
  <c r="X19" i="7"/>
  <c r="Y109" i="7"/>
  <c r="U155" i="7"/>
  <c r="U86" i="7"/>
  <c r="X92" i="7"/>
  <c r="U48" i="7"/>
  <c r="V19" i="7"/>
  <c r="V102" i="7"/>
  <c r="W27" i="7"/>
  <c r="X140" i="7"/>
  <c r="W134" i="7"/>
  <c r="V62" i="7"/>
  <c r="U40" i="7"/>
  <c r="X44" i="7"/>
  <c r="Y24" i="7"/>
  <c r="U92" i="7"/>
  <c r="U124" i="7"/>
  <c r="V107" i="7"/>
  <c r="X27" i="7"/>
  <c r="X109" i="7"/>
  <c r="W94" i="7"/>
  <c r="W62" i="7"/>
  <c r="X98" i="7"/>
  <c r="U64" i="7"/>
  <c r="V124" i="7"/>
  <c r="X150" i="7"/>
  <c r="W93" i="7"/>
  <c r="U63" i="7"/>
  <c r="X134" i="7"/>
  <c r="W63" i="7"/>
  <c r="X46" i="9"/>
  <c r="U62" i="7"/>
  <c r="X86" i="7"/>
  <c r="V140" i="7"/>
  <c r="X60" i="7"/>
  <c r="U88" i="7"/>
  <c r="U98" i="7"/>
  <c r="Y124" i="7"/>
  <c r="W92" i="7"/>
  <c r="X124" i="7"/>
  <c r="W155" i="7"/>
  <c r="W101" i="7"/>
  <c r="U42" i="7"/>
  <c r="X147" i="7"/>
  <c r="U67" i="7"/>
  <c r="X94" i="7"/>
  <c r="X149" i="7"/>
  <c r="U146" i="7"/>
  <c r="V105" i="7"/>
  <c r="U27" i="7"/>
  <c r="X93" i="7"/>
  <c r="Y110" i="7"/>
  <c r="I13" i="12"/>
  <c r="H13" i="12"/>
  <c r="F14" i="12"/>
  <c r="W91" i="7"/>
  <c r="M31" i="6"/>
  <c r="M23" i="6"/>
  <c r="Y23" i="7" s="1"/>
  <c r="Y65" i="7"/>
  <c r="V109" i="7"/>
  <c r="H8" i="10"/>
  <c r="M29" i="6" s="1"/>
  <c r="V136" i="7"/>
  <c r="Y138" i="7"/>
  <c r="X37" i="7"/>
  <c r="X162" i="7"/>
  <c r="X22" i="7"/>
  <c r="V136" i="9"/>
  <c r="U152" i="7"/>
  <c r="Y86" i="7"/>
  <c r="Y95" i="7"/>
  <c r="Y83" i="7"/>
  <c r="X78" i="7"/>
  <c r="X95" i="7"/>
  <c r="V147" i="7"/>
  <c r="Y44" i="7"/>
  <c r="W16" i="7"/>
  <c r="W140" i="7"/>
  <c r="Y12" i="7"/>
  <c r="V3" i="7"/>
  <c r="X101" i="7"/>
  <c r="Y54" i="7"/>
  <c r="U52" i="7"/>
  <c r="U44" i="7"/>
  <c r="W88" i="7"/>
  <c r="C4" i="2"/>
  <c r="U12" i="7"/>
  <c r="W54" i="7"/>
  <c r="U102" i="7"/>
  <c r="U24" i="7"/>
  <c r="V160" i="7"/>
  <c r="U129" i="7"/>
  <c r="U19" i="7"/>
  <c r="U82" i="7"/>
  <c r="U36" i="7"/>
  <c r="W44" i="7"/>
  <c r="U112" i="7"/>
  <c r="U144" i="7"/>
  <c r="U105" i="7"/>
  <c r="V149" i="7"/>
  <c r="X164" i="7"/>
  <c r="U78" i="7"/>
  <c r="X51" i="7"/>
  <c r="U95" i="7"/>
  <c r="Y102" i="7"/>
  <c r="V12" i="7"/>
  <c r="U3" i="7"/>
  <c r="V50" i="7"/>
  <c r="W33" i="7"/>
  <c r="U109" i="7"/>
  <c r="U115" i="7"/>
  <c r="X53" i="7"/>
  <c r="X105" i="7"/>
  <c r="X71" i="7"/>
  <c r="U163" i="7"/>
  <c r="U141" i="7"/>
  <c r="V24" i="7"/>
  <c r="V44" i="7"/>
  <c r="V51" i="7"/>
  <c r="U6" i="7"/>
  <c r="U136" i="7"/>
  <c r="U60" i="7"/>
  <c r="W109" i="7"/>
  <c r="W36" i="7"/>
  <c r="W115" i="7"/>
  <c r="U37" i="7"/>
  <c r="U54" i="7"/>
  <c r="U134" i="7"/>
  <c r="U164" i="7"/>
  <c r="U90" i="7"/>
  <c r="V52" i="7"/>
  <c r="V115" i="7"/>
  <c r="X107" i="7"/>
  <c r="W163" i="7"/>
  <c r="U20" i="7"/>
  <c r="U101" i="7"/>
  <c r="X146" i="7"/>
  <c r="U135" i="7"/>
  <c r="Y40" i="7"/>
  <c r="U116" i="7"/>
  <c r="V45" i="7"/>
  <c r="U51" i="7"/>
  <c r="Y78" i="7"/>
  <c r="Y134" i="7"/>
  <c r="U38" i="7"/>
  <c r="W64" i="7"/>
  <c r="U50" i="7"/>
  <c r="X38" i="7"/>
  <c r="U114" i="7"/>
  <c r="U91" i="7"/>
  <c r="U100" i="7"/>
  <c r="X124" i="9"/>
  <c r="O34" i="6"/>
  <c r="X217" i="9"/>
  <c r="O33" i="6"/>
  <c r="X187" i="9"/>
  <c r="E33" i="6"/>
  <c r="W111" i="7"/>
  <c r="X192" i="9"/>
  <c r="X162" i="9"/>
  <c r="Y114" i="7"/>
  <c r="V164" i="7"/>
  <c r="Q30" i="6"/>
  <c r="Y3" i="7"/>
  <c r="W38" i="7"/>
  <c r="W26" i="7"/>
  <c r="Y107" i="7"/>
  <c r="X144" i="7"/>
  <c r="W130" i="7"/>
  <c r="Y48" i="7"/>
  <c r="V106" i="7"/>
  <c r="V74" i="7"/>
  <c r="V91" i="7"/>
  <c r="Y120" i="7" l="1"/>
  <c r="X155" i="7"/>
  <c r="U5" i="7"/>
  <c r="X23" i="7"/>
  <c r="W112" i="7"/>
  <c r="O32" i="6"/>
  <c r="W67" i="7"/>
  <c r="W5" i="7"/>
  <c r="W51" i="7"/>
  <c r="U34" i="7"/>
  <c r="V151" i="7"/>
  <c r="W132" i="7"/>
  <c r="U142" i="7"/>
  <c r="V53" i="7"/>
  <c r="X151" i="7"/>
  <c r="Y35" i="7"/>
  <c r="F15" i="12"/>
  <c r="I14" i="12"/>
  <c r="H14" i="12"/>
  <c r="Y18" i="7"/>
  <c r="Y29" i="7"/>
  <c r="Y68" i="7"/>
  <c r="V29" i="7"/>
  <c r="Y92" i="7"/>
  <c r="W50" i="7"/>
  <c r="X106" i="7"/>
  <c r="U153" i="7"/>
  <c r="W143" i="7"/>
  <c r="W30" i="7"/>
  <c r="U119" i="7"/>
  <c r="V43" i="7"/>
  <c r="V131" i="7"/>
  <c r="E38" i="6"/>
  <c r="X145" i="7" s="1"/>
  <c r="Y125" i="7"/>
  <c r="Y90" i="7"/>
  <c r="W76" i="7"/>
  <c r="X20" i="7"/>
  <c r="U103" i="7"/>
  <c r="V143" i="7"/>
  <c r="V26" i="7"/>
  <c r="Y106" i="7"/>
  <c r="V90" i="7"/>
  <c r="W90" i="7"/>
  <c r="Y155" i="7"/>
  <c r="W49" i="7"/>
  <c r="V54" i="7"/>
  <c r="Y156" i="7"/>
  <c r="V148" i="7"/>
  <c r="U159" i="7"/>
  <c r="X143" i="7"/>
  <c r="Y79" i="7"/>
  <c r="U154" i="7"/>
  <c r="V110" i="7"/>
  <c r="U43" i="7"/>
  <c r="X25" i="7"/>
  <c r="U8" i="7"/>
  <c r="W131" i="7"/>
  <c r="U15" i="7"/>
  <c r="V42" i="7"/>
  <c r="W61" i="7"/>
  <c r="U75" i="7"/>
  <c r="U21" i="7"/>
  <c r="X12" i="7"/>
  <c r="U58" i="7"/>
  <c r="V104" i="7"/>
  <c r="X80" i="7"/>
  <c r="W87" i="7"/>
  <c r="U137" i="7"/>
  <c r="V46" i="7"/>
  <c r="X135" i="7"/>
  <c r="X18" i="7"/>
  <c r="U97" i="7"/>
  <c r="V33" i="7"/>
  <c r="Y139" i="7"/>
  <c r="V32" i="7"/>
  <c r="U22" i="7"/>
  <c r="W83" i="7"/>
  <c r="W108" i="7"/>
  <c r="V83" i="7"/>
  <c r="W106" i="7"/>
  <c r="U99" i="7"/>
  <c r="W114" i="7"/>
  <c r="V10" i="7"/>
  <c r="X9" i="7"/>
  <c r="U66" i="7"/>
  <c r="Y144" i="7"/>
  <c r="W79" i="7"/>
  <c r="X103" i="7"/>
  <c r="U61" i="7"/>
  <c r="W32" i="7"/>
  <c r="U83" i="7"/>
  <c r="V85" i="7"/>
  <c r="V63" i="7"/>
  <c r="W127" i="7"/>
  <c r="W43" i="7"/>
  <c r="V119" i="7"/>
  <c r="V34" i="7"/>
  <c r="V87" i="7"/>
  <c r="W154" i="7"/>
  <c r="U156" i="7"/>
  <c r="U138" i="7"/>
  <c r="U143" i="7"/>
  <c r="V156" i="7"/>
  <c r="Y108" i="7"/>
  <c r="W31" i="7"/>
  <c r="V138" i="7"/>
  <c r="U17" i="7"/>
  <c r="V4" i="7"/>
  <c r="U41" i="7"/>
  <c r="W113" i="7"/>
  <c r="V25" i="7"/>
  <c r="X35" i="7"/>
  <c r="W72" i="7"/>
  <c r="U46" i="7"/>
  <c r="V40" i="7"/>
  <c r="W144" i="7"/>
  <c r="X73" i="7"/>
  <c r="V68" i="7"/>
  <c r="X32" i="7"/>
  <c r="W126" i="7"/>
  <c r="U126" i="7"/>
  <c r="X96" i="7"/>
  <c r="U117" i="7"/>
  <c r="V23" i="7"/>
  <c r="W65" i="7"/>
  <c r="U23" i="7"/>
  <c r="Y159" i="7"/>
  <c r="W149" i="7"/>
  <c r="U118" i="7"/>
  <c r="V55" i="7"/>
  <c r="W25" i="7"/>
  <c r="U123" i="7"/>
  <c r="W152" i="7"/>
  <c r="Y6" i="7"/>
  <c r="X6" i="7" s="1"/>
  <c r="V21" i="7"/>
  <c r="X137" i="7"/>
  <c r="W68" i="7"/>
  <c r="V80" i="7"/>
  <c r="V17" i="7"/>
  <c r="X68" i="7"/>
  <c r="X121" i="7"/>
  <c r="W46" i="7"/>
  <c r="X75" i="7"/>
  <c r="X61" i="7"/>
  <c r="U80" i="7"/>
  <c r="W89" i="7"/>
  <c r="V39" i="7"/>
  <c r="W39" i="7"/>
  <c r="W66" i="7"/>
  <c r="U18" i="7"/>
  <c r="X148" i="7"/>
  <c r="U131" i="7"/>
  <c r="X138" i="7"/>
  <c r="U148" i="7"/>
  <c r="X126" i="7"/>
  <c r="U79" i="7"/>
  <c r="Y73" i="7"/>
  <c r="U29" i="7"/>
  <c r="W118" i="7"/>
  <c r="X10" i="7"/>
  <c r="U35" i="7"/>
  <c r="W17" i="7"/>
  <c r="X87" i="7"/>
  <c r="X34" i="7"/>
  <c r="U47" i="7"/>
  <c r="W52" i="7"/>
  <c r="X57" i="7"/>
  <c r="X8" i="7"/>
  <c r="V69" i="7"/>
  <c r="W57" i="7"/>
  <c r="V71" i="7"/>
  <c r="U13" i="7"/>
  <c r="U57" i="7"/>
  <c r="U89" i="7"/>
  <c r="V154" i="7"/>
  <c r="X74" i="7"/>
  <c r="U122" i="7"/>
  <c r="U81" i="7"/>
  <c r="X112" i="7"/>
  <c r="V120" i="7"/>
  <c r="X82" i="7"/>
  <c r="W86" i="7"/>
  <c r="X83" i="7"/>
  <c r="V70" i="7"/>
  <c r="V135" i="7"/>
  <c r="W104" i="7"/>
  <c r="U69" i="7"/>
  <c r="V76" i="7"/>
  <c r="U165" i="7"/>
  <c r="W70" i="7"/>
  <c r="U56" i="7"/>
  <c r="X110" i="7"/>
  <c r="U113" i="7"/>
  <c r="Y41" i="7"/>
  <c r="X41" i="7" s="1"/>
  <c r="X13" i="7"/>
  <c r="W84" i="7"/>
  <c r="W19" i="7"/>
  <c r="U72" i="7"/>
  <c r="U74" i="7"/>
  <c r="W48" i="7"/>
  <c r="V81" i="7"/>
  <c r="U108" i="7"/>
  <c r="U104" i="7"/>
  <c r="Y53" i="7"/>
  <c r="V49" i="7"/>
  <c r="W59" i="7"/>
  <c r="W35" i="7"/>
  <c r="X156" i="7"/>
  <c r="V128" i="7"/>
  <c r="V122" i="7"/>
  <c r="W138" i="7"/>
  <c r="Y117" i="7"/>
  <c r="W123" i="7"/>
  <c r="Y28" i="7"/>
  <c r="X28" i="7"/>
  <c r="X21" i="7"/>
  <c r="X4" i="7"/>
  <c r="W21" i="7"/>
  <c r="X142" i="7"/>
  <c r="Y70" i="7"/>
  <c r="X17" i="7"/>
  <c r="X45" i="7"/>
  <c r="V22" i="7"/>
  <c r="X56" i="7"/>
  <c r="U70" i="7"/>
  <c r="V31" i="7"/>
  <c r="U25" i="7"/>
  <c r="W78" i="7"/>
  <c r="W7" i="7"/>
  <c r="V89" i="7"/>
  <c r="W69" i="7"/>
  <c r="V96" i="7"/>
  <c r="X84" i="7"/>
  <c r="W82" i="7"/>
  <c r="W22" i="7"/>
  <c r="V14" i="7"/>
  <c r="X97" i="7"/>
  <c r="W103" i="7"/>
  <c r="U9" i="7"/>
  <c r="X153" i="7"/>
  <c r="X119" i="7"/>
  <c r="V121" i="7"/>
  <c r="X90" i="7"/>
  <c r="U76" i="7"/>
  <c r="X100" i="7"/>
  <c r="W13" i="7"/>
  <c r="X42" i="7"/>
  <c r="X14" i="7"/>
  <c r="W99" i="7"/>
  <c r="X133" i="7"/>
  <c r="U139" i="7"/>
  <c r="W73" i="7"/>
  <c r="V28" i="7"/>
  <c r="U158" i="7"/>
  <c r="W148" i="7"/>
  <c r="X122" i="7"/>
  <c r="W116" i="7"/>
  <c r="X127" i="7"/>
  <c r="X117" i="7"/>
  <c r="Y25" i="7"/>
  <c r="U121" i="7"/>
  <c r="Y17" i="7"/>
  <c r="W14" i="7"/>
  <c r="U14" i="7"/>
  <c r="V7" i="7"/>
  <c r="X139" i="7"/>
  <c r="W146" i="7"/>
  <c r="U120" i="7"/>
  <c r="V35" i="7"/>
  <c r="V65" i="7"/>
  <c r="U7" i="7"/>
  <c r="U55" i="7"/>
  <c r="X108" i="7"/>
  <c r="W56" i="7"/>
  <c r="W28" i="7"/>
  <c r="W34" i="7"/>
  <c r="V47" i="7"/>
  <c r="U84" i="7"/>
  <c r="W75" i="7"/>
  <c r="Y89" i="7"/>
  <c r="X30" i="7"/>
  <c r="V75" i="7"/>
  <c r="X81" i="7"/>
  <c r="W125" i="7"/>
  <c r="U106" i="7"/>
  <c r="V84" i="7"/>
  <c r="X76" i="7"/>
  <c r="W161" i="7"/>
  <c r="W159" i="7"/>
  <c r="V137" i="7"/>
  <c r="X91" i="7"/>
  <c r="U87" i="7"/>
  <c r="V101" i="7"/>
  <c r="W9" i="7"/>
  <c r="U26" i="7"/>
  <c r="U157" i="7"/>
  <c r="V92" i="7"/>
  <c r="Y161" i="7"/>
  <c r="W119" i="7"/>
  <c r="Y69" i="7"/>
  <c r="Y72" i="7"/>
  <c r="V158" i="7"/>
  <c r="W4" i="7"/>
  <c r="X39" i="7"/>
  <c r="U161" i="7"/>
  <c r="U28" i="7"/>
  <c r="V139" i="7"/>
  <c r="X159" i="7"/>
  <c r="W156" i="7"/>
  <c r="X75" i="9"/>
  <c r="W158" i="7"/>
  <c r="V114" i="7"/>
  <c r="Y158" i="7"/>
  <c r="X128" i="7"/>
  <c r="W121" i="7"/>
  <c r="U4" i="7"/>
  <c r="X69" i="7"/>
  <c r="W10" i="7"/>
  <c r="U30" i="7"/>
  <c r="X16" i="7"/>
  <c r="W8" i="7"/>
  <c r="U96" i="7"/>
  <c r="V141" i="7"/>
  <c r="X129" i="7"/>
  <c r="W45" i="7"/>
  <c r="V38" i="7"/>
  <c r="X89" i="7"/>
  <c r="W139" i="7"/>
  <c r="W74" i="7"/>
  <c r="Y103" i="7"/>
  <c r="X49" i="7"/>
  <c r="W110" i="7"/>
  <c r="U127" i="7"/>
  <c r="V99" i="7"/>
  <c r="U32" i="7"/>
  <c r="V61" i="7"/>
  <c r="U85" i="7"/>
  <c r="W81" i="7"/>
  <c r="X70" i="7"/>
  <c r="V57" i="7"/>
  <c r="U39" i="7"/>
  <c r="X36" i="7"/>
  <c r="X65" i="7"/>
  <c r="W120" i="7"/>
  <c r="W142" i="7"/>
  <c r="V66" i="7"/>
  <c r="Y14" i="7"/>
  <c r="U68" i="7"/>
  <c r="U16" i="7"/>
  <c r="X154" i="7"/>
  <c r="U10" i="7"/>
  <c r="U65" i="7"/>
  <c r="U73" i="7"/>
  <c r="V8" i="7"/>
  <c r="X99" i="7"/>
  <c r="V162" i="7"/>
  <c r="W20" i="7"/>
  <c r="Y145" i="7"/>
  <c r="W23" i="7"/>
  <c r="Y62" i="7"/>
  <c r="Y105" i="7"/>
  <c r="X59" i="7"/>
  <c r="V112" i="7"/>
  <c r="U133" i="7"/>
  <c r="U59" i="7"/>
  <c r="W105" i="7"/>
  <c r="V94" i="7"/>
  <c r="X5" i="7"/>
  <c r="W150" i="7"/>
  <c r="Y5" i="7"/>
  <c r="X31" i="7"/>
  <c r="Y165" i="7"/>
  <c r="I15" i="12" l="1"/>
  <c r="I3" i="12" s="1"/>
  <c r="I30" i="12" s="1"/>
  <c r="I2" i="12" s="1"/>
  <c r="C18" i="2" s="1"/>
  <c r="F16" i="12"/>
  <c r="H15" i="12"/>
  <c r="G37" i="6"/>
  <c r="G38" i="6" s="1"/>
  <c r="C13" i="2" s="1"/>
  <c r="W6" i="7"/>
  <c r="U145" i="7"/>
  <c r="X141" i="7"/>
  <c r="G29" i="6"/>
  <c r="G31" i="6"/>
  <c r="F12" i="2" s="1"/>
  <c r="Y77" i="7"/>
  <c r="V144" i="7"/>
  <c r="U31" i="7"/>
  <c r="U150" i="7"/>
  <c r="U45" i="7"/>
  <c r="U162" i="7"/>
  <c r="V134" i="7"/>
  <c r="X58" i="7"/>
  <c r="U77" i="7"/>
  <c r="U151" i="7"/>
  <c r="U160" i="7"/>
  <c r="U107" i="7"/>
  <c r="W58" i="7"/>
  <c r="I5" i="2"/>
  <c r="V100" i="7"/>
  <c r="C12" i="2" l="1"/>
  <c r="G30" i="6"/>
  <c r="G43" i="6" s="1"/>
  <c r="I16" i="12"/>
  <c r="H16" i="12"/>
  <c r="F17" i="12"/>
  <c r="I17" i="12" l="1"/>
  <c r="H17" i="12"/>
  <c r="F18" i="12"/>
  <c r="F19" i="12" l="1"/>
  <c r="I18" i="12"/>
  <c r="H18" i="12"/>
  <c r="I19" i="12" l="1"/>
  <c r="F20" i="12"/>
  <c r="H19" i="12"/>
  <c r="I20" i="12" l="1"/>
  <c r="H20" i="12"/>
  <c r="F21" i="12"/>
  <c r="I21" i="12" l="1"/>
  <c r="H21" i="12"/>
  <c r="F22" i="12"/>
  <c r="F23" i="12" l="1"/>
  <c r="I22" i="12"/>
  <c r="H22" i="12"/>
  <c r="I23" i="12" l="1"/>
  <c r="F24" i="12"/>
  <c r="H23" i="12"/>
  <c r="I24" i="12" l="1"/>
  <c r="H24" i="12"/>
  <c r="F25" i="12"/>
  <c r="I25" i="12" l="1"/>
  <c r="H25" i="12"/>
  <c r="F26" i="12"/>
  <c r="F27" i="12" l="1"/>
  <c r="I26" i="12"/>
  <c r="H26" i="12"/>
  <c r="I27" i="12" l="1"/>
  <c r="F28" i="12"/>
  <c r="H27" i="12"/>
  <c r="I28" i="12" l="1"/>
  <c r="H28" i="12"/>
  <c r="F29" i="12"/>
  <c r="I29" i="12" l="1"/>
  <c r="H29"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L8" authorId="0" shapeId="0" xr:uid="{00000000-0006-0000-0100-000001000000}">
      <text>
        <r>
          <rPr>
            <sz val="10"/>
            <color rgb="FF000000"/>
            <rFont val="Arial"/>
          </rPr>
          <t>Currently only damage works</t>
        </r>
      </text>
    </comment>
    <comment ref="H13" authorId="0" shapeId="0" xr:uid="{00000000-0006-0000-0100-000002000000}">
      <text>
        <r>
          <rPr>
            <sz val="10"/>
            <color rgb="FF000000"/>
            <rFont val="Arial"/>
          </rPr>
          <t>Is calculated as using all abilities once and doing dps for 3 seconds</t>
        </r>
      </text>
    </comment>
    <comment ref="B17" authorId="0" shapeId="0" xr:uid="{00000000-0006-0000-0100-000003000000}">
      <text>
        <r>
          <rPr>
            <sz val="10"/>
            <color rgb="FF000000"/>
            <rFont val="Arial"/>
          </rPr>
          <t xml:space="preserve">Assuming kills always give 300 gold
</t>
        </r>
      </text>
    </comment>
    <comment ref="C18" authorId="0" shapeId="0" xr:uid="{00000000-0006-0000-0100-000004000000}">
      <text>
        <r>
          <rPr>
            <sz val="10"/>
            <color rgb="FF000000"/>
            <rFont val="Arial"/>
          </rPr>
          <t>until minute 13 it is a very close approximate and after that its always correct, keep in mind that you still get some gold that is not in this like jungle camps, dragon kills, global tower gold, tower plating, assists, shutdowns etc.</t>
        </r>
      </text>
    </comment>
    <comment ref="K28" authorId="0" shapeId="0" xr:uid="{00000000-0006-0000-0100-000005000000}">
      <text>
        <r>
          <rPr>
            <sz val="10"/>
            <color rgb="FF000000"/>
            <rFont val="Arial"/>
          </rPr>
          <t>If set active, blade of the ruined king will always assume the enemy at 50% current hp, otherwise it will take the current enemy hp into account.</t>
        </r>
      </text>
    </comment>
    <comment ref="N28" authorId="0" shapeId="0" xr:uid="{00000000-0006-0000-0100-000006000000}">
      <text>
        <r>
          <rPr>
            <sz val="10"/>
            <color rgb="FF000000"/>
            <rFont val="Arial"/>
          </rPr>
          <t>Dont edit this part</t>
        </r>
      </text>
    </comment>
    <comment ref="N33" authorId="0" shapeId="0" xr:uid="{00000000-0006-0000-0100-000007000000}">
      <text>
        <r>
          <rPr>
            <sz val="10"/>
            <color rgb="FF000000"/>
            <rFont val="Arial"/>
          </rPr>
          <t xml:space="preserve">Champion kills not included
</t>
        </r>
      </text>
    </comment>
    <comment ref="O35" authorId="0" shapeId="0" xr:uid="{00000000-0006-0000-0100-000008000000}">
      <text>
        <r>
          <rPr>
            <sz val="10"/>
            <color rgb="FF000000"/>
            <rFont val="Arial"/>
          </rPr>
          <t>This is just an approximate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G1" authorId="0" shapeId="0" xr:uid="{00000000-0006-0000-0600-000001000000}">
      <text>
        <r>
          <rPr>
            <sz val="10"/>
            <color rgb="FF000000"/>
            <rFont val="Arial"/>
          </rPr>
          <t>This means the total Damage you can deal if you throw in all skills and execute the mechanics perfectly, + Runes, Items, Summoners</t>
        </r>
      </text>
    </comment>
    <comment ref="AH1" authorId="0" shapeId="0" xr:uid="{00000000-0006-0000-0600-000002000000}">
      <text>
        <r>
          <rPr>
            <sz val="10"/>
            <color rgb="FF000000"/>
            <rFont val="Arial"/>
          </rPr>
          <t>This means the usual trade window of the champion, + Runes and Items</t>
        </r>
      </text>
    </comment>
    <comment ref="AG4" authorId="0" shapeId="0" xr:uid="{00000000-0006-0000-0600-000003000000}">
      <text>
        <r>
          <rPr>
            <sz val="10"/>
            <color rgb="FF000000"/>
            <rFont val="Arial"/>
          </rPr>
          <t>E -&gt; AA -&gt; W+Q+AA -&gt; R -&gt; AA -&gt; R -&gt; AA -&gt; R</t>
        </r>
      </text>
    </comment>
    <comment ref="AH4" authorId="0" shapeId="0" xr:uid="{00000000-0006-0000-0600-000004000000}">
      <text>
        <r>
          <rPr>
            <sz val="10"/>
            <color rgb="FF000000"/>
            <rFont val="Arial"/>
          </rPr>
          <t>E -&gt; W+Q+AA</t>
        </r>
      </text>
    </comment>
    <comment ref="AG5" authorId="0" shapeId="0" xr:uid="{00000000-0006-0000-0600-000005000000}">
      <text>
        <r>
          <rPr>
            <sz val="10"/>
            <color rgb="FF000000"/>
            <rFont val="Arial"/>
          </rPr>
          <t>going to go last on this one</t>
        </r>
      </text>
    </comment>
    <comment ref="AG6" authorId="0" shapeId="0" xr:uid="{00000000-0006-0000-0600-000006000000}">
      <text>
        <r>
          <rPr>
            <sz val="10"/>
            <color rgb="FF000000"/>
            <rFont val="Arial"/>
          </rPr>
          <t>W -&gt; E -&gt; Q -&gt; AA -&gt; AA</t>
        </r>
      </text>
    </comment>
    <comment ref="AH6" authorId="0" shapeId="0" xr:uid="{00000000-0006-0000-0600-000007000000}">
      <text>
        <r>
          <rPr>
            <sz val="10"/>
            <color rgb="FF000000"/>
            <rFont val="Arial"/>
          </rPr>
          <t>W -&gt; E -&gt; Q -&gt; AA -&gt; AA</t>
        </r>
      </text>
    </comment>
    <comment ref="AG7" authorId="0" shapeId="0" xr:uid="{00000000-0006-0000-0600-000008000000}">
      <text>
        <r>
          <rPr>
            <sz val="10"/>
            <color rgb="FF000000"/>
            <rFont val="Arial"/>
          </rPr>
          <t>W -&gt; Q -&gt; AA -&gt; E -&gt; R -&gt; AA -&gt; AA | 7 sec</t>
        </r>
      </text>
    </comment>
    <comment ref="AH7" authorId="0" shapeId="0" xr:uid="{00000000-0006-0000-0600-000009000000}">
      <text>
        <r>
          <rPr>
            <sz val="10"/>
            <color rgb="FF000000"/>
            <rFont val="Arial"/>
          </rPr>
          <t>W -&gt; Q -&gt; AA -&gt; E -&gt; AA | 3 sec</t>
        </r>
      </text>
    </comment>
    <comment ref="AG69" authorId="0" shapeId="0" xr:uid="{00000000-0006-0000-0600-00000A000000}">
      <text>
        <r>
          <rPr>
            <sz val="10"/>
            <color rgb="FF000000"/>
            <rFont val="Arial"/>
          </rPr>
          <t>E -&gt; AA -&gt; W -&gt; AA -&gt; Q -&gt; AA -&gt; R</t>
        </r>
      </text>
    </comment>
    <comment ref="AH69" authorId="0" shapeId="0" xr:uid="{00000000-0006-0000-0600-00000B000000}">
      <text>
        <r>
          <rPr>
            <sz val="10"/>
            <color rgb="FF000000"/>
            <rFont val="Arial"/>
          </rPr>
          <t>E -&gt; AA -&gt; Q -&gt; AA -&gt; W</t>
        </r>
      </text>
    </comment>
    <comment ref="AG70" authorId="0" shapeId="0" xr:uid="{00000000-0006-0000-0600-00000C000000}">
      <text>
        <r>
          <rPr>
            <sz val="10"/>
            <color rgb="FF000000"/>
            <rFont val="Arial"/>
          </rPr>
          <t>E -&gt; W -&gt; AA -&gt; Q -&gt; AA -&gt; AA</t>
        </r>
      </text>
    </comment>
    <comment ref="AH70" authorId="0" shapeId="0" xr:uid="{00000000-0006-0000-0600-00000D000000}">
      <text>
        <r>
          <rPr>
            <sz val="10"/>
            <color rgb="FF000000"/>
            <rFont val="Arial"/>
          </rPr>
          <t>E -&gt; Q -&gt; AA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800-000001000000}">
      <text>
        <r>
          <rPr>
            <sz val="10"/>
            <color rgb="FF000000"/>
            <rFont val="Arial"/>
          </rPr>
          <t>Health</t>
        </r>
      </text>
    </comment>
    <comment ref="D1" authorId="0" shapeId="0" xr:uid="{00000000-0006-0000-0800-000002000000}">
      <text>
        <r>
          <rPr>
            <sz val="10"/>
            <color rgb="FF000000"/>
            <rFont val="Arial"/>
          </rPr>
          <t xml:space="preserve">Health regeneration
</t>
        </r>
      </text>
    </comment>
    <comment ref="E1" authorId="0" shapeId="0" xr:uid="{00000000-0006-0000-0800-000003000000}">
      <text>
        <r>
          <rPr>
            <sz val="10"/>
            <color rgb="FF000000"/>
            <rFont val="Arial"/>
          </rPr>
          <t>Resource</t>
        </r>
      </text>
    </comment>
    <comment ref="F1" authorId="0" shapeId="0" xr:uid="{00000000-0006-0000-0800-000004000000}">
      <text>
        <r>
          <rPr>
            <sz val="10"/>
            <color rgb="FF000000"/>
            <rFont val="Arial"/>
          </rPr>
          <t>Resource regeneration</t>
        </r>
      </text>
    </comment>
    <comment ref="G1" authorId="0" shapeId="0" xr:uid="{00000000-0006-0000-0800-000005000000}">
      <text>
        <r>
          <rPr>
            <sz val="10"/>
            <color rgb="FF000000"/>
            <rFont val="Arial"/>
          </rPr>
          <t>Attack damage</t>
        </r>
      </text>
    </comment>
    <comment ref="H1" authorId="0" shapeId="0" xr:uid="{00000000-0006-0000-0800-000006000000}">
      <text>
        <r>
          <rPr>
            <sz val="10"/>
            <color rgb="FF000000"/>
            <rFont val="Arial"/>
          </rPr>
          <t>Ability power</t>
        </r>
      </text>
    </comment>
    <comment ref="I1" authorId="0" shapeId="0" xr:uid="{00000000-0006-0000-0800-000007000000}">
      <text>
        <r>
          <rPr>
            <sz val="10"/>
            <color rgb="FF000000"/>
            <rFont val="Arial"/>
          </rPr>
          <t>Armor</t>
        </r>
      </text>
    </comment>
    <comment ref="J1" authorId="0" shapeId="0" xr:uid="{00000000-0006-0000-0800-000008000000}">
      <text>
        <r>
          <rPr>
            <sz val="10"/>
            <color rgb="FF000000"/>
            <rFont val="Arial"/>
          </rPr>
          <t>Resistance</t>
        </r>
      </text>
    </comment>
    <comment ref="K1" authorId="0" shapeId="0" xr:uid="{00000000-0006-0000-0800-000009000000}">
      <text>
        <r>
          <rPr>
            <sz val="10"/>
            <color rgb="FF000000"/>
            <rFont val="Arial"/>
          </rPr>
          <t>Attack speed</t>
        </r>
      </text>
    </comment>
    <comment ref="L1" authorId="0" shapeId="0" xr:uid="{00000000-0006-0000-0800-00000A000000}">
      <text>
        <r>
          <rPr>
            <sz val="10"/>
            <color rgb="FF000000"/>
            <rFont val="Arial"/>
          </rPr>
          <t>Critical strike chance</t>
        </r>
      </text>
    </comment>
    <comment ref="M1" authorId="0" shapeId="0" xr:uid="{00000000-0006-0000-0800-00000B000000}">
      <text>
        <r>
          <rPr>
            <sz val="10"/>
            <color rgb="FF000000"/>
            <rFont val="Arial"/>
          </rPr>
          <t xml:space="preserve">Ability haste
</t>
        </r>
      </text>
    </comment>
    <comment ref="N1" authorId="0" shapeId="0" xr:uid="{00000000-0006-0000-0800-00000C000000}">
      <text>
        <r>
          <rPr>
            <sz val="10"/>
            <color rgb="FF000000"/>
            <rFont val="Arial"/>
          </rPr>
          <t>Lifesteal</t>
        </r>
      </text>
    </comment>
    <comment ref="O1" authorId="0" shapeId="0" xr:uid="{00000000-0006-0000-0800-00000D000000}">
      <text>
        <r>
          <rPr>
            <sz val="10"/>
            <color rgb="FF000000"/>
            <rFont val="Arial"/>
          </rPr>
          <t>Lethality</t>
        </r>
      </text>
    </comment>
    <comment ref="P1" authorId="0" shapeId="0" xr:uid="{00000000-0006-0000-0800-00000E000000}">
      <text>
        <r>
          <rPr>
            <sz val="10"/>
            <color rgb="FF000000"/>
            <rFont val="Arial"/>
          </rPr>
          <t>Magic penetration</t>
        </r>
      </text>
    </comment>
    <comment ref="Q1" authorId="0" shapeId="0" xr:uid="{00000000-0006-0000-0800-00000F000000}">
      <text>
        <r>
          <rPr>
            <sz val="10"/>
            <color rgb="FF000000"/>
            <rFont val="Arial"/>
          </rPr>
          <t>Movement speed from shoes</t>
        </r>
      </text>
    </comment>
    <comment ref="R1" authorId="0" shapeId="0" xr:uid="{00000000-0006-0000-0800-000010000000}">
      <text>
        <r>
          <rPr>
            <sz val="10"/>
            <color rgb="FF000000"/>
            <rFont val="Arial"/>
          </rPr>
          <t>Percentage movement speed bonus</t>
        </r>
      </text>
    </comment>
    <comment ref="S1" authorId="0" shapeId="0" xr:uid="{00000000-0006-0000-0800-000011000000}">
      <text>
        <r>
          <rPr>
            <sz val="10"/>
            <color rgb="FF000000"/>
            <rFont val="Arial"/>
          </rPr>
          <t>Heal power</t>
        </r>
      </text>
    </comment>
    <comment ref="T1" authorId="0" shapeId="0" xr:uid="{00000000-0006-0000-0800-000012000000}">
      <text>
        <r>
          <rPr>
            <sz val="10"/>
            <color rgb="FF000000"/>
            <rFont val="Arial"/>
          </rPr>
          <t>Physical on hit</t>
        </r>
      </text>
    </comment>
    <comment ref="U1" authorId="0" shapeId="0" xr:uid="{00000000-0006-0000-0800-000013000000}">
      <text>
        <r>
          <rPr>
            <sz val="10"/>
            <color rgb="FF000000"/>
            <rFont val="Arial"/>
          </rPr>
          <t>Magical on hit</t>
        </r>
      </text>
    </comment>
    <comment ref="V1" authorId="0" shapeId="0" xr:uid="{00000000-0006-0000-0800-000014000000}">
      <text>
        <r>
          <rPr>
            <sz val="10"/>
            <color rgb="FF000000"/>
            <rFont val="Arial"/>
          </rPr>
          <t>Energized proc damage</t>
        </r>
      </text>
    </comment>
    <comment ref="W1" authorId="0" shapeId="0" xr:uid="{00000000-0006-0000-0800-000015000000}">
      <text>
        <r>
          <rPr>
            <sz val="10"/>
            <color rgb="FF000000"/>
            <rFont val="Arial"/>
          </rPr>
          <t>Magical proc damage</t>
        </r>
      </text>
    </comment>
    <comment ref="X1" authorId="0" shapeId="0" xr:uid="{00000000-0006-0000-0800-000016000000}">
      <text>
        <r>
          <rPr>
            <sz val="10"/>
            <color rgb="FF000000"/>
            <rFont val="Arial"/>
          </rPr>
          <t>Physical proc damage</t>
        </r>
      </text>
    </comment>
    <comment ref="Y1" authorId="0" shapeId="0" xr:uid="{00000000-0006-0000-0800-000017000000}">
      <text>
        <r>
          <rPr>
            <sz val="10"/>
            <color rgb="FF000000"/>
            <rFont val="Arial"/>
          </rPr>
          <t>Percentage armor penetration</t>
        </r>
      </text>
    </comment>
    <comment ref="Z1" authorId="0" shapeId="0" xr:uid="{00000000-0006-0000-0800-000018000000}">
      <text>
        <r>
          <rPr>
            <sz val="10"/>
            <color rgb="FF000000"/>
            <rFont val="Arial"/>
          </rPr>
          <t>Percentage resistance penetraton</t>
        </r>
      </text>
    </comment>
    <comment ref="AA1" authorId="0" shapeId="0" xr:uid="{00000000-0006-0000-0800-000019000000}">
      <text>
        <r>
          <rPr>
            <sz val="10"/>
            <color rgb="FF000000"/>
            <rFont val="Arial"/>
          </rPr>
          <t>Critical strike damage</t>
        </r>
      </text>
    </comment>
    <comment ref="AB1" authorId="0" shapeId="0" xr:uid="{00000000-0006-0000-0800-00001A000000}">
      <text>
        <r>
          <rPr>
            <sz val="10"/>
            <color rgb="FF000000"/>
            <rFont val="Arial"/>
          </rPr>
          <t>Spell vamp</t>
        </r>
      </text>
    </comment>
    <comment ref="AC1" authorId="0" shapeId="0" xr:uid="{00000000-0006-0000-0800-00001B000000}">
      <text>
        <r>
          <rPr>
            <sz val="10"/>
            <color rgb="FF000000"/>
            <rFont val="Arial"/>
          </rPr>
          <t>Ability power multiplier</t>
        </r>
      </text>
    </comment>
    <comment ref="AD1" authorId="0" shapeId="0" xr:uid="{00000000-0006-0000-0800-00001C000000}">
      <text>
        <r>
          <rPr>
            <sz val="10"/>
            <color rgb="FF000000"/>
            <rFont val="Arial"/>
          </rPr>
          <t>Attack damage multiplier</t>
        </r>
      </text>
    </comment>
    <comment ref="AF1" authorId="0" shapeId="0" xr:uid="{00000000-0006-0000-0800-00001D000000}">
      <text>
        <r>
          <rPr>
            <sz val="10"/>
            <color rgb="FF000000"/>
            <rFont val="Arial"/>
          </rPr>
          <t>Tenacity</t>
        </r>
      </text>
    </comment>
    <comment ref="AG1" authorId="0" shapeId="0" xr:uid="{00000000-0006-0000-0800-00001E000000}">
      <text>
        <r>
          <rPr>
            <sz val="10"/>
            <color rgb="FF000000"/>
            <rFont val="Arial"/>
          </rPr>
          <t>Flat movement speed bonus</t>
        </r>
      </text>
    </comment>
    <comment ref="AH1" authorId="0" shapeId="0" xr:uid="{00000000-0006-0000-0800-00001F000000}">
      <text>
        <r>
          <rPr>
            <sz val="10"/>
            <color rgb="FF000000"/>
            <rFont val="Arial"/>
          </rPr>
          <t>Shield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G1" authorId="0" shapeId="0" xr:uid="{00000000-0006-0000-0D00-000001000000}">
      <text>
        <r>
          <rPr>
            <sz val="10"/>
            <color rgb="FF000000"/>
            <rFont val="Arial"/>
          </rPr>
          <t>This means the total Damage you can deal if you throw in all skills and execute the mechanics perfectly, + Runes, Items, Summoners</t>
        </r>
      </text>
    </comment>
    <comment ref="AH1" authorId="0" shapeId="0" xr:uid="{00000000-0006-0000-0D00-000002000000}">
      <text>
        <r>
          <rPr>
            <sz val="10"/>
            <color rgb="FF000000"/>
            <rFont val="Arial"/>
          </rPr>
          <t>This means the usual trade window of the champion, + Runes and Items</t>
        </r>
      </text>
    </comment>
  </commentList>
</comments>
</file>

<file path=xl/sharedStrings.xml><?xml version="1.0" encoding="utf-8"?>
<sst xmlns="http://schemas.openxmlformats.org/spreadsheetml/2006/main" count="1232" uniqueCount="845">
  <si>
    <t>HOW CAN I EDIT THIS SHEET?</t>
  </si>
  <si>
    <t>Video example</t>
  </si>
  <si>
    <t>Copy it by clicking "File" -&gt; "Make a copy".</t>
  </si>
  <si>
    <t>!!! Instructions !!!</t>
  </si>
  <si>
    <t xml:space="preserve">The Youtuber xPetu made a video containing this sheet. In this video he explaines how to use it in the first 4 minutes and then presents you with an algorithm he used to find the best 2 item combination for Shen. I recommend watching this video as it explains how to use this sheet and it might give inspiration on what is possible with it, also give this man a follow! </t>
  </si>
  <si>
    <r>
      <rPr>
        <sz val="24"/>
        <color rgb="FF000000"/>
        <rFont val="Comfortaa"/>
      </rPr>
      <t xml:space="preserve">1. Go to the Interface at the bottom of this page.
2. Select your </t>
    </r>
    <r>
      <rPr>
        <sz val="24"/>
        <color rgb="FFF1C232"/>
        <rFont val="Comfortaa"/>
      </rPr>
      <t>champion</t>
    </r>
    <r>
      <rPr>
        <sz val="24"/>
        <color rgb="FF000000"/>
        <rFont val="Comfortaa"/>
      </rPr>
      <t xml:space="preserve"> at the top of the interface. 
3. Adjust your </t>
    </r>
    <r>
      <rPr>
        <sz val="24"/>
        <color rgb="FFFF9900"/>
        <rFont val="Comfortaa"/>
      </rPr>
      <t>skills</t>
    </r>
    <r>
      <rPr>
        <sz val="24"/>
        <color rgb="FF000000"/>
        <rFont val="Comfortaa"/>
      </rPr>
      <t xml:space="preserve"> right next to the champion. 
4. Adjust your </t>
    </r>
    <r>
      <rPr>
        <sz val="24"/>
        <color rgb="FF6D9EEB"/>
        <rFont val="Comfortaa"/>
      </rPr>
      <t>items</t>
    </r>
    <r>
      <rPr>
        <sz val="24"/>
        <color rgb="FF000000"/>
        <rFont val="Comfortaa"/>
      </rPr>
      <t xml:space="preserve"> on the left below the champion. 
5. Adjust your </t>
    </r>
    <r>
      <rPr>
        <sz val="24"/>
        <color rgb="FFB4A7D6"/>
        <rFont val="Comfortaa"/>
      </rPr>
      <t>runes</t>
    </r>
    <r>
      <rPr>
        <sz val="24"/>
        <color rgb="FF674EA7"/>
        <rFont val="Comfortaa"/>
      </rPr>
      <t xml:space="preserve"> </t>
    </r>
    <r>
      <rPr>
        <sz val="24"/>
        <color rgb="FF000000"/>
        <rFont val="Comfortaa"/>
      </rPr>
      <t xml:space="preserve">right next to the items. 
6. Adjust the </t>
    </r>
    <r>
      <rPr>
        <sz val="24"/>
        <color rgb="FFFF0000"/>
        <rFont val="Comfortaa"/>
      </rPr>
      <t xml:space="preserve">enemies </t>
    </r>
    <r>
      <rPr>
        <sz val="24"/>
        <color rgb="FF000000"/>
        <rFont val="Comfortaa"/>
      </rPr>
      <t xml:space="preserve">stats below your skills. 
7. Adjust your </t>
    </r>
    <r>
      <rPr>
        <sz val="24"/>
        <color rgb="FF6AA84F"/>
        <rFont val="Comfortaa"/>
      </rPr>
      <t xml:space="preserve">misc stats </t>
    </r>
    <r>
      <rPr>
        <sz val="24"/>
        <color rgb="FF000000"/>
        <rFont val="Comfortaa"/>
      </rPr>
      <t xml:space="preserve">and </t>
    </r>
    <r>
      <rPr>
        <sz val="24"/>
        <color rgb="FFA2C4C9"/>
        <rFont val="Comfortaa"/>
      </rPr>
      <t>Steroids</t>
    </r>
    <r>
      <rPr>
        <sz val="24"/>
        <color rgb="FF000000"/>
        <rFont val="Comfortaa"/>
      </rPr>
      <t xml:space="preserve"> if needed.
The results will be displayed below the champion you chose.
</t>
    </r>
    <r>
      <rPr>
        <i/>
        <sz val="24"/>
        <color rgb="FF990000"/>
        <rFont val="Comfortaa"/>
      </rPr>
      <t>You can edit everything that is marked</t>
    </r>
    <r>
      <rPr>
        <sz val="24"/>
        <color rgb="FF990000"/>
        <rFont val="Comfortaa"/>
      </rPr>
      <t xml:space="preserve"> </t>
    </r>
    <r>
      <rPr>
        <i/>
        <sz val="24"/>
        <color rgb="FF990000"/>
        <rFont val="Comfortaa"/>
      </rPr>
      <t>Itallic</t>
    </r>
  </si>
  <si>
    <t>\/ Champion \/</t>
  </si>
  <si>
    <t>Level</t>
  </si>
  <si>
    <t>\/ Skills \/</t>
  </si>
  <si>
    <t>Found errors or got suggestions? 
Write me on:
Reddit: u/Crixaliz, 
Discord: Crixaliz#1335 
Twitter: Cr1xaliz1</t>
  </si>
  <si>
    <t>Patch 13.12</t>
  </si>
  <si>
    <t>-</t>
  </si>
  <si>
    <t>Skillpoints</t>
  </si>
  <si>
    <t>Summoner</t>
  </si>
  <si>
    <t>Version 13.12</t>
  </si>
  <si>
    <t>Total AD</t>
  </si>
  <si>
    <t>Ability Power</t>
  </si>
  <si>
    <t>Critchance</t>
  </si>
  <si>
    <t>Q</t>
  </si>
  <si>
    <t>Last Change:</t>
  </si>
  <si>
    <t>Attack speed</t>
  </si>
  <si>
    <t>Ability Haste</t>
  </si>
  <si>
    <t>Total Onhit</t>
  </si>
  <si>
    <t>W</t>
  </si>
  <si>
    <t>Ignored Armor</t>
  </si>
  <si>
    <t>Ignored Resist</t>
  </si>
  <si>
    <t>Heal strength</t>
  </si>
  <si>
    <t>E</t>
  </si>
  <si>
    <t>Sylas Ult</t>
  </si>
  <si>
    <t>Lifesteal/sec</t>
  </si>
  <si>
    <t>Spellvamp</t>
  </si>
  <si>
    <t>Shield Health</t>
  </si>
  <si>
    <t>R</t>
  </si>
  <si>
    <t>Health</t>
  </si>
  <si>
    <t>Tenacity</t>
  </si>
  <si>
    <t>Skill</t>
  </si>
  <si>
    <t>Damage</t>
  </si>
  <si>
    <t>Cooldown</t>
  </si>
  <si>
    <t>DMG/CD</t>
  </si>
  <si>
    <t>HP/5</t>
  </si>
  <si>
    <t>MP/5</t>
  </si>
  <si>
    <t>Movespeed</t>
  </si>
  <si>
    <t>Armor</t>
  </si>
  <si>
    <t>Magic resist</t>
  </si>
  <si>
    <t>Range</t>
  </si>
  <si>
    <t>Changelog, choose version:</t>
  </si>
  <si>
    <t>\/ Damage Related Stats \/</t>
  </si>
  <si>
    <t>v. 13.12</t>
  </si>
  <si>
    <t>Season 13</t>
  </si>
  <si>
    <t>Attack hit</t>
  </si>
  <si>
    <t>Sheen Items</t>
  </si>
  <si>
    <t>Attack DPS</t>
  </si>
  <si>
    <t>Time it takes to kill the enemy with basic attacks in seconds</t>
  </si>
  <si>
    <t>All in</t>
  </si>
  <si>
    <t>Passive</t>
  </si>
  <si>
    <t>\/ Items \/</t>
  </si>
  <si>
    <t>\/ Runes \/</t>
  </si>
  <si>
    <t>\/ Misc Settings \/</t>
  </si>
  <si>
    <t>Steroids, Buffs, AVG</t>
  </si>
  <si>
    <t>\/ Select Enemy \/</t>
  </si>
  <si>
    <t>Perfect CS at time</t>
  </si>
  <si>
    <t>-Select Primary Tree-</t>
  </si>
  <si>
    <t>Time</t>
  </si>
  <si>
    <t>Health in %</t>
  </si>
  <si>
    <t>Perfect Gold at time</t>
  </si>
  <si>
    <t>Keystone</t>
  </si>
  <si>
    <t>Minions</t>
  </si>
  <si>
    <t>Everything</t>
  </si>
  <si>
    <t>Current gold</t>
  </si>
  <si>
    <t>Kills</t>
  </si>
  <si>
    <t>-Mythic-</t>
  </si>
  <si>
    <t>Selected Build Cost</t>
  </si>
  <si>
    <t>First Rune</t>
  </si>
  <si>
    <t>Neutrals</t>
  </si>
  <si>
    <t>Use Itemset 2?</t>
  </si>
  <si>
    <t>Infernal</t>
  </si>
  <si>
    <t>Itemset 1</t>
  </si>
  <si>
    <t>Second Rune</t>
  </si>
  <si>
    <t>Mountain</t>
  </si>
  <si>
    <t>Ocean</t>
  </si>
  <si>
    <t>Third Rune</t>
  </si>
  <si>
    <t>Cloud</t>
  </si>
  <si>
    <t>Items</t>
  </si>
  <si>
    <t>Chemtech</t>
  </si>
  <si>
    <t>Runes</t>
  </si>
  <si>
    <t>Extra info for the champion</t>
  </si>
  <si>
    <t>-Select Secondary Tree-</t>
  </si>
  <si>
    <t>Hextech</t>
  </si>
  <si>
    <t>Form</t>
  </si>
  <si>
    <t>Extra health</t>
  </si>
  <si>
    <t>Elder</t>
  </si>
  <si>
    <t>Ardent</t>
  </si>
  <si>
    <t>Extra armor</t>
  </si>
  <si>
    <t>Baron</t>
  </si>
  <si>
    <t>Recently hit</t>
  </si>
  <si>
    <t>Extra resist</t>
  </si>
  <si>
    <t>-Elixir-</t>
  </si>
  <si>
    <t>Infernal Soul</t>
  </si>
  <si>
    <t>Blade AVG</t>
  </si>
  <si>
    <t>Final Enemy Stats</t>
  </si>
  <si>
    <t>Itemset 2</t>
  </si>
  <si>
    <t>Mountain Soul</t>
  </si>
  <si>
    <t>Flowing Water</t>
  </si>
  <si>
    <t>Ocean Soul</t>
  </si>
  <si>
    <t>Cloud Soul</t>
  </si>
  <si>
    <t>Resistance</t>
  </si>
  <si>
    <t>Shards</t>
  </si>
  <si>
    <t>Chemtech Soul</t>
  </si>
  <si>
    <t xml:space="preserve">If you want to support this project financially you can do so by </t>
  </si>
  <si>
    <t>Offensive Shard</t>
  </si>
  <si>
    <t>Hextech Soul</t>
  </si>
  <si>
    <t>Expierience</t>
  </si>
  <si>
    <t>Yuumi section</t>
  </si>
  <si>
    <t>EXP needed</t>
  </si>
  <si>
    <t>Mixed Shard</t>
  </si>
  <si>
    <t>Attached</t>
  </si>
  <si>
    <t>EXP gained</t>
  </si>
  <si>
    <t>Rank in W</t>
  </si>
  <si>
    <t>Botlaner?</t>
  </si>
  <si>
    <t>I am grateful for any donation, thank you for using this sheet!</t>
  </si>
  <si>
    <t>Item Stacks</t>
  </si>
  <si>
    <t>Defensive Shard</t>
  </si>
  <si>
    <t>AnchorBonusAD</t>
  </si>
  <si>
    <t>Black Cleaver</t>
  </si>
  <si>
    <t>Anchor AP</t>
  </si>
  <si>
    <t>Mejais</t>
  </si>
  <si>
    <t>Rune Stacks</t>
  </si>
  <si>
    <t>Aphelios Section</t>
  </si>
  <si>
    <t>Legend/Collector</t>
  </si>
  <si>
    <t>Main Weapon</t>
  </si>
  <si>
    <t>Bounty</t>
  </si>
  <si>
    <t>Sub Weapon</t>
  </si>
  <si>
    <t>Dark Harvest/Grasp</t>
  </si>
  <si>
    <t>Crescend Stacks</t>
  </si>
  <si>
    <t>Conqueror</t>
  </si>
  <si>
    <t>Own Champ</t>
  </si>
  <si>
    <t>Fight Simulator</t>
  </si>
  <si>
    <t>Target</t>
  </si>
  <si>
    <t>Average auto attack crit</t>
  </si>
  <si>
    <t>Actions</t>
  </si>
  <si>
    <t>Use Itemset 2</t>
  </si>
  <si>
    <t>Enemy</t>
  </si>
  <si>
    <t>#</t>
  </si>
  <si>
    <t>Type</t>
  </si>
  <si>
    <t>Dealt</t>
  </si>
  <si>
    <t>Cumulative</t>
  </si>
  <si>
    <t>Current Hp in %</t>
  </si>
  <si>
    <t>If you want to update your sheet you can do so by pressing the update button below!</t>
  </si>
  <si>
    <t>Your version of the sheet</t>
  </si>
  <si>
    <t>The newest version of the sheet</t>
  </si>
  <si>
    <r>
      <rPr>
        <b/>
        <u/>
        <sz val="22"/>
        <color rgb="FFCC0000"/>
        <rFont val="Comfortaa"/>
      </rPr>
      <t>! IMPORTANT !</t>
    </r>
    <r>
      <rPr>
        <sz val="18"/>
        <rFont val="Comfortaa"/>
      </rPr>
      <t xml:space="preserve">
If you are seeing a #REF error, it means you first have to give permissions to this sheet so it can connect to the master sheet. </t>
    </r>
    <r>
      <rPr>
        <sz val="18"/>
        <color rgb="FF9900FF"/>
        <rFont val="Comfortaa"/>
      </rPr>
      <t>YOU CAN NOT UPDATE WITHOUT GIVING PERMISSION FIRST!</t>
    </r>
  </si>
  <si>
    <t>Add up to 5 Combos here</t>
  </si>
  <si>
    <t>P</t>
  </si>
  <si>
    <t>Champions</t>
  </si>
  <si>
    <t>HP</t>
  </si>
  <si>
    <t>HP+</t>
  </si>
  <si>
    <t>HP5</t>
  </si>
  <si>
    <t>HP5+</t>
  </si>
  <si>
    <t>MP</t>
  </si>
  <si>
    <t>MP+</t>
  </si>
  <si>
    <t>MP5</t>
  </si>
  <si>
    <t>MP5+</t>
  </si>
  <si>
    <t>AD</t>
  </si>
  <si>
    <t>AD+</t>
  </si>
  <si>
    <t>AS</t>
  </si>
  <si>
    <t>Ratio</t>
  </si>
  <si>
    <t>AS+</t>
  </si>
  <si>
    <t>AR</t>
  </si>
  <si>
    <t>AR+</t>
  </si>
  <si>
    <t>MR</t>
  </si>
  <si>
    <t>MR+</t>
  </si>
  <si>
    <t>MS</t>
  </si>
  <si>
    <t>Q-DMG</t>
  </si>
  <si>
    <t>W-DMG</t>
  </si>
  <si>
    <t>E-DMG</t>
  </si>
  <si>
    <t>R-DMG</t>
  </si>
  <si>
    <t>P-DMG</t>
  </si>
  <si>
    <t>Q-CD</t>
  </si>
  <si>
    <t>W-CD</t>
  </si>
  <si>
    <t>E-CD</t>
  </si>
  <si>
    <t>R-CD</t>
  </si>
  <si>
    <t>P-CD</t>
  </si>
  <si>
    <t>Melee?</t>
  </si>
  <si>
    <t>Icon</t>
  </si>
  <si>
    <t>Burst Calc</t>
  </si>
  <si>
    <t>Trade Calc</t>
  </si>
  <si>
    <t>Energy</t>
  </si>
  <si>
    <t>No Mana</t>
  </si>
  <si>
    <t>Aatrox</t>
  </si>
  <si>
    <t>Ahri</t>
  </si>
  <si>
    <t>Akali</t>
  </si>
  <si>
    <t>Akshan</t>
  </si>
  <si>
    <t>Alistar</t>
  </si>
  <si>
    <t>Amumu</t>
  </si>
  <si>
    <t>Anivia</t>
  </si>
  <si>
    <t>Annie</t>
  </si>
  <si>
    <t>Aphelios</t>
  </si>
  <si>
    <t>Ashe</t>
  </si>
  <si>
    <t>Aurelion Sol</t>
  </si>
  <si>
    <t>Azir</t>
  </si>
  <si>
    <t>Bard</t>
  </si>
  <si>
    <t>Blitzcrank</t>
  </si>
  <si>
    <t>Brand</t>
  </si>
  <si>
    <t>Braum</t>
  </si>
  <si>
    <t>Caitlyn</t>
  </si>
  <si>
    <t>Camille</t>
  </si>
  <si>
    <t>Cassiopeia</t>
  </si>
  <si>
    <t>Cho'Gath</t>
  </si>
  <si>
    <t>Corki</t>
  </si>
  <si>
    <t>Darius</t>
  </si>
  <si>
    <t>Diana</t>
  </si>
  <si>
    <t>Dr, Mundo</t>
  </si>
  <si>
    <t>Draven</t>
  </si>
  <si>
    <t>Ekko</t>
  </si>
  <si>
    <t>Elise</t>
  </si>
  <si>
    <t>Evelynn</t>
  </si>
  <si>
    <t>Ezreal</t>
  </si>
  <si>
    <t>Fiddlesticks</t>
  </si>
  <si>
    <t>Fiora</t>
  </si>
  <si>
    <t>Fizz</t>
  </si>
  <si>
    <t>Galio</t>
  </si>
  <si>
    <t>Gangplank</t>
  </si>
  <si>
    <t>Garen</t>
  </si>
  <si>
    <t>Gnar</t>
  </si>
  <si>
    <t>Gragas</t>
  </si>
  <si>
    <t>Graves</t>
  </si>
  <si>
    <t>Gwen</t>
  </si>
  <si>
    <t>Hecarim</t>
  </si>
  <si>
    <t>Heimerdinger</t>
  </si>
  <si>
    <t>Illaoi</t>
  </si>
  <si>
    <t>Irelia</t>
  </si>
  <si>
    <t>Ivern</t>
  </si>
  <si>
    <t>Janna</t>
  </si>
  <si>
    <t>Jarvan IV</t>
  </si>
  <si>
    <t>Jax</t>
  </si>
  <si>
    <t>Jayce</t>
  </si>
  <si>
    <t>Jhin</t>
  </si>
  <si>
    <t>Jinx</t>
  </si>
  <si>
    <t>Kai'Sa</t>
  </si>
  <si>
    <t>Kalista</t>
  </si>
  <si>
    <t>Karma</t>
  </si>
  <si>
    <t>Karthus</t>
  </si>
  <si>
    <t>Kassadin</t>
  </si>
  <si>
    <t>Katarina</t>
  </si>
  <si>
    <t>Kayle</t>
  </si>
  <si>
    <t>Kayn</t>
  </si>
  <si>
    <t>Kennen</t>
  </si>
  <si>
    <t>Kha'Zix</t>
  </si>
  <si>
    <t>Kindred</t>
  </si>
  <si>
    <t>Kled</t>
  </si>
  <si>
    <t>Kog'Maw</t>
  </si>
  <si>
    <t>LeBlanc</t>
  </si>
  <si>
    <t>Lee Sin</t>
  </si>
  <si>
    <t>Leona</t>
  </si>
  <si>
    <t>Lillia</t>
  </si>
  <si>
    <t>Lissandra</t>
  </si>
  <si>
    <t>Lucian</t>
  </si>
  <si>
    <t>Lulu</t>
  </si>
  <si>
    <t>Lux</t>
  </si>
  <si>
    <t>Malphite</t>
  </si>
  <si>
    <t>Malzahar</t>
  </si>
  <si>
    <t>Maokai</t>
  </si>
  <si>
    <t>Master Yi</t>
  </si>
  <si>
    <t>Miss Fortune</t>
  </si>
  <si>
    <t>Mordekaiser</t>
  </si>
  <si>
    <t>Morgana</t>
  </si>
  <si>
    <t>Nami</t>
  </si>
  <si>
    <t>Nasus</t>
  </si>
  <si>
    <t>Nautilus</t>
  </si>
  <si>
    <t>Neeko</t>
  </si>
  <si>
    <t>Nidalee</t>
  </si>
  <si>
    <t>Nocturne</t>
  </si>
  <si>
    <t>Nunu</t>
  </si>
  <si>
    <t>Olaf</t>
  </si>
  <si>
    <t>Orianna</t>
  </si>
  <si>
    <t>Ornn</t>
  </si>
  <si>
    <t>Pantheon</t>
  </si>
  <si>
    <t>Poppy</t>
  </si>
  <si>
    <t>Pyke</t>
  </si>
  <si>
    <t>Qiyana</t>
  </si>
  <si>
    <t>Quinn</t>
  </si>
  <si>
    <t>Rakan</t>
  </si>
  <si>
    <t>Rammus</t>
  </si>
  <si>
    <t>Rek'Sai</t>
  </si>
  <si>
    <t>Rell</t>
  </si>
  <si>
    <t>Renekton</t>
  </si>
  <si>
    <t>Rengar</t>
  </si>
  <si>
    <t>Riven</t>
  </si>
  <si>
    <t>Rumble</t>
  </si>
  <si>
    <t>Ryze</t>
  </si>
  <si>
    <t>Samira</t>
  </si>
  <si>
    <t>Sejuani</t>
  </si>
  <si>
    <t>Senna</t>
  </si>
  <si>
    <t>Seraphine</t>
  </si>
  <si>
    <t>Sett</t>
  </si>
  <si>
    <t>Shaco</t>
  </si>
  <si>
    <t>Shen</t>
  </si>
  <si>
    <t>Shyvana</t>
  </si>
  <si>
    <t>Singed</t>
  </si>
  <si>
    <t>Sion</t>
  </si>
  <si>
    <t>Sivir</t>
  </si>
  <si>
    <t>Skarner</t>
  </si>
  <si>
    <t>Sona</t>
  </si>
  <si>
    <t>Soraka</t>
  </si>
  <si>
    <t>Swain</t>
  </si>
  <si>
    <t>Sylas</t>
  </si>
  <si>
    <t>Syndra</t>
  </si>
  <si>
    <t>Tahm Kench</t>
  </si>
  <si>
    <t>Taliyah</t>
  </si>
  <si>
    <t>Talon</t>
  </si>
  <si>
    <t>Taric</t>
  </si>
  <si>
    <t>Teemo</t>
  </si>
  <si>
    <t>Thresh</t>
  </si>
  <si>
    <t>Tristana</t>
  </si>
  <si>
    <t>Trundle</t>
  </si>
  <si>
    <t>Tryndamere</t>
  </si>
  <si>
    <t>Twisted Fate</t>
  </si>
  <si>
    <t>Twitch</t>
  </si>
  <si>
    <t>Udyr</t>
  </si>
  <si>
    <t>Urgot</t>
  </si>
  <si>
    <t>Varus</t>
  </si>
  <si>
    <t>Vayne</t>
  </si>
  <si>
    <t>Veigar</t>
  </si>
  <si>
    <t>Vel'Koz</t>
  </si>
  <si>
    <t>Vex</t>
  </si>
  <si>
    <t>Vi</t>
  </si>
  <si>
    <t>Viego</t>
  </si>
  <si>
    <t>Viktor</t>
  </si>
  <si>
    <t>Vladimir</t>
  </si>
  <si>
    <t>Volibear</t>
  </si>
  <si>
    <t>Warwick</t>
  </si>
  <si>
    <t>Wukong</t>
  </si>
  <si>
    <t>Xayah</t>
  </si>
  <si>
    <t>Xerath</t>
  </si>
  <si>
    <t>Xin Zhao</t>
  </si>
  <si>
    <t>Yasuo</t>
  </si>
  <si>
    <t>Yone</t>
  </si>
  <si>
    <t>Yorick</t>
  </si>
  <si>
    <t>Yuumi</t>
  </si>
  <si>
    <t>Zac</t>
  </si>
  <si>
    <t>Zed</t>
  </si>
  <si>
    <t>Ziggs</t>
  </si>
  <si>
    <t>Zilean</t>
  </si>
  <si>
    <t>Zoe</t>
  </si>
  <si>
    <t>Zyra</t>
  </si>
  <si>
    <t>Zeri</t>
  </si>
  <si>
    <t>Renata</t>
  </si>
  <si>
    <t>Bel'Veth</t>
  </si>
  <si>
    <t>Nilah</t>
  </si>
  <si>
    <t>K'Sante</t>
  </si>
  <si>
    <t>Milio</t>
  </si>
  <si>
    <t>Melee Minion</t>
  </si>
  <si>
    <t>Caster Minion</t>
  </si>
  <si>
    <t>Siege Minion</t>
  </si>
  <si>
    <t>Super Minion</t>
  </si>
  <si>
    <t>TARGETDUMMY</t>
  </si>
  <si>
    <t>Information about your specific champion will be shown here!</t>
  </si>
  <si>
    <t>- Steroid: Q (Sweet spot damage)
- Steroid: R (Activates ultimate)
- Q is total damage</t>
  </si>
  <si>
    <t>- Steroid: W (Hitting all 3 fires)
- Steroid: E (Hit charm damage for other skills)
- Steroid: R (Hitting all 3 jumps)
- Q is total damage</t>
  </si>
  <si>
    <t>- W is energy restoration
- E is total damage
- R is total damage</t>
  </si>
  <si>
    <t>- Steroid: R (Damage reduction [See physical/magic health])
- E is total damage</t>
  </si>
  <si>
    <t>- Steroid: P (Applies passive)
- W is damage per second</t>
  </si>
  <si>
    <t>- Steroid: Q (Double hit)
- Steroid: E (Empowered E)
- Steroid: R (Fully channeled ultimate)</t>
  </si>
  <si>
    <t>- Steroid: E (Movementspeed)</t>
  </si>
  <si>
    <t>- Skill points act as upgrade points
- Ult is single target only
- Crescendum DPS assumes a position where you have regular attack speed</t>
  </si>
  <si>
    <t>- Steroid: Q (Activates Q)
- Hit damage is with passive</t>
  </si>
  <si>
    <t>- Minions act as Stardust stacks
- Q without steroid is damage per second channeling
- Steroid: Q (Show damage for the 3.25 sec duration)
- Steroid: W (Q damage in flight)</t>
  </si>
  <si>
    <t>- Steroid: W (3 Soldier buff)</t>
  </si>
  <si>
    <t>- Gametime increases P damage</t>
  </si>
  <si>
    <t>- Steroid: W (Attackspeed and dmg)
- Ultimate passive damage is in DPS</t>
  </si>
  <si>
    <t>- Steroid: W (Hit on blazed target)
- R damage is per jump
- P damage is the explosion</t>
  </si>
  <si>
    <t>- Steroid: W (Armor and magic resist)
- Steroid: E (Damage reduction [See physical/magic health])</t>
  </si>
  <si>
    <t>- Headshot is bonus damage
- Headshot is in DPS</t>
  </si>
  <si>
    <t>- Steroid: Q (Empowered Q)
- Steroid: E (Attack speed)</t>
  </si>
  <si>
    <t>- Steroid: E (Empowered E)
- Q and W are total damage</t>
  </si>
  <si>
    <t>- E is total damage (All hits)
- Enemies killed act as R stacks</t>
  </si>
  <si>
    <t>- Steroid: R (Big rocket)
- W and E are total damage</t>
  </si>
  <si>
    <t>- Steroid: P (Gives the fully stacked buff) 
- Steroid: R (Uses ult on a fully stacked target)
- P damage is per stack
- Q damage is the outer ring</t>
  </si>
  <si>
    <t>- Steroid: P (Triple passive attack speed)
- Steroid: R (Hit 5 enemies)
- W is total damage</t>
  </si>
  <si>
    <t>- Steroid: R (Maximum life regen)
- W is total damage
- R is healing
- P is pickup healing</t>
  </si>
  <si>
    <t>- Steroid: W (Attackspeed)
- Q is bonus damage
- Will build his Q into DPS soon</t>
  </si>
  <si>
    <t>- Q is total damage
- W is shield</t>
  </si>
  <si>
    <t>- Form: Change into spider form
- Steroid: W (Spider form to activate W)</t>
  </si>
  <si>
    <t>- Q is total damage
- R damage doubled if EHP&lt;30%</t>
  </si>
  <si>
    <t>- Steroid: P (Fully stacked)
- Sheen damage is already in Q damage</t>
  </si>
  <si>
    <t>- Steroid: Q (Double damage)
- W and R are total damage</t>
  </si>
  <si>
    <t>Nothing</t>
  </si>
  <si>
    <t>- Steroid: W (For the onhit part)
- Steroid: R (To hit the big fish)
- W is total damage</t>
  </si>
  <si>
    <t>- Steroid: W (Damage reduction)
- Q is total damage</t>
  </si>
  <si>
    <t>- Steroid: E (Crit)
- Steroid: R (Fully upgraded damage)</t>
  </si>
  <si>
    <t>- Steroid: E (Hit single target)
- P is always active
- E is total damage
- Minions increase W armor</t>
  </si>
  <si>
    <t>- Form: Change into big gnar form</t>
  </si>
  <si>
    <t>- Steroid: Q (Empowered Q)</t>
  </si>
  <si>
    <t>- Steroid: E (Gives 1 stack of E)
- Steroid: P (All pallets hit)
- Form: Max E stacks
- Normally only 1 pallet hits
- Q is total damage
- R is hit damage</t>
  </si>
  <si>
    <t>- Steroid: Q (Maximum damage Q)
- Steroid: E (Maximum Damage E)
- W is total damage</t>
  </si>
  <si>
    <t>- Steroid: Q (Ultimate Q)
- Steroid: W (Ultimate W)
- Steroid: E (Ultimate E)
- W always hits all rockets
- Q is turret normal attack</t>
  </si>
  <si>
    <t>- Steroid: P (Fully stacked)
- R is hit damage</t>
  </si>
  <si>
    <t>- R is Daisy's AD</t>
  </si>
  <si>
    <t>- Steroid: Q (Fully channeled)
- R is total Heal</t>
  </si>
  <si>
    <t>- Steroid: E (Gives the flag buff)
- Steroid: W (Activates the shield)
- Form: Hit 5 enemies with W</t>
  </si>
  <si>
    <t>- Steroid: R (Activates resistances)
- Steroid: P (Fully stacked)
- If R is skilled, R will be in DPS</t>
  </si>
  <si>
    <t>- Steroid: Q (shoot through E)
- Form: Change to hammer form
- W is total damage</t>
  </si>
  <si>
    <t>- Steroid: Q (4th bounce)
- Steroid: R (Last shot)
- Reload time is in DPS
- Last hit is not in DPS
- R damage is per shot</t>
  </si>
  <si>
    <t>- Steroid: P (Proc passive)
- Steroid: Q (Fishbones)
- Always at 3 stacks Q
- E is total damage</t>
  </si>
  <si>
    <t>- Steroid: Q (Single target Q)
- Steroid: E (Attack speed)
- Steroid: P (Show current HP value, otherwise it will show damage at 50%)
- The passive dps is calculated as: 2 stacks + proc damage (assumes alsways 50% missing hp)</t>
  </si>
  <si>
    <t>- E is only 1 spear
- Steroid: E (10 spears)</t>
  </si>
  <si>
    <t>- Steroid: Q (Empowered Q)
- Steroid: E (Empowered E)</t>
  </si>
  <si>
    <t>- Steroid: Q (Single target hit)</t>
  </si>
  <si>
    <t>- R is total damage</t>
  </si>
  <si>
    <t>- Steroid: P (Fully stacked)
- Steroid: Q (Resistance reduce)</t>
  </si>
  <si>
    <t>- Normal form is Rhaast
- Form: Change to Darkin form
- Q is total damage</t>
  </si>
  <si>
    <t>- Steroid: E (Attackspeed)
- Steroid: R (Resistances)
- W is activation damage
- R is total damage
- W Passive damage is already in dps</t>
  </si>
  <si>
    <t>- Steroid: Q (Isolated Q)</t>
  </si>
  <si>
    <t>- Steroid: Q (Attackspeed)
- Enemies Killed = Marks
- W is wolf hit damage</t>
  </si>
  <si>
    <t>- Steroid: Q (Unmounted hits all bullets)
- Steroid: W (Attackspeed)
- Form: Change to unmounted form
- W is last hit damage
- E is total damage</t>
  </si>
  <si>
    <t>- Steroid: Q (Armor and resistance shred)
- Steroid: W (Activated W)</t>
  </si>
  <si>
    <t>- Steroid: Q (Ultimate Q)
- Steroid: W (Ultimate W)
- Steroid: E (Ultimate E)
- Q and E are total damage</t>
  </si>
  <si>
    <t>- Steroid: P (Attackspeed)
- Q is total damage</t>
  </si>
  <si>
    <t>- Steroid: W (Activates W)</t>
  </si>
  <si>
    <t>- Steroid: Q (do also the true damage part)
- Steroid: W (Centre damage)</t>
  </si>
  <si>
    <t>- Steroid: W (Bonus damage)
- R is total damage</t>
  </si>
  <si>
    <t>- Steroid: W (Give yourself attack speed)</t>
  </si>
  <si>
    <t>- W is total shield</t>
  </si>
  <si>
    <t>- Steroid: P (Gives shield)
- Steroid: W (Onhit damage)</t>
  </si>
  <si>
    <t>- E, R is total damage
- W is minion damage</t>
  </si>
  <si>
    <t>- Steroid: Q (Single target damage)
- Steroid: E (Activates E)
- Steroid: R (Activates R)</t>
  </si>
  <si>
    <t>- Steroid: Q (Bounce damage)
- Steroid: W (Activates W)
- E and R are total damage</t>
  </si>
  <si>
    <t>- W and R are total damage</t>
  </si>
  <si>
    <t>- E is total damage</t>
  </si>
  <si>
    <t>- Steroid: R (Life)
- Minions and kills increase Q damage
- R is damage per second
- E is total damage</t>
  </si>
  <si>
    <t>- Steroid: W (Onhit and shield)</t>
  </si>
  <si>
    <t>- Steroid: Q (Maximum damage)
- Steroid: R (Shield)
- Form: Max R shield
- If W is skilled it is in DPS</t>
  </si>
  <si>
    <t>- Steroid: Q (Maximize damage)
- Steroid: E (As human increase attack speed)
- Form: Change into cat form</t>
  </si>
  <si>
    <t>- Steroid: Q (Attack damage)
- Steroid: W (Spell blocked [Attackspeed])
- E is total damage</t>
  </si>
  <si>
    <t>- Steroid: P (Attackspeed)
- Steroid: W (Maximum damage)
- E and R are max damage</t>
  </si>
  <si>
    <t>- Steroid: W (Activates W)
- Steroid: R (Activates R)</t>
  </si>
  <si>
    <t>- Steroid: E (Armor and Resistance)
- P is first hit</t>
  </si>
  <si>
    <t>- Steroid: Q (Empowered Q)
- Steroid: W (Empowered W)
- Steroid: E (Empowered E)</t>
  </si>
  <si>
    <t>- Steroid: Q (Double damage)
- E is total damage
- R is full damage</t>
  </si>
  <si>
    <t>- Steroid: Q (Terrain bonus damage)
- Steroid: W (Attackspeed and onhit)</t>
  </si>
  <si>
    <t>- Steroid: W (Gives passive proc)
- Passive in damage per second
- Form: Using R</t>
  </si>
  <si>
    <t>- Steroid: W (Armor, resistances and passive damage)
- Steroid: R (Maximum R damage)</t>
  </si>
  <si>
    <t>- Steroid: Q (Activates Q)
- Form: Burrow</t>
  </si>
  <si>
    <t>- Steroid: Q (Empowered Q)
- Steroid: W (Empowered W)
- Steroid: E (Empowered E)
- Steroid: R (Health)
- R is total damage</t>
  </si>
  <si>
    <t>- Steroid: Q (Empowered Q)
- Steroid: W (Empowered W)
- Steroid: E (Empowered E)
- Bounty stacks = Necklace stacks</t>
  </si>
  <si>
    <t>- Steroid: R (Activates R for AD)
- Q is total damage</t>
  </si>
  <si>
    <t>- Steroid: Q (Perfect heat zone)
- Steroid: W (Perfect heat zone)
- Steroid: E (Perfect heat zone)
- Steroid: P (Overheat)</t>
  </si>
  <si>
    <t>- Steroid: E (Attack speed buff)
- Steroid: P (Get the melee damage bonus)</t>
  </si>
  <si>
    <t>- Steroid: E (Add shatter damage)
- Steroid: R (Direct hit)</t>
  </si>
  <si>
    <t>- Minions = Passive stacks</t>
  </si>
  <si>
    <t>- Steroid: W (Use with maximum Grit)
- Passive damage is only bonus damage</t>
  </si>
  <si>
    <t>- Steroid: Q | W | E (Backstab damage and box total damage)
- R is explosion damage</t>
  </si>
  <si>
    <t>- Steroid: Q (Empowered damage)
- Steroid: R (Empowered R)</t>
  </si>
  <si>
    <t>- Form: Change into dragon form
- Infernals give bonus to passive
- E is total damage (dragon form)
- W damage is per tick</t>
  </si>
  <si>
    <t>- Steroid: R (Activates R)
- Q is total damage</t>
  </si>
  <si>
    <t>- Steroid: Q (Fully channeled Q)
- Steroid: R (Maximum damage R)
- Minions and Kills increase HP</t>
  </si>
  <si>
    <t>- Steroid: P (Movementspeed)
- Steroid: Q (Double hit the boomerang for max dmg)
- Steroid: W (Attackspeed)</t>
  </si>
  <si>
    <t>- Steroid: Q (Empowered passive)
- Steroid: P (Gain 60 ability haste)
- W is shield + heal value</t>
  </si>
  <si>
    <t>- Steroid: R (Empowered R)</t>
  </si>
  <si>
    <t>- Steroid: Q (hit all bolts)
- R is total damage
- Minions act as Soul Fragments</t>
  </si>
  <si>
    <t>- Steroid: E (Shield)
- Enemy under 40% increases W damage
- Q is total damage
- Physical ultimates are not calculated yet, magical ones work</t>
  </si>
  <si>
    <t>- Steroid: P (15% bonus ap)
- Steroid: W (Bonus true damage)
- Steroid: R (7 balls)</t>
  </si>
  <si>
    <t>- Steroid: P (3 stack passive)</t>
  </si>
  <si>
    <t>- Steroid: Q (Hit full volley)
- Steroid: E (Maximum damage)</t>
  </si>
  <si>
    <t>- Q is always max stacks
- P is per hit</t>
  </si>
  <si>
    <t>- Steroid: P (Attackspeed)
- Steroid: W (Activates W)</t>
  </si>
  <si>
    <t>- Steroid: E (Fully loaded passive into onhit)
- Minions = souls</t>
  </si>
  <si>
    <t>- Steroid: Q (Activates Q)
- Steroid: E (Maximum damage)</t>
  </si>
  <si>
    <t>- Steroid: Q (Attack damage)
- Steroid: E (Attack speed)</t>
  </si>
  <si>
    <t>- Steroid: Q (Max heal)
- Steroid: P (Critchance)</t>
  </si>
  <si>
    <t>- Steroid: W (Using blue card, gold card is the default)</t>
  </si>
  <si>
    <t>- Steroid: Q (Attackspeed)
- Steroid: E (Maximum damage)
- Steroid: R (Activates R)</t>
  </si>
  <si>
    <t>- Steroid: P (30% attack speed)
- Steroid: Q (Attack speed and onhit) + FORM: (More attack speed + magic dmg)
- Steroid: W (Bigger shield)
- Steroid: R (Apply frost ring damage) + FORM: (Apply snow storm damage)</t>
  </si>
  <si>
    <t>- Steroid: W (Activates W)
- Steroid: E (Shield)
- W damage is per hit
- P damage is per leg
- One leg is always in dps</t>
  </si>
  <si>
    <t>- Steroid: P (Champion kill attack speed)
- Steroid: Q (Maximum damage)
- W is 3 stacks proc damage</t>
  </si>
  <si>
    <t>- Steroid: E (Hit enemy into wall)
- Steroid: R (Activates R)
- W is in damage per second</t>
  </si>
  <si>
    <t>- Minions = Passive stacks
- W cooldown is reduced each 50 minions</t>
  </si>
  <si>
    <t>- Steroid: R (True damage ultimate)</t>
  </si>
  <si>
    <t>- Steroid: W (Proc W)
- Steroid: P (Shield)
- Q is max damage</t>
  </si>
  <si>
    <t>- Steroid: Q (Movementspeed and shield)
- Steroid: E (Upgrade E)</t>
  </si>
  <si>
    <t>- Steroid: Q (Empowered Q)
- Steroid: R (Damage amplifier)
- Steroid: E (Make it max damage)</t>
  </si>
  <si>
    <t>- Steroid: P (Activate the attack speed and onhit)
- Steroid: Q (Make it crit)
- Steroid: W (Target a wounded enemy)
- Steroid: R (Gives the bonus health)</t>
  </si>
  <si>
    <t>- Steroid: W (Attackspeed)
- Enemy HP &lt;20% empowers W</t>
  </si>
  <si>
    <t>- Steroid: E (Attackspeed)
- Steroid: P (Get the healthregen)</t>
  </si>
  <si>
    <t>- Steroid: W (Activates W)
- Steroid: E (Hit 6 feathers)
- E is 3 feather hit by default</t>
  </si>
  <si>
    <t>- Steroid: W (Center Damage)
- R is total damage</t>
  </si>
  <si>
    <t>- Steroid: E (Attackspeed)
- Q is total bonus damage</t>
  </si>
  <si>
    <t>- Steroid: E (Max stacked E)
- Steroid: R (Armor penetration)</t>
  </si>
  <si>
    <t>- Steroid: Q (Empowered Q)
- Steroid: R (Hit all waves)</t>
  </si>
  <si>
    <t>- Steroid: R (Hit all bounces)</t>
  </si>
  <si>
    <t>- R damage is calculated as hitting:
     - 1 Q
     - 1 E
     - 1 Auto attack
     - Passive proc</t>
  </si>
  <si>
    <t>- Steroid: E (Maximum single target damage)
- R is center damage</t>
  </si>
  <si>
    <t>- Steroid: Q (Maximum damage)
- E damage is both hit and proc</t>
  </si>
  <si>
    <t>- P is plant damage</t>
  </si>
  <si>
    <t>- Steroid: P (5 allies in the aura)
- Steroid: Q, W, E (Double cast)</t>
  </si>
  <si>
    <t>I can not replicate him going into different champions!
So for now he also got nothing special</t>
  </si>
  <si>
    <t>- Steroid: Q (Use 4 charges and hit for true damage)
- Steroid: W (Armor and magic resistance)
- Steroid: E (Attack speed, onhit and range)
- Steroid: R (Maximum damage)</t>
  </si>
  <si>
    <t>- Passive is in dps (Assuming you never cancel attacks)
- Q damage hits 2 times
- E damage ist calculated as hitting 3 shots
- Steroid: E (Hit 6 shots instead of 3)
- Steroid: R (Maximum damage)</t>
  </si>
  <si>
    <t>- Steroid: P (Fully charged passive)
- Steroid: W (Crit)
- Steroid: E (Onhit)
- Steroid: R (Attackspeed)
- Sheen damage is in Q dmg (divided by sheen cd)</t>
  </si>
  <si>
    <t>- Minions and kills act as stacks for her passive
- Dark Harvest/Grasp stacks count for her ult stacks (Under runes)
- Steroid: P (Get attackspeed)
- Steroid: Form (Get into ultimate form)</t>
  </si>
  <si>
    <t>- Steroid: Q (Attackspeed, Range, Damage)
- R is total damage</t>
  </si>
  <si>
    <t>K'sante</t>
  </si>
  <si>
    <t>- Steroid: W (Fully charged)
- Steroid: R (Extra wall damage)
- Steroid: Form (All out form)</t>
  </si>
  <si>
    <t>- Steroid: W (Attack speed)</t>
  </si>
  <si>
    <t>- Nothing</t>
  </si>
  <si>
    <t>ITEM NAME</t>
  </si>
  <si>
    <t>Gold</t>
  </si>
  <si>
    <t>AP</t>
  </si>
  <si>
    <t>CC</t>
  </si>
  <si>
    <t>AH</t>
  </si>
  <si>
    <t>LS</t>
  </si>
  <si>
    <t>LE</t>
  </si>
  <si>
    <t>MPE</t>
  </si>
  <si>
    <t>SHOE</t>
  </si>
  <si>
    <t>MS%</t>
  </si>
  <si>
    <t>HEAL</t>
  </si>
  <si>
    <t>POH</t>
  </si>
  <si>
    <t>MOH</t>
  </si>
  <si>
    <t>EPD</t>
  </si>
  <si>
    <t>MPD</t>
  </si>
  <si>
    <t>PPD</t>
  </si>
  <si>
    <t>APE%</t>
  </si>
  <si>
    <t>MPE%</t>
  </si>
  <si>
    <t>CDMG</t>
  </si>
  <si>
    <t>SV</t>
  </si>
  <si>
    <t>APM</t>
  </si>
  <si>
    <t>ADM</t>
  </si>
  <si>
    <t>TC</t>
  </si>
  <si>
    <t>SHI</t>
  </si>
  <si>
    <t>I1</t>
  </si>
  <si>
    <t>I2</t>
  </si>
  <si>
    <t>I3</t>
  </si>
  <si>
    <t>I4</t>
  </si>
  <si>
    <t>IE</t>
  </si>
  <si>
    <t>Legendary?</t>
  </si>
  <si>
    <t>Efficient</t>
  </si>
  <si>
    <t>Abyssal Mask</t>
  </si>
  <si>
    <t>Aegis of the Legion</t>
  </si>
  <si>
    <t>Aether Wisp</t>
  </si>
  <si>
    <t>Amplifying Tome</t>
  </si>
  <si>
    <t>Anathema's Chains</t>
  </si>
  <si>
    <t>Archangel's Staff</t>
  </si>
  <si>
    <t>Ardent Censer</t>
  </si>
  <si>
    <t>Axiom Arc</t>
  </si>
  <si>
    <t>B. F. Sword</t>
  </si>
  <si>
    <t>Bami's Cinder</t>
  </si>
  <si>
    <t>Bandleglass Mirror</t>
  </si>
  <si>
    <t>Banshee's Veil</t>
  </si>
  <si>
    <t>Berserker's Greaves</t>
  </si>
  <si>
    <t>Black Mist Scythe</t>
  </si>
  <si>
    <t>Blade of the Ruined King</t>
  </si>
  <si>
    <t>Blasting Wand</t>
  </si>
  <si>
    <t>Blighting Jewel</t>
  </si>
  <si>
    <t>Bloodthirster</t>
  </si>
  <si>
    <t>Boots</t>
  </si>
  <si>
    <t>Boots of Swiftness</t>
  </si>
  <si>
    <t>Bramble Vest</t>
  </si>
  <si>
    <t>Bulwark of the Mountain</t>
  </si>
  <si>
    <t>Catalyst of Aeons</t>
  </si>
  <si>
    <t>Caulfield's Warhammer</t>
  </si>
  <si>
    <t>Chain Vest</t>
  </si>
  <si>
    <t>Chalice of Blessing</t>
  </si>
  <si>
    <t>Chempunk Chainsword</t>
  </si>
  <si>
    <t>Chemtech Putrifier</t>
  </si>
  <si>
    <t>Cloak of Agility</t>
  </si>
  <si>
    <t>Cloth Armor</t>
  </si>
  <si>
    <t>Cosmic Drive</t>
  </si>
  <si>
    <t>Crystalline Bracer</t>
  </si>
  <si>
    <t>Cull</t>
  </si>
  <si>
    <t>Dagger</t>
  </si>
  <si>
    <t>Dark Seal</t>
  </si>
  <si>
    <t>Dead Man's Plate</t>
  </si>
  <si>
    <t>Death's Dance</t>
  </si>
  <si>
    <t>Demonic Embrace</t>
  </si>
  <si>
    <t>Doran's Blade</t>
  </si>
  <si>
    <t>Doran's Ring</t>
  </si>
  <si>
    <t>Doran's Shield</t>
  </si>
  <si>
    <t>Edge of Night</t>
  </si>
  <si>
    <t>Essence Reaver</t>
  </si>
  <si>
    <t>Executioner's Calling</t>
  </si>
  <si>
    <t>Faerie Charm</t>
  </si>
  <si>
    <t>Fiendish Codex</t>
  </si>
  <si>
    <t>Fimbulwinter</t>
  </si>
  <si>
    <t>Forbidden Idol</t>
  </si>
  <si>
    <t>Force of Nature</t>
  </si>
  <si>
    <t>Frostfang</t>
  </si>
  <si>
    <t>Frozen Heart</t>
  </si>
  <si>
    <t>Gargoyle Stoneplate</t>
  </si>
  <si>
    <t>Giant's Belt</t>
  </si>
  <si>
    <t>Glacial Buckler</t>
  </si>
  <si>
    <t>Guardian Angel</t>
  </si>
  <si>
    <t>Harrowing Cresent</t>
  </si>
  <si>
    <t>Hearthbound Axe</t>
  </si>
  <si>
    <t>Hexdrinker</t>
  </si>
  <si>
    <t>Hextech Alternator</t>
  </si>
  <si>
    <t>Horizon Focus</t>
  </si>
  <si>
    <t>Hullbreaker</t>
  </si>
  <si>
    <t>Immortal Shieldbow</t>
  </si>
  <si>
    <t>Imperial Mandate</t>
  </si>
  <si>
    <t>Ionian Boots of Lucidity</t>
  </si>
  <si>
    <t>Ironspike Whip</t>
  </si>
  <si>
    <t>Kindlegem</t>
  </si>
  <si>
    <t>Kircheis Shard</t>
  </si>
  <si>
    <t>Knight's Vow</t>
  </si>
  <si>
    <t>Kraken Slayer</t>
  </si>
  <si>
    <t>Last Whisper</t>
  </si>
  <si>
    <t>Leeching Leer</t>
  </si>
  <si>
    <t>Lich Bane</t>
  </si>
  <si>
    <t>Lifewell Pendant</t>
  </si>
  <si>
    <t>Long Sword</t>
  </si>
  <si>
    <t>Lord Dominik's Regards</t>
  </si>
  <si>
    <t>Lost Chapter</t>
  </si>
  <si>
    <t>Manamune</t>
  </si>
  <si>
    <t>Maw of Malmortius</t>
  </si>
  <si>
    <t>Mejai's Soulstealer</t>
  </si>
  <si>
    <t>Mercurial Scimitar</t>
  </si>
  <si>
    <t>Mercury's Treads</t>
  </si>
  <si>
    <t>Mikael's Blessing</t>
  </si>
  <si>
    <t>Mobility Boots</t>
  </si>
  <si>
    <t>Morellonomicon</t>
  </si>
  <si>
    <t>Mortal Reminder</t>
  </si>
  <si>
    <t>Muramana</t>
  </si>
  <si>
    <t>Nashor's Tooth</t>
  </si>
  <si>
    <t>Needlessly Large Rod</t>
  </si>
  <si>
    <t>Negatron Cloak</t>
  </si>
  <si>
    <t>Noonquiver</t>
  </si>
  <si>
    <t>Null-Magic Mantle</t>
  </si>
  <si>
    <t>Oblivion Orb</t>
  </si>
  <si>
    <t>Pauldrons of Whiterock</t>
  </si>
  <si>
    <t>Phage</t>
  </si>
  <si>
    <t>Phantom Dancer</t>
  </si>
  <si>
    <t>Pickaxe</t>
  </si>
  <si>
    <t>Plated Steelcaps</t>
  </si>
  <si>
    <t>Prowler's Claw</t>
  </si>
  <si>
    <t>Quicksilver Sash</t>
  </si>
  <si>
    <t>Rabadon's Deathcap</t>
  </si>
  <si>
    <t>Rageknife</t>
  </si>
  <si>
    <t>Randuin's Omen</t>
  </si>
  <si>
    <t>Rapid Firecannon</t>
  </si>
  <si>
    <t>Ravenous Hydra</t>
  </si>
  <si>
    <t>Recurve Bow</t>
  </si>
  <si>
    <t>Redemption</t>
  </si>
  <si>
    <t>Rejuvenation Bead</t>
  </si>
  <si>
    <t>Relic Shield</t>
  </si>
  <si>
    <t>Ruby Crystal</t>
  </si>
  <si>
    <t>Runaan's Hurricane</t>
  </si>
  <si>
    <t>Runesteel Spaulders</t>
  </si>
  <si>
    <t>Rylai's Crystal Scepter</t>
  </si>
  <si>
    <t>Sapphire Crystal</t>
  </si>
  <si>
    <t>Seeker's Armguard</t>
  </si>
  <si>
    <t>Seraph's Embrace</t>
  </si>
  <si>
    <t>Serpent's Fang</t>
  </si>
  <si>
    <t>Serrated Dirk</t>
  </si>
  <si>
    <t>Serylda's Grudge</t>
  </si>
  <si>
    <t>Shadowflame</t>
  </si>
  <si>
    <t>Shard of True Ice</t>
  </si>
  <si>
    <t>Sheen</t>
  </si>
  <si>
    <t>Silvermere Dawn</t>
  </si>
  <si>
    <t>Sorcerer's Shoes</t>
  </si>
  <si>
    <t>Spear of Shojin</t>
  </si>
  <si>
    <t>Spectral Sickle</t>
  </si>
  <si>
    <t>Spectre's Cowl</t>
  </si>
  <si>
    <t>Spellthief's Edge</t>
  </si>
  <si>
    <t>Spirit Visage</t>
  </si>
  <si>
    <t>Staff of Flowing Water</t>
  </si>
  <si>
    <t>Statikk Shiv</t>
  </si>
  <si>
    <t>Steel Shoulderguards</t>
  </si>
  <si>
    <t>Sterak's Gage</t>
  </si>
  <si>
    <t>Stormrazor</t>
  </si>
  <si>
    <t>Sunfire Aegis</t>
  </si>
  <si>
    <t>Targon's Buckler</t>
  </si>
  <si>
    <t>Tear of the Goddess</t>
  </si>
  <si>
    <t>The Collector</t>
  </si>
  <si>
    <t>Thornmail</t>
  </si>
  <si>
    <t>Tiamat</t>
  </si>
  <si>
    <t>Titanic Hydra</t>
  </si>
  <si>
    <t>Turbo Chemtank</t>
  </si>
  <si>
    <t>Umbral Glaive</t>
  </si>
  <si>
    <t>Vampiric Scepter</t>
  </si>
  <si>
    <t>Verdant Barrier</t>
  </si>
  <si>
    <t>Vigilant Wardstone</t>
  </si>
  <si>
    <t>Void Staff</t>
  </si>
  <si>
    <t>Warden's Mail</t>
  </si>
  <si>
    <t>Warmog's Armor</t>
  </si>
  <si>
    <t>Watchful Wardstone</t>
  </si>
  <si>
    <t>Winged Moonplate</t>
  </si>
  <si>
    <t>Winter's Approach</t>
  </si>
  <si>
    <t>Wit's End</t>
  </si>
  <si>
    <t>Zeal</t>
  </si>
  <si>
    <t>Zeke's Convergence</t>
  </si>
  <si>
    <t>Zhonya's Hourglass</t>
  </si>
  <si>
    <t>Crown of the Shattered Queen</t>
  </si>
  <si>
    <t>Divine Sunderer</t>
  </si>
  <si>
    <t>Duskblade of Draktharr</t>
  </si>
  <si>
    <t>Echoes of Helia</t>
  </si>
  <si>
    <t>Eclipse</t>
  </si>
  <si>
    <t>Evenshroud</t>
  </si>
  <si>
    <t>Everfrost</t>
  </si>
  <si>
    <t>Galeforce</t>
  </si>
  <si>
    <t>Goredrinker</t>
  </si>
  <si>
    <t>Guinsoo's Rageblade</t>
  </si>
  <si>
    <t>Heartsteel</t>
  </si>
  <si>
    <t>Hextech Rocketbelt</t>
  </si>
  <si>
    <t>Iceborn Gauntlet</t>
  </si>
  <si>
    <t>Infinity Edge</t>
  </si>
  <si>
    <t>Jak'Sho The Protean</t>
  </si>
  <si>
    <t>Liandry's Anguish</t>
  </si>
  <si>
    <t>Locket of the Iron Solari</t>
  </si>
  <si>
    <t>Luden's Tempest</t>
  </si>
  <si>
    <t>Moonstone Renewer</t>
  </si>
  <si>
    <t>Navori Quickblade</t>
  </si>
  <si>
    <t>Night Harvester</t>
  </si>
  <si>
    <t>Radiant Virtue</t>
  </si>
  <si>
    <t>Riftmaker</t>
  </si>
  <si>
    <t>Rod Of Ages</t>
  </si>
  <si>
    <t>Shurelya's Battlesong</t>
  </si>
  <si>
    <t>Stridebreaker</t>
  </si>
  <si>
    <t>Trinity Force</t>
  </si>
  <si>
    <t>Youmuu's Ghostblade</t>
  </si>
  <si>
    <t>M: Crown of the Shattered Queen</t>
  </si>
  <si>
    <t>M: Divine Sunderer</t>
  </si>
  <si>
    <t>M: Duskblade of Draktharr</t>
  </si>
  <si>
    <t>M: Echoes of Helia</t>
  </si>
  <si>
    <t>M: Eclipse</t>
  </si>
  <si>
    <t>M: Evenshroud</t>
  </si>
  <si>
    <t>M: Everfrost</t>
  </si>
  <si>
    <t>M: Galeforce</t>
  </si>
  <si>
    <t>M: Goredrinker</t>
  </si>
  <si>
    <t>M: Guinsoo's Rageblade</t>
  </si>
  <si>
    <t>M: Heartsteel</t>
  </si>
  <si>
    <t>M: Hextech Rocketbelt</t>
  </si>
  <si>
    <t>M: Iceborn Gauntlet</t>
  </si>
  <si>
    <t>M: Infinity Edge</t>
  </si>
  <si>
    <t>M: Jak'Sho The Protean</t>
  </si>
  <si>
    <t>M: Liandry's Anguish</t>
  </si>
  <si>
    <t>M: Locket of the Iron Solari</t>
  </si>
  <si>
    <t>M: Luden's Tempest</t>
  </si>
  <si>
    <t>M: Moonstone Renewer</t>
  </si>
  <si>
    <t>M: Navori Quickblade</t>
  </si>
  <si>
    <t>M: Night Harvester</t>
  </si>
  <si>
    <t>M: Radiant Virtue</t>
  </si>
  <si>
    <t>M: Riftmaker</t>
  </si>
  <si>
    <t>M: Rod Of Ages</t>
  </si>
  <si>
    <t>M: Shurelya's Battlesong</t>
  </si>
  <si>
    <t>M: Stridebreaker</t>
  </si>
  <si>
    <t>M: Trinity Force</t>
  </si>
  <si>
    <t>M: Youmuu's Ghostblade</t>
  </si>
  <si>
    <t>Elixir of Iron</t>
  </si>
  <si>
    <t>Elixir of Sorcery</t>
  </si>
  <si>
    <t>Elixir of Wrath</t>
  </si>
  <si>
    <t>PLAYER TOTAL</t>
  </si>
  <si>
    <t>ENEMY TOTAL</t>
  </si>
  <si>
    <t>v. 1.08</t>
  </si>
  <si>
    <t>v. 1.08 (21.11.2018 | 22:30 gmt+1):
- Enemy items are implemented now
- Multiple of the same items work again
v. 1.08a (05.12.2018 | 0:34 gmt+1):
- Update to patch 8.24
v. 1.08b (18.12.2018 | 06:31 gmt+1):
- Update to patch 8.24b</t>
  </si>
  <si>
    <t>v. 2.07</t>
  </si>
  <si>
    <t>v. 2.07: (17.11.2020 | 12:30 gmt+1):
- Implemented an update function, now you do not have to get a new sheet everytime I update it, you can update yours with a single click!
v. 2.07b: (23.11.2020 | 23:30 gmt+1):
- Updated to patch 10.24
v. 2.07c: (09.12.2020 | 05:05 gmt+1):
- Updated to patch 10.25
v. 2.07d: (15.12.2020 | 08:55 gmt+1):
- Updated to patch 10.25b</t>
  </si>
  <si>
    <t>v. 1.07</t>
  </si>
  <si>
    <t xml:space="preserve">
v. 1.07 (09.10.2018 | 21:32 gmt+1):
- Update to patch 8.20
v. 1.07a (23.10.2018 | 23:41 gmt+1):
- Update to patch 8.21
v. 1.07b (07.11.2018 | 02:11 gmt+1):
- Update to patch 8.22
- Fixed physical onhit error, on all champs
v. 1.07c (20.11.2018 | 8:00 gmt+1): 
- Update to patch 8.23
- The Item sheet should now react a lot faster</t>
  </si>
  <si>
    <t>v. 4.06</t>
  </si>
  <si>
    <t>v. 4.06: (16.11.2022 | 00:35 gmt+1):
- Updated to patch 12.22
- There might be some errors in this version, since some things were new to implement, if you finde some errors, please tell me on discord :D
v. 4.06a: Same day
- Riot added Navori to the patchlist so I added it too :D
v. 4.06b: (06.12.2022 | 23:05 gmt+1):
- Updated to patch 12.23</t>
  </si>
  <si>
    <t>v. 2.06</t>
  </si>
  <si>
    <t>v. 2.06: (12.11.2020 | 04:50 gmt+1):
- Updated to preseason 2021 and patch 10.23
- To get easier used to the new items, I recommend having
https://lolshop.gg/ open in another tab
v. 2.06a: (13.11.2020 | 11:40 gmt+1):
- Midpatch updates
v. 2.06b: (15.11.2020 | 05:30 gmt+1):
- Fixed an error with critical strikes and dps for the following champions:
Ashe, Caitlyn, Senna, Yasuo, Yone</t>
  </si>
  <si>
    <t>v. 1.06</t>
  </si>
  <si>
    <t>v. 1.06 (28.08.2018):
- Update to patch 8.17
v. 1.06a (12.09.2018 | 15:42 gmt+1):
- Update to patch 8.18
v. 1.06b (25.09.2018 | 23:36 gmt+1):
- Update to patch 8.19
v. 1.06c (30.09.2018 | 07:05 gmt+1):
- Split up the steroids
- Small interface changes needed to be made</t>
  </si>
  <si>
    <t>v. 4.05</t>
  </si>
  <si>
    <t>v. 4.05: (19.10.2022 | 00:30 gmt+1):
- Updated to patch 12.20
- Leathal Tempo will not show the correct range values for ranged champs, need to get a new copy for that or just change the range cell :D
v. 4.05a: (05.11.2022 | 18:25 gmt+1):
- Updated to patch 12.21
- Getting a new version of the sheet is recommended, since I now calculate the cooldown in the calc tab, this change wont affect you much if you don't get a new copy tho, just keep in mind that some cooldowns can be shown too low then.</t>
  </si>
  <si>
    <t>v. 3.05</t>
  </si>
  <si>
    <t>-v. 3.05: (03.11.2021 | 19:35 gmt+1):
- Updated to patch 11.22</t>
  </si>
  <si>
    <t>v. 2.05</t>
  </si>
  <si>
    <t>v. 2.05: (13.10.2020 | 23:40 gmt+1):
- Updated to patch 10.21
- Prepared the sheet for translation into other languages
- Redone the calculations and fixed some errors
- Added seraphine (14.10.2020)
v. 2.05a: (27.10.2020 | 18:30 gmt+1):
- Updated to patch 10.22
- Fixed an attack speed error</t>
  </si>
  <si>
    <t>v. 1.05</t>
  </si>
  <si>
    <t>v. 1.05b:
- Added total burst (placebo)
v. 1.05c:
- Added a secondary itemset, you can switch between them with the button in the middle of them, this way you should be able to quickly compare 2 itemsets
v. 1.05b:
- Added some buttons for quick configs
- Grasp DMG is based on melee/ranged now
v. 1.05c:
- Update to patch 8.16</t>
  </si>
  <si>
    <t>v. 4.04</t>
  </si>
  <si>
    <t>v. 4.04: (10.08.2022 | 01:40 gmt+1):
- Updated to patch 12.15
v. 4.04a: (24.08.2022 | 02:00 gmt+1):
- Updated to patch 12.16
v. 4.04b: (07.09.2022 | 21:15 gmt+1):
- Updated to patch 12.17
v. 4.04c: (21.09.2022 | 00:30 gmt+1):
- Updated to patch 12.18
v. 4.04d: (05.10.2022 | 00:15 gmt+1):
- Updated to patch 12.19</t>
  </si>
  <si>
    <t>v. 3.04</t>
  </si>
  <si>
    <t>-v. 3.04: (25.08.2021 | 01:10 gmt+1):
- Updated to patch 11.17
-v. 3.04a: (08.09.2021 | 22:35 gmt+1):
- Updated to patch 11.18
-v. 3.04b: (22.09.2021 | 04:35 gmt+1):
- Updated to patch 11.19
-v. 3.04c: (05.10.2021 | 22:35 gmt+1):
- Updated to patch 11.20
-v. 3.04d: (19.10.2021 | 22:10 gmt+1):
- Updated to patch 11.21</t>
  </si>
  <si>
    <t>v. 2.04</t>
  </si>
  <si>
    <t>v. 2.04: (01.09.2020 | 23:00 gmt+1):
- Updated to patch 10.18
v. 2.04a: (15.09.2020 | 21:15 gmt+1):
- Updated to patch 10.19
- 2.04b: Samira hotfix (23.09.2020 01:37 | gmt+1)
v. 2.04c: (29.09.2020 | 21:35 gmt+1):
- Updated to patch 10.20
- Added a new tab where the preseason items are already inserted, tho the interactions of mythic and legendary is still missing, those will be added once the items hit live!</t>
  </si>
  <si>
    <t>v. 1.04</t>
  </si>
  <si>
    <t>v. 1.04a: 
- Item damage 
- Muramana gives the onhit as always full mana
v. 1.04b:
- Sorted all items and champions
- Added summoner spells
- You can now choose the target
v. 1.04c:
- Update to patch 8.14
v. 1.04d:
- Update to patch 8.15</t>
  </si>
  <si>
    <t>v. 4.03</t>
  </si>
  <si>
    <t>v. 4.03: (25.05.2022 | 05:00 gmt+1):
- Updated to patch 12.10
v. 4.03a: (08.06.2022 | 06:05 gmt+1):
- Updated to patch 12.11
v. 4.03b: (22.06.2022 | 22:50 gmt+1):
- Updated to patch 12.12
v. 4.03c: (13.07.2022 | 12:20 gmt+1):
- Updated to patch 12.13
v. 4.03d: (26.07.2022 | 23:55 gmt+1):
- Updated to patch 12.14</t>
  </si>
  <si>
    <t>v. 3.03</t>
  </si>
  <si>
    <t>-v. 3.03: (22.06.2021 | 21:30 gmt+1):
- Updated to patch 11.13
-v. 3.03a: (07.07.2021 | 17:15 gmt+1):
- Updated to patch 11.14
-v. 3.03b: (21.07.2021 | 22:15 gmt+1):
- Updated to patch 11.15
- MidPatch: Added Akshans other passive also in the DPS
-v. 3.03c: (11.08.2021 | 03:00 gmt+1):
- Updated to patch 11.16
- Sona will only work correctly if you get a new copy of the sheet</t>
  </si>
  <si>
    <t>v. 2.03</t>
  </si>
  <si>
    <t>v. 2.03: (07.07.2020 | 23:30 gmt+1):
- Updated to patch 10.14
v. 2.03a: (22.07.2020 | 02:12 gmt+1):
- Updated to patch 10.15
v. 2.03b: (24.07.2020 | 01:41 gmt+1):
- Added Lillia
v. 2.03c: (04.08.2020 | 23:08 gmt+1):
- Updated to patch 10.16
v. 2.03d: (19.08.2020 | 23:14 gmt+1):
- Updated to patch 10.17</t>
  </si>
  <si>
    <t>v. 1.03</t>
  </si>
  <si>
    <t>v. 1.03:
- Update to patch 8.10
- Added buttons!
v. 1.03a:
- Update to patch 8.11
v. 1.03b:
- Update to patch 8.12
v. 1.03c:
- Update to patch 8.13
v. 1.03d:
- TrueDMG conversion</t>
  </si>
  <si>
    <t>v. 13.10: (16.05.2023 | 00:00 gmt+1):
- Updated to latest patch
- Its recommended to get a new copy of the sheet
v. 13.11: (01.06.2023 | 13:00 gmt+1):
- Updated to latest patch
v. 13.12: (15.06.2023 | 03:10 gmt+1):
- Updated to latest patch</t>
  </si>
  <si>
    <t>v. 4.02</t>
  </si>
  <si>
    <t>v. 4.02: (01.03.2022 | 21:40 gmt+1):
- Updated to patch 12.5
v. 4.02a: (30.03.2022 | 13:05 gmt+1):
- Updated to patch 12.6
- Gold from treasure hunter wont show in total gold unless you add it manually or get a new sheet
v. 4.02b: (13.04.2022 | 01:55 gmt+1):
- Updated to patch 12.7
v. 4.02c: (26.04.2022 | 21:55 gmt+1):
- Updated to patch 12.8
v. 4.02d: (11.05.2022 | 00:15 gmt+1):
- Updated to patch 12.9</t>
  </si>
  <si>
    <t>v. 3.02</t>
  </si>
  <si>
    <t>v. 3.02: (26.05.2021 | 00:40 gmt+1):
- Updated to patch 11.11
- Ultimate hunter and cloud dragon haste is calculated incorrectly, for the correct formula, get a new copy of the sheet
v. 3.02a: (08.06.2021 | 22:40 gmt+1):
- Updated to patch 11.12
v. 3.02b2: (09.06.2021 | 23:50 gmt+1):
- Added the Dr. Mundo rework
- Updated the Aphelios Crescendum damage (if it works like the old one it should be very close for the level 2-9 and accurate above)</t>
  </si>
  <si>
    <t>v. 2.02</t>
  </si>
  <si>
    <t>v. 2.02: (28.04.2020 | 22:50 gmt+1):
- Updated to patch 10.9
v. 2.02a: (12.05.2020 | 22:25 gmt+1):
- Updated to patch 10.10
v. 2.02b: (27.05.2020 | 22:53 gmt+1):
- Updated to patch 10.11
- Voli Hotfix (02.06.2020)
v. 2.02c: (09.06.2020 | 21:34 gmt+1):
- Updated to patch 10.12
v. 2.02d: (24.06.2020 | 02:24 gmt+1):
- Updated to patch 10.13</t>
  </si>
  <si>
    <t>v. 1.02</t>
  </si>
  <si>
    <t>v. 1.02:
- Update to patch 8.6
- Skills 100% done
- Added champion infos
v. 1.02a:
- Update to patch 8.7
v. 1.02b:
- Update to patch 8.8
v. 1.02c:
- Update to patch 8.9</t>
  </si>
  <si>
    <t>v. 13.9</t>
  </si>
  <si>
    <t>v. 13.5: (08.03.2023 | 02:40 gmt+1):
- Updated to latest patch
v. 13.6: (22.03.2023 | 18:40 gmt+1):
- Updated to latest patch
v. 13.7: (04.04.2023 | 23:15 gmt+1):
- Updated to latest patch
v. 13.8: (27.04.2023 | 12:10 gmt+1):
- Updated to latest patch
v. 13.9: (03.05.2023 | 10:10 gmt+1):
- Updated to latest patch</t>
  </si>
  <si>
    <t>v. 4.01</t>
  </si>
  <si>
    <t>v. 4.01: (08.12.2021 | 02:40 gmt+1):
- Updated to patch 11.24
a: - Updated to patch 11.24b
b: - Updated to patch 12.1
v. 4.01c: (20.01.2022 | 02:40 gmt+1):
- Updated to patch 12.2
- Zeri is added to the sheet
v. 4.01d: (02.02.2022 | 00:05 gmt+1):
- Updated to patch 12.3
v. 4.01e: (15.02.2022 | 23:35 gmt+1):
- Updated to patch 12.4</t>
  </si>
  <si>
    <t>v. 3.01</t>
  </si>
  <si>
    <t>v. 3.01: (16.03.2021 | 23:40 gmt+1):
- Updated to patch 11.6
v. 3.01a: (31.03.2021 | 3:00 gmt+1):
- Updated to patch 11.7
v. 3.01b: (14.04.2021 | 13:50 gmt+1):
- Updated to patch 11.8
v. 3.01c: (28.04.2021 | 07:50 gmt+1):
- Updated to patch 11.9
v. 3.01d: (12.05.2021 | 14:10 gmt+1):
- Updated to patch 11.10</t>
  </si>
  <si>
    <t>v. 2.01</t>
  </si>
  <si>
    <t>v. 2.01: (18.02.2020 | 20:35 gmt+1):
- Updated to patch 10.4
v. 2.01a: (04.03.2020 | 05:15 gmt+1):
- Updated to patch 10.5
v. 2.01b: (18.03.2020 | 05:10 gmt+1):
- Updated to patch 10.6
v. 2.01c: (31.03.2020 | 22:25 gmt+1):
- Updated to patch 10.7
v. 2.01d: (15.04.2020 | 01:05 gmt+1):
- Updated to patch 10.8</t>
  </si>
  <si>
    <t>v. 1.01</t>
  </si>
  <si>
    <t>v. 1.01:
- Update to patch 8.2
v. 1.01a:
- Update to patch 8.3
- Skills 75% done
v. 1.01b:
- Update to patch 8.4:
- Reconstructed the whole sheet
v. 1.01c:
- Update to patch 8.5</t>
  </si>
  <si>
    <t>v. 13.4</t>
  </si>
  <si>
    <t>v. 13.1: (11.01.2023 | 03:55 gmt+1):
- Updated to season start patch
- Please note that from now on the version will be the patch number :D
v. 13.1b: (25.01.2023 | 00:55 gmt+1):
- Updated to latest patch
v. 13.3: (08.02.2023 | 06:55 gmt+1):
- Updated to latest patch
v. 13.4: (22.02.2023 | 21:15 gmt+1):
- Updated to latest patch</t>
  </si>
  <si>
    <t>v. 4.00</t>
  </si>
  <si>
    <t>v. 4.00: (17.11.2021 | 07:35 gmt+1):
- Updated to patch 11.23
I changed a whole bunch in the background of this sheet, so I can more easily change stuff in the future, sadly that means that you need to get a new copy of the sheet for it to work!
Also, if you find any error's, let me know :D
v. 4.00a: (17.11.2021 | 17:30 gmt+1):
I forgot the drakes, lol, sorry for this. You need to get a new copy again!
v. 4.00b (01.12.2021 | 09:40 gmt+1):
Fixed rabadons not working correctly</t>
  </si>
  <si>
    <t>v. 3.00</t>
  </si>
  <si>
    <t>v. 3.00: (05.01.2021 | 21:15 gmt+1):
- Updated to patch 11.1
v. 3.00a: (20.01.2021 | 21:50 gmt+1):
- Updated to patch 11.2
v. 3.00b: (02.02.2021 | 22:40 gmt+1):
- Updated to patch 11.3
v. 3.00c: (17.02.2021 | 20:45 gmt+1):
- Updated to patch 11.4
v. 3.00d: (03.03.2021 | 02:10 gmt+1): 
- Updated to patch 11.5
- Fixed Qiyana and Muramana for all spells.</t>
  </si>
  <si>
    <t>v. 2.00</t>
  </si>
  <si>
    <t>Welcome to the new season everyone!
v. 2.00: (07.01.2020 | 23:00 gmt+1):
- Updated to patch 10.1
v. 2.00a: (16.01.2020 | 11:00 gmt+1):
- Added Sett
v. 2.00b: (21.01.2020 | 22:30 gmt+1):
- Updated to patch 10.2
v. 2.00c: (04.02.2020 | 22:50 gmt+1):
- Updated to patch 10.3
v. 2.00d: (08.02.2020 | 03:46 gmt+1):
- Applied hotfixes for that patch</t>
  </si>
  <si>
    <t>v. 1.00</t>
  </si>
  <si>
    <t xml:space="preserve">v. 1.00:
- Update to patch 8.1
- Steroids for ADC
- All onhit effects
- Jhin dps
- Item buffs
- All item, elixir and champion data
- Skills 25% done
v. 1.00a:
- Atkspeed bonus level 1
- Movementspeed softcaps 
- Skills 50% done </t>
  </si>
  <si>
    <t>Gametime</t>
  </si>
  <si>
    <t>CS</t>
  </si>
  <si>
    <t>Melee</t>
  </si>
  <si>
    <t>Caster</t>
  </si>
  <si>
    <t>Cannon</t>
  </si>
  <si>
    <t>CS Gold</t>
  </si>
  <si>
    <t>Passive Gold</t>
  </si>
  <si>
    <t>Total Gold</t>
  </si>
  <si>
    <t>Farmed</t>
  </si>
  <si>
    <t>EXP MOD</t>
  </si>
  <si>
    <t>0</t>
  </si>
  <si>
    <t>21</t>
  </si>
  <si>
    <t>14</t>
  </si>
  <si>
    <t>EXP melee</t>
  </si>
  <si>
    <t>60</t>
  </si>
  <si>
    <t>EXP Range</t>
  </si>
  <si>
    <t>63</t>
  </si>
  <si>
    <t>EXP Siege</t>
  </si>
  <si>
    <t>66</t>
  </si>
  <si>
    <t>Average</t>
  </si>
  <si>
    <t>69</t>
  </si>
  <si>
    <t>72</t>
  </si>
  <si>
    <t>75</t>
  </si>
  <si>
    <t>78</t>
  </si>
  <si>
    <t>81</t>
  </si>
  <si>
    <t>84</t>
  </si>
  <si>
    <t>87</t>
  </si>
  <si>
    <t>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</si>
</sst>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00"/>
    <numFmt numFmtId="165" formatCode="dd\.mm\.yyyy"/>
    <numFmt numFmtId="166" formatCode="0.0"/>
    <numFmt numFmtId="167" formatCode="0.0%"/>
    <numFmt numFmtId="168" formatCode="#,##0.000"/>
    <numFmt numFmtId="169" formatCode="#,##0.0"/>
  </numFmts>
  <fonts count="60">
    <font>
      <sz val="10"/>
      <color rgb="FF000000"/>
      <name val="Arial"/>
    </font>
    <font>
      <b/>
      <sz val="38"/>
      <color rgb="FF000000"/>
      <name val="Comfortaa"/>
    </font>
    <font>
      <b/>
      <sz val="24"/>
      <color rgb="FF000000"/>
      <name val="Comfortaa"/>
    </font>
    <font>
      <b/>
      <u/>
      <sz val="24"/>
      <color rgb="FF0000FF"/>
      <name val="Comfortaa"/>
    </font>
    <font>
      <b/>
      <u/>
      <sz val="24"/>
      <color rgb="FF0000FF"/>
      <name val="Comfortaa"/>
    </font>
    <font>
      <b/>
      <sz val="36"/>
      <color rgb="FF000000"/>
      <name val="Comfortaa"/>
    </font>
    <font>
      <sz val="22"/>
      <color rgb="FF000000"/>
      <name val="Comfortaa"/>
    </font>
    <font>
      <sz val="24"/>
      <color rgb="FF000000"/>
      <name val="Comfortaa"/>
    </font>
    <font>
      <sz val="10"/>
      <name val="Arial"/>
    </font>
    <font>
      <sz val="12"/>
      <color rgb="FF000000"/>
      <name val="Comfortaa"/>
    </font>
    <font>
      <sz val="13"/>
      <color rgb="FF000000"/>
      <name val="Comfortaa"/>
    </font>
    <font>
      <b/>
      <sz val="12"/>
      <color rgb="FF000000"/>
      <name val="Comfortaa"/>
    </font>
    <font>
      <sz val="16"/>
      <color rgb="FF000000"/>
      <name val="Comfortaa"/>
    </font>
    <font>
      <b/>
      <sz val="13"/>
      <color rgb="FFFFFFFF"/>
      <name val="Comfortaa"/>
    </font>
    <font>
      <i/>
      <sz val="12"/>
      <color rgb="FF000000"/>
      <name val="Comfortaa"/>
    </font>
    <font>
      <b/>
      <sz val="12"/>
      <name val="Comfortaa"/>
    </font>
    <font>
      <sz val="10"/>
      <name val="Comfortaa"/>
    </font>
    <font>
      <i/>
      <sz val="10"/>
      <name val="Comfortaa"/>
    </font>
    <font>
      <sz val="10"/>
      <name val="Comfortaa"/>
    </font>
    <font>
      <sz val="10"/>
      <color rgb="FF000000"/>
      <name val="Comfortaa"/>
    </font>
    <font>
      <sz val="11"/>
      <color rgb="FF000000"/>
      <name val="Comfortaa"/>
    </font>
    <font>
      <i/>
      <sz val="11"/>
      <color rgb="FF000000"/>
      <name val="Comfortaa"/>
    </font>
    <font>
      <b/>
      <sz val="12"/>
      <color rgb="FFFFFFFF"/>
      <name val="Comfortaa"/>
    </font>
    <font>
      <u/>
      <sz val="13"/>
      <color rgb="FF000000"/>
      <name val="Comfortaa"/>
    </font>
    <font>
      <b/>
      <sz val="11"/>
      <name val="Comfortaa"/>
    </font>
    <font>
      <sz val="10"/>
      <color rgb="FF000000"/>
      <name val="Comfortaa"/>
    </font>
    <font>
      <sz val="12"/>
      <name val="Comfortaa"/>
    </font>
    <font>
      <i/>
      <sz val="10"/>
      <color rgb="FF000000"/>
      <name val="Comfortaa"/>
    </font>
    <font>
      <sz val="10"/>
      <color rgb="FFFF0000"/>
      <name val="Comfortaa"/>
    </font>
    <font>
      <i/>
      <sz val="10"/>
      <color rgb="FF000000"/>
      <name val="Comfortaa"/>
    </font>
    <font>
      <sz val="11"/>
      <color rgb="FFFFFFFF"/>
      <name val="Comfortaa"/>
    </font>
    <font>
      <sz val="24"/>
      <color rgb="FFFF0000"/>
      <name val="Comfortaa"/>
    </font>
    <font>
      <b/>
      <sz val="11"/>
      <color rgb="FF000000"/>
      <name val="Comfortaa"/>
    </font>
    <font>
      <u/>
      <sz val="14"/>
      <color rgb="FF0000FF"/>
      <name val="Comfortaa"/>
    </font>
    <font>
      <i/>
      <sz val="11"/>
      <name val="Comfortaa"/>
    </font>
    <font>
      <i/>
      <sz val="10"/>
      <name val="Comfortaa"/>
    </font>
    <font>
      <sz val="18"/>
      <color rgb="FFFF0000"/>
      <name val="Comfortaa"/>
    </font>
    <font>
      <u/>
      <sz val="14"/>
      <color rgb="FF0000FF"/>
      <name val="Comfortaa"/>
    </font>
    <font>
      <sz val="12"/>
      <color rgb="FFFF0000"/>
      <name val="Comfortaa"/>
    </font>
    <font>
      <sz val="11"/>
      <name val="Comfortaa"/>
    </font>
    <font>
      <sz val="18"/>
      <name val="Comfortaa"/>
    </font>
    <font>
      <sz val="10"/>
      <color rgb="FFFFFFFF"/>
      <name val="Comfortaa"/>
    </font>
    <font>
      <sz val="12"/>
      <color rgb="FFCC4125"/>
      <name val="Comfortaa"/>
    </font>
    <font>
      <sz val="24"/>
      <name val="Comfortaa"/>
    </font>
    <font>
      <b/>
      <sz val="14"/>
      <color rgb="FF000000"/>
      <name val="Comfortaa"/>
    </font>
    <font>
      <sz val="10"/>
      <color rgb="FFB7B7B7"/>
      <name val="Comfortaa"/>
    </font>
    <font>
      <sz val="10"/>
      <name val="Arial"/>
    </font>
    <font>
      <sz val="10"/>
      <color rgb="FF000000"/>
      <name val="Arial"/>
    </font>
    <font>
      <u/>
      <sz val="10"/>
      <color rgb="FF000000"/>
      <name val="Comfortaa"/>
    </font>
    <font>
      <sz val="24"/>
      <color rgb="FFF1C232"/>
      <name val="Comfortaa"/>
    </font>
    <font>
      <sz val="24"/>
      <color rgb="FFFF9900"/>
      <name val="Comfortaa"/>
    </font>
    <font>
      <sz val="24"/>
      <color rgb="FF6D9EEB"/>
      <name val="Comfortaa"/>
    </font>
    <font>
      <sz val="24"/>
      <color rgb="FFB4A7D6"/>
      <name val="Comfortaa"/>
    </font>
    <font>
      <sz val="24"/>
      <color rgb="FF674EA7"/>
      <name val="Comfortaa"/>
    </font>
    <font>
      <sz val="24"/>
      <color rgb="FF6AA84F"/>
      <name val="Comfortaa"/>
    </font>
    <font>
      <sz val="24"/>
      <color rgb="FFA2C4C9"/>
      <name val="Comfortaa"/>
    </font>
    <font>
      <i/>
      <sz val="24"/>
      <color rgb="FF990000"/>
      <name val="Comfortaa"/>
    </font>
    <font>
      <sz val="24"/>
      <color rgb="FF990000"/>
      <name val="Comfortaa"/>
    </font>
    <font>
      <b/>
      <u/>
      <sz val="22"/>
      <color rgb="FFCC0000"/>
      <name val="Comfortaa"/>
    </font>
    <font>
      <sz val="18"/>
      <color rgb="FF9900FF"/>
      <name val="Comfortaa"/>
    </font>
  </fonts>
  <fills count="92">
    <fill>
      <patternFill patternType="none"/>
    </fill>
    <fill>
      <patternFill patternType="gray125"/>
    </fill>
    <fill>
      <patternFill patternType="solid">
        <fgColor rgb="FFE06666"/>
        <bgColor rgb="FFE06666"/>
      </patternFill>
    </fill>
    <fill>
      <patternFill patternType="solid">
        <fgColor rgb="FFF3F3F3"/>
        <bgColor rgb="FFF3F3F3"/>
      </patternFill>
    </fill>
    <fill>
      <patternFill patternType="solid">
        <fgColor rgb="FF434343"/>
        <bgColor rgb="FF434343"/>
      </patternFill>
    </fill>
    <fill>
      <patternFill patternType="solid">
        <fgColor rgb="FFF1C232"/>
        <bgColor rgb="FFF1C232"/>
      </patternFill>
    </fill>
    <fill>
      <patternFill patternType="solid">
        <fgColor rgb="FFE69138"/>
        <bgColor rgb="FFE69138"/>
      </patternFill>
    </fill>
    <fill>
      <patternFill patternType="solid">
        <fgColor rgb="FFEFEFEF"/>
        <bgColor rgb="FFEFEFEF"/>
      </patternFill>
    </fill>
    <fill>
      <patternFill patternType="solid">
        <fgColor rgb="FF980000"/>
        <bgColor rgb="FF980000"/>
      </patternFill>
    </fill>
    <fill>
      <patternFill patternType="solid">
        <fgColor rgb="FFFFD966"/>
        <bgColor rgb="FFFFD966"/>
      </patternFill>
    </fill>
    <fill>
      <patternFill patternType="solid">
        <fgColor rgb="FF9900FF"/>
        <bgColor rgb="FF9900FF"/>
      </patternFill>
    </fill>
    <fill>
      <patternFill patternType="solid">
        <fgColor rgb="FF1155CC"/>
        <bgColor rgb="FF1155CC"/>
      </patternFill>
    </fill>
    <fill>
      <patternFill patternType="solid">
        <fgColor rgb="FFCCCCCC"/>
        <bgColor rgb="FFCCCCCC"/>
      </patternFill>
    </fill>
    <fill>
      <patternFill patternType="solid">
        <fgColor rgb="FF00FFFF"/>
        <bgColor rgb="FF00FFFF"/>
      </patternFill>
    </fill>
    <fill>
      <patternFill patternType="solid">
        <fgColor rgb="FFBF9000"/>
        <bgColor rgb="FFBF9000"/>
      </patternFill>
    </fill>
    <fill>
      <patternFill patternType="solid">
        <fgColor rgb="FFF9CB9C"/>
        <bgColor rgb="FFF9CB9C"/>
      </patternFill>
    </fill>
    <fill>
      <patternFill patternType="solid">
        <fgColor rgb="FF3C78D8"/>
        <bgColor rgb="FF3C78D8"/>
      </patternFill>
    </fill>
    <fill>
      <patternFill patternType="solid">
        <fgColor rgb="FF674EA7"/>
        <bgColor rgb="FF674EA7"/>
      </patternFill>
    </fill>
    <fill>
      <patternFill patternType="solid">
        <fgColor rgb="FF38761D"/>
        <bgColor rgb="FF38761D"/>
      </patternFill>
    </fill>
    <fill>
      <patternFill patternType="solid">
        <fgColor rgb="FF76A5AF"/>
        <bgColor rgb="FF76A5AF"/>
      </patternFill>
    </fill>
    <fill>
      <patternFill patternType="solid">
        <fgColor rgb="FFCC4125"/>
        <bgColor rgb="FFCC4125"/>
      </patternFill>
    </fill>
    <fill>
      <patternFill patternType="solid">
        <fgColor rgb="FF8E7CC3"/>
        <bgColor rgb="FF8E7CC3"/>
      </patternFill>
    </fill>
    <fill>
      <patternFill patternType="solid">
        <fgColor rgb="FF3D85C6"/>
        <bgColor rgb="FF3D85C6"/>
      </patternFill>
    </fill>
    <fill>
      <patternFill patternType="solid">
        <fgColor rgb="FF6D9EEB"/>
        <bgColor rgb="FF6D9EEB"/>
      </patternFill>
    </fill>
    <fill>
      <patternFill patternType="solid">
        <fgColor rgb="FFB7B7B7"/>
        <bgColor rgb="FFB7B7B7"/>
      </patternFill>
    </fill>
    <fill>
      <patternFill patternType="solid">
        <fgColor rgb="FF000000"/>
        <bgColor rgb="FF000000"/>
      </patternFill>
    </fill>
    <fill>
      <patternFill patternType="solid">
        <fgColor rgb="FFD9D9D9"/>
        <bgColor rgb="FFD9D9D9"/>
      </patternFill>
    </fill>
    <fill>
      <patternFill patternType="solid">
        <fgColor rgb="FF93C47D"/>
        <bgColor rgb="FF93C47D"/>
      </patternFill>
    </fill>
    <fill>
      <patternFill patternType="solid">
        <fgColor rgb="FFFFE599"/>
        <bgColor rgb="FFFFE599"/>
      </patternFill>
    </fill>
    <fill>
      <patternFill patternType="solid">
        <fgColor rgb="FFEA9999"/>
        <bgColor rgb="FFEA9999"/>
      </patternFill>
    </fill>
    <fill>
      <patternFill patternType="solid">
        <fgColor rgb="FFB6D7A8"/>
        <bgColor rgb="FFB6D7A8"/>
      </patternFill>
    </fill>
    <fill>
      <patternFill patternType="solid">
        <fgColor rgb="FF6AA84F"/>
        <bgColor rgb="FF6AA84F"/>
      </patternFill>
    </fill>
    <fill>
      <patternFill patternType="solid">
        <fgColor rgb="FFA4C2F4"/>
        <bgColor rgb="FFA4C2F4"/>
      </patternFill>
    </fill>
    <fill>
      <patternFill patternType="solid">
        <fgColor rgb="FF9FC5E8"/>
        <bgColor rgb="FF9FC5E8"/>
      </patternFill>
    </fill>
    <fill>
      <patternFill patternType="solid">
        <fgColor rgb="FFD5A6BD"/>
        <bgColor rgb="FFD5A6BD"/>
      </patternFill>
    </fill>
    <fill>
      <patternFill patternType="solid">
        <fgColor rgb="FFB4A7D6"/>
        <bgColor rgb="FFB4A7D6"/>
      </patternFill>
    </fill>
    <fill>
      <patternFill patternType="solid">
        <fgColor rgb="FFFFFFFF"/>
        <bgColor rgb="FFFFFFFF"/>
      </patternFill>
    </fill>
    <fill>
      <patternFill patternType="solid">
        <fgColor rgb="FF4A86E8"/>
        <bgColor rgb="FF4A86E8"/>
      </patternFill>
    </fill>
    <fill>
      <patternFill patternType="solid">
        <fgColor rgb="FFFFFF00"/>
        <bgColor rgb="FFFFFF00"/>
      </patternFill>
    </fill>
    <fill>
      <patternFill patternType="solid">
        <fgColor rgb="FFFF00FF"/>
        <bgColor rgb="FFFF00FF"/>
      </patternFill>
    </fill>
    <fill>
      <patternFill patternType="solid">
        <fgColor rgb="FFF7BB66"/>
        <bgColor rgb="FFF7BB66"/>
      </patternFill>
    </fill>
    <fill>
      <patternFill patternType="solid">
        <fgColor rgb="FFFCCE66"/>
        <bgColor rgb="FFFCCE66"/>
      </patternFill>
    </fill>
    <fill>
      <patternFill patternType="solid">
        <fgColor rgb="FFFBCB66"/>
        <bgColor rgb="FFFBCB66"/>
      </patternFill>
    </fill>
    <fill>
      <patternFill patternType="solid">
        <fgColor rgb="FFF6B966"/>
        <bgColor rgb="FFF6B966"/>
      </patternFill>
    </fill>
    <fill>
      <patternFill patternType="solid">
        <fgColor rgb="FFFAC966"/>
        <bgColor rgb="FFFAC966"/>
      </patternFill>
    </fill>
    <fill>
      <patternFill patternType="solid">
        <fgColor rgb="FFED9866"/>
        <bgColor rgb="FFED9866"/>
      </patternFill>
    </fill>
    <fill>
      <patternFill patternType="solid">
        <fgColor rgb="FFF8C266"/>
        <bgColor rgb="FFF8C266"/>
      </patternFill>
    </fill>
    <fill>
      <patternFill patternType="solid">
        <fgColor rgb="FFF7BC66"/>
        <bgColor rgb="FFF7BC66"/>
      </patternFill>
    </fill>
    <fill>
      <patternFill patternType="solid">
        <fgColor rgb="FFFED566"/>
        <bgColor rgb="FFFED566"/>
      </patternFill>
    </fill>
    <fill>
      <patternFill patternType="solid">
        <fgColor rgb="FFF0A466"/>
        <bgColor rgb="FFF0A466"/>
      </patternFill>
    </fill>
    <fill>
      <patternFill patternType="solid">
        <fgColor rgb="FFF4B166"/>
        <bgColor rgb="FFF4B166"/>
      </patternFill>
    </fill>
    <fill>
      <patternFill patternType="solid">
        <fgColor rgb="FFFDD366"/>
        <bgColor rgb="FFFDD366"/>
      </patternFill>
    </fill>
    <fill>
      <patternFill patternType="solid">
        <fgColor rgb="FFF9C666"/>
        <bgColor rgb="FFF9C666"/>
      </patternFill>
    </fill>
    <fill>
      <patternFill patternType="solid">
        <fgColor rgb="FFEE9C66"/>
        <bgColor rgb="FFEE9C66"/>
      </patternFill>
    </fill>
    <fill>
      <patternFill patternType="solid">
        <fgColor rgb="FFFCCF66"/>
        <bgColor rgb="FFFCCF66"/>
      </patternFill>
    </fill>
    <fill>
      <patternFill patternType="solid">
        <fgColor rgb="FFF9C466"/>
        <bgColor rgb="FFF9C466"/>
      </patternFill>
    </fill>
    <fill>
      <patternFill patternType="solid">
        <fgColor rgb="FFF9C566"/>
        <bgColor rgb="FFF9C566"/>
      </patternFill>
    </fill>
    <fill>
      <patternFill patternType="solid">
        <fgColor rgb="FFF8C066"/>
        <bgColor rgb="FFF8C066"/>
      </patternFill>
    </fill>
    <fill>
      <patternFill patternType="solid">
        <fgColor rgb="FFF6BB66"/>
        <bgColor rgb="FFF6BB66"/>
      </patternFill>
    </fill>
    <fill>
      <patternFill patternType="solid">
        <fgColor rgb="FFFBCD66"/>
        <bgColor rgb="FFFBCD66"/>
      </patternFill>
    </fill>
    <fill>
      <patternFill patternType="solid">
        <fgColor rgb="FFF0A366"/>
        <bgColor rgb="FFF0A366"/>
      </patternFill>
    </fill>
    <fill>
      <patternFill patternType="solid">
        <fgColor rgb="FFF8BF66"/>
        <bgColor rgb="FFF8BF66"/>
      </patternFill>
    </fill>
    <fill>
      <patternFill patternType="solid">
        <fgColor rgb="FFEE9D66"/>
        <bgColor rgb="FFEE9D66"/>
      </patternFill>
    </fill>
    <fill>
      <patternFill patternType="solid">
        <fgColor rgb="FFFED866"/>
        <bgColor rgb="FFFED866"/>
      </patternFill>
    </fill>
    <fill>
      <patternFill patternType="solid">
        <fgColor rgb="FFF2AB66"/>
        <bgColor rgb="FFF2AB66"/>
      </patternFill>
    </fill>
    <fill>
      <patternFill patternType="solid">
        <fgColor rgb="FFF3AC66"/>
        <bgColor rgb="FFF3AC66"/>
      </patternFill>
    </fill>
    <fill>
      <patternFill patternType="solid">
        <fgColor rgb="FFFDD466"/>
        <bgColor rgb="FFFDD466"/>
      </patternFill>
    </fill>
    <fill>
      <patternFill patternType="solid">
        <fgColor rgb="FFF9C366"/>
        <bgColor rgb="FFF9C366"/>
      </patternFill>
    </fill>
    <fill>
      <patternFill patternType="solid">
        <fgColor rgb="FFFCD066"/>
        <bgColor rgb="FFFCD066"/>
      </patternFill>
    </fill>
    <fill>
      <patternFill patternType="solid">
        <fgColor rgb="FFFAC866"/>
        <bgColor rgb="FFFAC866"/>
      </patternFill>
    </fill>
    <fill>
      <patternFill patternType="solid">
        <fgColor rgb="FFEC9566"/>
        <bgColor rgb="FFEC9566"/>
      </patternFill>
    </fill>
    <fill>
      <patternFill patternType="solid">
        <fgColor rgb="FFFDD166"/>
        <bgColor rgb="FFFDD166"/>
      </patternFill>
    </fill>
    <fill>
      <patternFill patternType="solid">
        <fgColor rgb="FFFAC766"/>
        <bgColor rgb="FFFAC766"/>
      </patternFill>
    </fill>
    <fill>
      <patternFill patternType="solid">
        <fgColor rgb="FFF7BD66"/>
        <bgColor rgb="FFF7BD66"/>
      </patternFill>
    </fill>
    <fill>
      <patternFill patternType="solid">
        <fgColor rgb="FFFDD266"/>
        <bgColor rgb="FFFDD266"/>
      </patternFill>
    </fill>
    <fill>
      <patternFill patternType="solid">
        <fgColor rgb="FFFBCC66"/>
        <bgColor rgb="FFFBCC66"/>
      </patternFill>
    </fill>
    <fill>
      <patternFill patternType="solid">
        <fgColor rgb="FFF4B066"/>
        <bgColor rgb="FFF4B066"/>
      </patternFill>
    </fill>
    <fill>
      <patternFill patternType="solid">
        <fgColor rgb="FFFAC666"/>
        <bgColor rgb="FFFAC666"/>
      </patternFill>
    </fill>
    <fill>
      <patternFill patternType="solid">
        <fgColor rgb="FFFBCA66"/>
        <bgColor rgb="FFFBCA66"/>
      </patternFill>
    </fill>
    <fill>
      <patternFill patternType="solid">
        <fgColor rgb="FFEFA066"/>
        <bgColor rgb="FFEFA066"/>
      </patternFill>
    </fill>
    <fill>
      <patternFill patternType="solid">
        <fgColor rgb="FFFED666"/>
        <bgColor rgb="FFFED666"/>
      </patternFill>
    </fill>
    <fill>
      <patternFill patternType="solid">
        <fgColor rgb="FFFED766"/>
        <bgColor rgb="FFFED766"/>
      </patternFill>
    </fill>
    <fill>
      <patternFill patternType="solid">
        <fgColor rgb="FFC27BA0"/>
        <bgColor rgb="FFC27BA0"/>
      </patternFill>
    </fill>
    <fill>
      <patternFill patternType="solid">
        <fgColor rgb="FFF6B26B"/>
        <bgColor rgb="FFF6B26B"/>
      </patternFill>
    </fill>
    <fill>
      <patternFill patternType="solid">
        <fgColor rgb="FFFFF2CC"/>
        <bgColor rgb="FFFFF2CC"/>
      </patternFill>
    </fill>
    <fill>
      <patternFill patternType="solid">
        <fgColor rgb="FFF4CCCC"/>
        <bgColor rgb="FFF4CCCC"/>
      </patternFill>
    </fill>
    <fill>
      <patternFill patternType="solid">
        <fgColor rgb="FFC9DAF8"/>
        <bgColor rgb="FFC9DAF8"/>
      </patternFill>
    </fill>
    <fill>
      <patternFill patternType="solid">
        <fgColor rgb="FFD9EAD3"/>
        <bgColor rgb="FFD9EAD3"/>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BDBDBD"/>
        <bgColor rgb="FFBDBDBD"/>
      </patternFill>
    </fill>
  </fills>
  <borders count="61">
    <border>
      <left/>
      <right/>
      <top/>
      <bottom/>
      <diagonal/>
    </border>
    <border>
      <left style="thick">
        <color rgb="FF000000"/>
      </left>
      <right/>
      <top/>
      <bottom/>
      <diagonal/>
    </border>
    <border>
      <left/>
      <right/>
      <top/>
      <bottom style="thick">
        <color rgb="FF000000"/>
      </bottom>
      <diagonal/>
    </border>
    <border>
      <left style="hair">
        <color rgb="FF999999"/>
      </left>
      <right/>
      <top/>
      <bottom/>
      <diagonal/>
    </border>
    <border>
      <left style="medium">
        <color rgb="FFFF0000"/>
      </left>
      <right style="medium">
        <color rgb="FFFF0000"/>
      </right>
      <top style="medium">
        <color rgb="FFFF0000"/>
      </top>
      <bottom/>
      <diagonal/>
    </border>
    <border>
      <left style="hair">
        <color rgb="FF000000"/>
      </left>
      <right style="hair">
        <color rgb="FF000000"/>
      </right>
      <top/>
      <bottom/>
      <diagonal/>
    </border>
    <border>
      <left style="hair">
        <color rgb="FF000000"/>
      </left>
      <right/>
      <top/>
      <bottom/>
      <diagonal/>
    </border>
    <border>
      <left style="medium">
        <color rgb="FFFF0000"/>
      </left>
      <right style="medium">
        <color rgb="FFFF0000"/>
      </right>
      <top/>
      <bottom/>
      <diagonal/>
    </border>
    <border>
      <left style="medium">
        <color rgb="FFFF0000"/>
      </left>
      <right style="medium">
        <color rgb="FFFF0000"/>
      </right>
      <top/>
      <bottom style="medium">
        <color rgb="FFFF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double">
        <color rgb="FF000000"/>
      </left>
      <right/>
      <top style="double">
        <color rgb="FF000000"/>
      </top>
      <bottom/>
      <diagonal/>
    </border>
    <border>
      <left/>
      <right style="double">
        <color rgb="FF000000"/>
      </right>
      <top style="double">
        <color rgb="FF000000"/>
      </top>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right style="double">
        <color rgb="FF000000"/>
      </right>
      <top/>
      <bottom style="double">
        <color rgb="FF000000"/>
      </bottom>
      <diagonal/>
    </border>
    <border>
      <left/>
      <right/>
      <top style="double">
        <color rgb="FF000000"/>
      </top>
      <bottom/>
      <diagonal/>
    </border>
    <border>
      <left/>
      <right/>
      <top/>
      <bottom style="double">
        <color rgb="FF000000"/>
      </bottom>
      <diagonal/>
    </border>
    <border>
      <left style="double">
        <color rgb="FF000000"/>
      </left>
      <right/>
      <top style="double">
        <color rgb="FF000000"/>
      </top>
      <bottom style="double">
        <color rgb="FF000000"/>
      </bottom>
      <diagonal/>
    </border>
    <border>
      <left/>
      <right style="double">
        <color rgb="FF000000"/>
      </right>
      <top style="double">
        <color rgb="FF000000"/>
      </top>
      <bottom style="double">
        <color rgb="FF000000"/>
      </bottom>
      <diagonal/>
    </border>
    <border>
      <left style="double">
        <color rgb="FF000000"/>
      </left>
      <right style="double">
        <color rgb="FF000000"/>
      </right>
      <top style="double">
        <color rgb="FF000000"/>
      </top>
      <bottom/>
      <diagonal/>
    </border>
    <border>
      <left style="double">
        <color rgb="FF000000"/>
      </left>
      <right style="double">
        <color rgb="FF000000"/>
      </right>
      <top/>
      <bottom/>
      <diagonal/>
    </border>
    <border>
      <left style="double">
        <color rgb="FF000000"/>
      </left>
      <right style="double">
        <color rgb="FF000000"/>
      </right>
      <top/>
      <bottom style="double">
        <color rgb="FF000000"/>
      </bottom>
      <diagonal/>
    </border>
    <border>
      <left/>
      <right style="dotted">
        <color rgb="FF666666"/>
      </right>
      <top/>
      <bottom/>
      <diagonal/>
    </border>
    <border>
      <left style="dotted">
        <color rgb="FF666666"/>
      </left>
      <right style="dotted">
        <color rgb="FF666666"/>
      </right>
      <top/>
      <bottom/>
      <diagonal/>
    </border>
    <border>
      <left style="dotted">
        <color rgb="FF666666"/>
      </left>
      <right/>
      <top/>
      <bottom/>
      <diagonal/>
    </border>
    <border>
      <left style="thin">
        <color rgb="FF000000"/>
      </left>
      <right style="dotted">
        <color rgb="FF666666"/>
      </right>
      <top/>
      <bottom/>
      <diagonal/>
    </border>
    <border>
      <left style="thin">
        <color rgb="FF000000"/>
      </left>
      <right/>
      <top/>
      <bottom/>
      <diagonal/>
    </border>
    <border>
      <left/>
      <right style="hair">
        <color rgb="FF000000"/>
      </right>
      <top/>
      <bottom/>
      <diagonal/>
    </border>
    <border>
      <left style="hair">
        <color rgb="FF000000"/>
      </left>
      <right style="thin">
        <color rgb="FF000000"/>
      </right>
      <top/>
      <bottom/>
      <diagonal/>
    </border>
    <border>
      <left/>
      <right style="hair">
        <color rgb="FF000000"/>
      </right>
      <top style="medium">
        <color rgb="FF000000"/>
      </top>
      <bottom/>
      <diagonal/>
    </border>
    <border>
      <left style="hair">
        <color rgb="FF000000"/>
      </left>
      <right style="hair">
        <color rgb="FF000000"/>
      </right>
      <top style="medium">
        <color rgb="FF000000"/>
      </top>
      <bottom/>
      <diagonal/>
    </border>
    <border>
      <left style="hair">
        <color rgb="FF000000"/>
      </left>
      <right/>
      <top style="medium">
        <color rgb="FF000000"/>
      </top>
      <bottom/>
      <diagonal/>
    </border>
    <border>
      <left/>
      <right/>
      <top style="medium">
        <color rgb="FF000000"/>
      </top>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right style="thin">
        <color rgb="FF000000"/>
      </right>
      <top style="thick">
        <color rgb="FF000000"/>
      </top>
      <bottom style="hair">
        <color rgb="FF000000"/>
      </bottom>
      <diagonal/>
    </border>
    <border>
      <left style="thin">
        <color rgb="FF000000"/>
      </left>
      <right style="thick">
        <color rgb="FF000000"/>
      </right>
      <top style="thick">
        <color rgb="FF000000"/>
      </top>
      <bottom style="hair">
        <color rgb="FF000000"/>
      </bottom>
      <diagonal/>
    </border>
    <border>
      <left style="thick">
        <color rgb="FF000000"/>
      </left>
      <right style="thin">
        <color rgb="FF000000"/>
      </right>
      <top/>
      <bottom style="hair">
        <color rgb="FF000000"/>
      </bottom>
      <diagonal/>
    </border>
    <border>
      <left style="thin">
        <color rgb="FF000000"/>
      </left>
      <right style="thin">
        <color rgb="FF000000"/>
      </right>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ck">
        <color rgb="FF000000"/>
      </right>
      <top style="hair">
        <color rgb="FF000000"/>
      </top>
      <bottom style="hair">
        <color rgb="FF000000"/>
      </bottom>
      <diagonal/>
    </border>
    <border>
      <left/>
      <right style="thin">
        <color rgb="FF000000"/>
      </right>
      <top/>
      <bottom style="hair">
        <color rgb="FF000000"/>
      </bottom>
      <diagonal/>
    </border>
    <border>
      <left style="thick">
        <color rgb="FF000000"/>
      </left>
      <right style="thin">
        <color rgb="FF000000"/>
      </right>
      <top style="hair">
        <color rgb="FF000000"/>
      </top>
      <bottom style="hair">
        <color rgb="FF000000"/>
      </bottom>
      <diagonal/>
    </border>
    <border>
      <left/>
      <right style="thin">
        <color rgb="FF000000"/>
      </right>
      <top style="hair">
        <color rgb="FF000000"/>
      </top>
      <bottom style="hair">
        <color rgb="FF000000"/>
      </bottom>
      <diagonal/>
    </border>
    <border>
      <left style="thick">
        <color rgb="FF000000"/>
      </left>
      <right style="thin">
        <color rgb="FF000000"/>
      </right>
      <top style="hair">
        <color rgb="FF000000"/>
      </top>
      <bottom style="medium">
        <color rgb="FF000000"/>
      </bottom>
      <diagonal/>
    </border>
    <border>
      <left style="thin">
        <color rgb="FF000000"/>
      </left>
      <right style="thin">
        <color rgb="FF000000"/>
      </right>
      <top style="hair">
        <color rgb="FF000000"/>
      </top>
      <bottom style="medium">
        <color rgb="FF000000"/>
      </bottom>
      <diagonal/>
    </border>
    <border>
      <left style="thin">
        <color rgb="FF000000"/>
      </left>
      <right style="thick">
        <color rgb="FF000000"/>
      </right>
      <top style="hair">
        <color rgb="FF000000"/>
      </top>
      <bottom style="medium">
        <color rgb="FF000000"/>
      </bottom>
      <diagonal/>
    </border>
    <border>
      <left/>
      <right style="thin">
        <color rgb="FF000000"/>
      </right>
      <top style="hair">
        <color rgb="FF000000"/>
      </top>
      <bottom style="medium">
        <color rgb="FF000000"/>
      </bottom>
      <diagonal/>
    </border>
    <border>
      <left style="thin">
        <color rgb="FF000000"/>
      </left>
      <right style="thick">
        <color rgb="FF000000"/>
      </right>
      <top/>
      <bottom style="hair">
        <color rgb="FF000000"/>
      </bottom>
      <diagonal/>
    </border>
    <border>
      <left style="thin">
        <color rgb="FF000000"/>
      </left>
      <right/>
      <top/>
      <bottom style="hair">
        <color rgb="FF000000"/>
      </bottom>
      <diagonal/>
    </border>
    <border>
      <left/>
      <right style="thick">
        <color rgb="FF000000"/>
      </right>
      <top/>
      <bottom style="hair">
        <color rgb="FF000000"/>
      </bottom>
      <diagonal/>
    </border>
    <border>
      <left/>
      <right/>
      <top/>
      <bottom style="hair">
        <color rgb="FF000000"/>
      </bottom>
      <diagonal/>
    </border>
    <border>
      <left/>
      <right style="thick">
        <color rgb="FF000000"/>
      </right>
      <top/>
      <bottom/>
      <diagonal/>
    </border>
    <border>
      <left style="thick">
        <color rgb="FF000000"/>
      </left>
      <right style="thin">
        <color rgb="FF000000"/>
      </right>
      <top style="hair">
        <color rgb="FF000000"/>
      </top>
      <bottom style="thick">
        <color rgb="FF000000"/>
      </bottom>
      <diagonal/>
    </border>
    <border>
      <left style="thin">
        <color rgb="FF000000"/>
      </left>
      <right style="thin">
        <color rgb="FF000000"/>
      </right>
      <top style="hair">
        <color rgb="FF000000"/>
      </top>
      <bottom style="thick">
        <color rgb="FF000000"/>
      </bottom>
      <diagonal/>
    </border>
    <border>
      <left style="thin">
        <color rgb="FF000000"/>
      </left>
      <right style="thick">
        <color rgb="FF000000"/>
      </right>
      <top style="hair">
        <color rgb="FF000000"/>
      </top>
      <bottom style="thick">
        <color rgb="FF000000"/>
      </bottom>
      <diagonal/>
    </border>
    <border>
      <left/>
      <right style="thin">
        <color rgb="FF000000"/>
      </right>
      <top style="hair">
        <color rgb="FF000000"/>
      </top>
      <bottom style="thick">
        <color rgb="FF000000"/>
      </bottom>
      <diagonal/>
    </border>
  </borders>
  <cellStyleXfs count="1">
    <xf numFmtId="0" fontId="0" fillId="0" borderId="0"/>
  </cellStyleXfs>
  <cellXfs count="737">
    <xf numFmtId="0" fontId="0" fillId="0" borderId="0" xfId="0"/>
    <xf numFmtId="0" fontId="1" fillId="2" borderId="0" xfId="0" applyFont="1" applyFill="1" applyAlignment="1">
      <alignment horizontal="center" vertical="center"/>
    </xf>
    <xf numFmtId="0" fontId="1" fillId="2" borderId="1" xfId="0" applyFont="1" applyFill="1" applyBorder="1" applyAlignment="1">
      <alignment horizontal="center" vertical="center"/>
    </xf>
    <xf numFmtId="0" fontId="2" fillId="3" borderId="0" xfId="0" applyFont="1" applyFill="1" applyAlignment="1">
      <alignment horizontal="center" vertical="center" wrapText="1"/>
    </xf>
    <xf numFmtId="0" fontId="3" fillId="3"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5" fillId="2" borderId="0" xfId="0" applyFont="1" applyFill="1" applyAlignment="1">
      <alignment horizontal="center" vertical="center"/>
    </xf>
    <xf numFmtId="0" fontId="7" fillId="3" borderId="0" xfId="0" applyFont="1" applyFill="1" applyAlignment="1">
      <alignment horizontal="left" vertical="center" wrapText="1"/>
    </xf>
    <xf numFmtId="10" fontId="9" fillId="4" borderId="0" xfId="0" applyNumberFormat="1" applyFont="1" applyFill="1" applyAlignment="1">
      <alignment horizontal="center"/>
    </xf>
    <xf numFmtId="0" fontId="9" fillId="4" borderId="0" xfId="0" applyFont="1" applyFill="1" applyAlignment="1">
      <alignment horizontal="center"/>
    </xf>
    <xf numFmtId="49" fontId="10" fillId="4" borderId="0" xfId="0" applyNumberFormat="1" applyFont="1" applyFill="1" applyAlignment="1">
      <alignment horizontal="center"/>
    </xf>
    <xf numFmtId="0" fontId="9" fillId="5" borderId="0" xfId="0" applyFont="1" applyFill="1" applyAlignment="1">
      <alignment horizontal="center"/>
    </xf>
    <xf numFmtId="0" fontId="11" fillId="5" borderId="0" xfId="0" applyFont="1" applyFill="1" applyAlignment="1">
      <alignment horizontal="center"/>
    </xf>
    <xf numFmtId="0" fontId="11" fillId="6" borderId="0" xfId="0" applyFont="1" applyFill="1" applyAlignment="1">
      <alignment horizontal="center"/>
    </xf>
    <xf numFmtId="49" fontId="13" fillId="8" borderId="0" xfId="0" applyNumberFormat="1" applyFont="1" applyFill="1" applyAlignment="1">
      <alignment horizontal="center"/>
    </xf>
    <xf numFmtId="0" fontId="9" fillId="9" borderId="0" xfId="0" applyFont="1" applyFill="1" applyAlignment="1">
      <alignment horizontal="center"/>
    </xf>
    <xf numFmtId="1" fontId="14" fillId="9" borderId="0" xfId="0" applyNumberFormat="1" applyFont="1" applyFill="1" applyAlignment="1">
      <alignment horizontal="center"/>
    </xf>
    <xf numFmtId="0" fontId="16" fillId="4" borderId="0" xfId="0" applyFont="1" applyFill="1"/>
    <xf numFmtId="0" fontId="13" fillId="10" borderId="0" xfId="0" applyFont="1" applyFill="1" applyAlignment="1">
      <alignment horizontal="center"/>
    </xf>
    <xf numFmtId="0" fontId="17" fillId="7" borderId="0" xfId="0" applyFont="1" applyFill="1"/>
    <xf numFmtId="1" fontId="18" fillId="7" borderId="3" xfId="0" applyNumberFormat="1" applyFont="1" applyFill="1" applyBorder="1" applyAlignment="1">
      <alignment horizontal="center"/>
    </xf>
    <xf numFmtId="0" fontId="18" fillId="4" borderId="0" xfId="0" applyFont="1" applyFill="1"/>
    <xf numFmtId="0" fontId="18" fillId="7" borderId="0" xfId="0" applyFont="1" applyFill="1"/>
    <xf numFmtId="9" fontId="19" fillId="7" borderId="3" xfId="0" applyNumberFormat="1" applyFont="1" applyFill="1" applyBorder="1" applyAlignment="1">
      <alignment horizontal="center"/>
    </xf>
    <xf numFmtId="0" fontId="20" fillId="7" borderId="0" xfId="0" applyFont="1" applyFill="1" applyAlignment="1">
      <alignment horizontal="left"/>
    </xf>
    <xf numFmtId="0" fontId="21" fillId="7" borderId="3" xfId="0" applyFont="1" applyFill="1" applyBorder="1" applyAlignment="1">
      <alignment horizontal="left"/>
    </xf>
    <xf numFmtId="0" fontId="21" fillId="7" borderId="0" xfId="0" applyFont="1" applyFill="1" applyAlignment="1">
      <alignment horizontal="center"/>
    </xf>
    <xf numFmtId="0" fontId="9" fillId="4" borderId="0" xfId="0" applyFont="1" applyFill="1" applyAlignment="1">
      <alignment horizontal="center" vertical="center"/>
    </xf>
    <xf numFmtId="0" fontId="22" fillId="11" borderId="0" xfId="0" applyFont="1" applyFill="1" applyAlignment="1">
      <alignment horizontal="center" vertical="center"/>
    </xf>
    <xf numFmtId="0" fontId="18" fillId="12" borderId="0" xfId="0" applyFont="1" applyFill="1"/>
    <xf numFmtId="164" fontId="18" fillId="12" borderId="3" xfId="0" applyNumberFormat="1" applyFont="1" applyFill="1" applyBorder="1" applyAlignment="1">
      <alignment horizontal="center"/>
    </xf>
    <xf numFmtId="0" fontId="17" fillId="12" borderId="0" xfId="0" applyFont="1" applyFill="1" applyAlignment="1">
      <alignment horizontal="left"/>
    </xf>
    <xf numFmtId="0" fontId="18" fillId="12" borderId="3" xfId="0" applyFont="1" applyFill="1" applyBorder="1" applyAlignment="1">
      <alignment horizontal="center"/>
    </xf>
    <xf numFmtId="0" fontId="17" fillId="12" borderId="0" xfId="0" applyFont="1" applyFill="1"/>
    <xf numFmtId="3" fontId="19" fillId="12" borderId="3" xfId="0" applyNumberFormat="1" applyFont="1" applyFill="1" applyBorder="1" applyAlignment="1">
      <alignment horizontal="center"/>
    </xf>
    <xf numFmtId="1" fontId="20" fillId="12" borderId="0" xfId="0" applyNumberFormat="1" applyFont="1" applyFill="1" applyAlignment="1">
      <alignment horizontal="left"/>
    </xf>
    <xf numFmtId="1" fontId="21" fillId="12" borderId="3" xfId="0" applyNumberFormat="1" applyFont="1" applyFill="1" applyBorder="1" applyAlignment="1">
      <alignment horizontal="left"/>
    </xf>
    <xf numFmtId="0" fontId="19" fillId="12" borderId="0" xfId="0" applyFont="1" applyFill="1" applyAlignment="1">
      <alignment horizontal="center"/>
    </xf>
    <xf numFmtId="165" fontId="22" fillId="11" borderId="0" xfId="0" applyNumberFormat="1" applyFont="1" applyFill="1" applyAlignment="1">
      <alignment horizontal="center" vertical="center"/>
    </xf>
    <xf numFmtId="1" fontId="20" fillId="7" borderId="0" xfId="0" applyNumberFormat="1" applyFont="1" applyFill="1" applyAlignment="1">
      <alignment horizontal="left"/>
    </xf>
    <xf numFmtId="1" fontId="21" fillId="7" borderId="3" xfId="0" applyNumberFormat="1" applyFont="1" applyFill="1" applyBorder="1" applyAlignment="1">
      <alignment horizontal="left"/>
    </xf>
    <xf numFmtId="0" fontId="20" fillId="6" borderId="0" xfId="0" applyFont="1" applyFill="1" applyAlignment="1">
      <alignment horizontal="center"/>
    </xf>
    <xf numFmtId="9" fontId="18" fillId="12" borderId="3" xfId="0" applyNumberFormat="1" applyFont="1" applyFill="1" applyBorder="1" applyAlignment="1">
      <alignment horizontal="center"/>
    </xf>
    <xf numFmtId="1" fontId="19" fillId="12" borderId="3" xfId="0" applyNumberFormat="1" applyFont="1" applyFill="1" applyBorder="1" applyAlignment="1">
      <alignment horizontal="center"/>
    </xf>
    <xf numFmtId="0" fontId="21" fillId="12" borderId="0" xfId="0" applyFont="1" applyFill="1" applyAlignment="1">
      <alignment horizontal="center"/>
    </xf>
    <xf numFmtId="0" fontId="17" fillId="7" borderId="0" xfId="0" applyFont="1" applyFill="1" applyAlignment="1">
      <alignment horizontal="left"/>
    </xf>
    <xf numFmtId="0" fontId="18" fillId="7" borderId="0" xfId="0" applyFont="1" applyFill="1" applyAlignment="1">
      <alignment horizontal="left"/>
    </xf>
    <xf numFmtId="0" fontId="24" fillId="6" borderId="0" xfId="0" applyFont="1" applyFill="1" applyAlignment="1">
      <alignment horizontal="center" vertical="center"/>
    </xf>
    <xf numFmtId="0" fontId="16" fillId="6" borderId="0" xfId="0" applyFont="1" applyFill="1"/>
    <xf numFmtId="166" fontId="18" fillId="12" borderId="3" xfId="0" applyNumberFormat="1" applyFont="1" applyFill="1" applyBorder="1" applyAlignment="1">
      <alignment horizontal="center"/>
    </xf>
    <xf numFmtId="0" fontId="18" fillId="12" borderId="0" xfId="0" applyFont="1" applyFill="1" applyAlignment="1">
      <alignment horizontal="left"/>
    </xf>
    <xf numFmtId="1" fontId="16" fillId="12" borderId="3" xfId="0" applyNumberFormat="1" applyFont="1" applyFill="1" applyBorder="1" applyAlignment="1">
      <alignment horizontal="center"/>
    </xf>
    <xf numFmtId="0" fontId="20" fillId="12" borderId="0" xfId="0" applyFont="1" applyFill="1" applyAlignment="1">
      <alignment horizontal="left"/>
    </xf>
    <xf numFmtId="1" fontId="19" fillId="12" borderId="4" xfId="0" applyNumberFormat="1" applyFont="1" applyFill="1" applyBorder="1" applyAlignment="1">
      <alignment horizontal="right"/>
    </xf>
    <xf numFmtId="1" fontId="19" fillId="12" borderId="0" xfId="0" applyNumberFormat="1" applyFont="1" applyFill="1" applyAlignment="1">
      <alignment horizontal="center"/>
    </xf>
    <xf numFmtId="166" fontId="25" fillId="12" borderId="5" xfId="0" applyNumberFormat="1" applyFont="1" applyFill="1" applyBorder="1" applyAlignment="1">
      <alignment horizontal="right"/>
    </xf>
    <xf numFmtId="1" fontId="16" fillId="12" borderId="6" xfId="0" applyNumberFormat="1" applyFont="1" applyFill="1" applyBorder="1"/>
    <xf numFmtId="1" fontId="19" fillId="7" borderId="3" xfId="0" applyNumberFormat="1" applyFont="1" applyFill="1" applyBorder="1" applyAlignment="1">
      <alignment horizontal="center"/>
    </xf>
    <xf numFmtId="1" fontId="19" fillId="7" borderId="7" xfId="0" applyNumberFormat="1" applyFont="1" applyFill="1" applyBorder="1" applyAlignment="1">
      <alignment horizontal="right"/>
    </xf>
    <xf numFmtId="1" fontId="19" fillId="7" borderId="0" xfId="0" applyNumberFormat="1" applyFont="1" applyFill="1" applyAlignment="1">
      <alignment horizontal="center"/>
    </xf>
    <xf numFmtId="166" fontId="25" fillId="7" borderId="5" xfId="0" applyNumberFormat="1" applyFont="1" applyFill="1" applyBorder="1" applyAlignment="1">
      <alignment horizontal="right"/>
    </xf>
    <xf numFmtId="1" fontId="16" fillId="7" borderId="6" xfId="0" applyNumberFormat="1" applyFont="1" applyFill="1" applyBorder="1"/>
    <xf numFmtId="1" fontId="19" fillId="12" borderId="7" xfId="0" applyNumberFormat="1" applyFont="1" applyFill="1" applyBorder="1" applyAlignment="1">
      <alignment horizontal="right"/>
    </xf>
    <xf numFmtId="1" fontId="18" fillId="7" borderId="4" xfId="0" applyNumberFormat="1" applyFont="1" applyFill="1" applyBorder="1" applyAlignment="1">
      <alignment horizontal="center"/>
    </xf>
    <xf numFmtId="0" fontId="27" fillId="7" borderId="0" xfId="0" applyFont="1" applyFill="1"/>
    <xf numFmtId="1" fontId="18" fillId="12" borderId="8" xfId="0" applyNumberFormat="1" applyFont="1" applyFill="1" applyBorder="1" applyAlignment="1">
      <alignment horizontal="center"/>
    </xf>
    <xf numFmtId="4" fontId="18" fillId="12" borderId="3" xfId="0" applyNumberFormat="1" applyFont="1" applyFill="1" applyBorder="1" applyAlignment="1">
      <alignment horizontal="center"/>
    </xf>
    <xf numFmtId="1" fontId="18" fillId="12" borderId="3" xfId="0" applyNumberFormat="1" applyFont="1" applyFill="1" applyBorder="1" applyAlignment="1">
      <alignment horizontal="center"/>
    </xf>
    <xf numFmtId="1" fontId="19" fillId="12" borderId="8" xfId="0" applyNumberFormat="1" applyFont="1" applyFill="1" applyBorder="1" applyAlignment="1">
      <alignment horizontal="right"/>
    </xf>
    <xf numFmtId="0" fontId="28" fillId="4" borderId="0" xfId="0" applyFont="1" applyFill="1"/>
    <xf numFmtId="0" fontId="25" fillId="4" borderId="0" xfId="0" applyFont="1" applyFill="1"/>
    <xf numFmtId="0" fontId="19" fillId="4" borderId="0" xfId="0" applyFont="1" applyFill="1"/>
    <xf numFmtId="0" fontId="16" fillId="7" borderId="0" xfId="0" applyFont="1" applyFill="1"/>
    <xf numFmtId="49" fontId="16" fillId="7" borderId="3" xfId="0" applyNumberFormat="1" applyFont="1" applyFill="1" applyBorder="1" applyAlignment="1">
      <alignment horizontal="right"/>
    </xf>
    <xf numFmtId="0" fontId="19" fillId="7" borderId="0" xfId="0" applyFont="1" applyFill="1" applyAlignment="1">
      <alignment horizontal="left"/>
    </xf>
    <xf numFmtId="1" fontId="21" fillId="7" borderId="3" xfId="0" applyNumberFormat="1" applyFont="1" applyFill="1" applyBorder="1" applyAlignment="1">
      <alignment horizontal="center"/>
    </xf>
    <xf numFmtId="0" fontId="16" fillId="12" borderId="0" xfId="0" applyFont="1" applyFill="1"/>
    <xf numFmtId="1" fontId="16" fillId="12" borderId="3" xfId="0" applyNumberFormat="1" applyFont="1" applyFill="1" applyBorder="1" applyAlignment="1">
      <alignment horizontal="right"/>
    </xf>
    <xf numFmtId="0" fontId="19" fillId="12" borderId="0" xfId="0" applyFont="1" applyFill="1"/>
    <xf numFmtId="0" fontId="19" fillId="12" borderId="3" xfId="0" applyFont="1" applyFill="1" applyBorder="1" applyAlignment="1">
      <alignment horizontal="center"/>
    </xf>
    <xf numFmtId="0" fontId="19" fillId="12" borderId="0" xfId="0" applyFont="1" applyFill="1" applyAlignment="1">
      <alignment horizontal="left"/>
    </xf>
    <xf numFmtId="1" fontId="21" fillId="12" borderId="3" xfId="0" applyNumberFormat="1" applyFont="1" applyFill="1" applyBorder="1" applyAlignment="1">
      <alignment horizontal="center"/>
    </xf>
    <xf numFmtId="0" fontId="16" fillId="12" borderId="0" xfId="0" applyFont="1" applyFill="1" applyAlignment="1">
      <alignment horizontal="left"/>
    </xf>
    <xf numFmtId="0" fontId="27" fillId="12" borderId="3" xfId="0" applyFont="1" applyFill="1" applyBorder="1" applyAlignment="1">
      <alignment horizontal="center" vertical="center"/>
    </xf>
    <xf numFmtId="0" fontId="19" fillId="7" borderId="0" xfId="0" applyFont="1" applyFill="1"/>
    <xf numFmtId="1" fontId="19" fillId="7" borderId="3" xfId="0" applyNumberFormat="1" applyFont="1" applyFill="1" applyBorder="1" applyAlignment="1">
      <alignment horizontal="right"/>
    </xf>
    <xf numFmtId="0" fontId="19" fillId="7" borderId="3" xfId="0" applyFont="1" applyFill="1" applyBorder="1" applyAlignment="1">
      <alignment horizontal="right"/>
    </xf>
    <xf numFmtId="0" fontId="16" fillId="7" borderId="0" xfId="0" applyFont="1" applyFill="1" applyAlignment="1">
      <alignment horizontal="left"/>
    </xf>
    <xf numFmtId="0" fontId="29" fillId="7" borderId="3" xfId="0" applyFont="1" applyFill="1" applyBorder="1" applyAlignment="1">
      <alignment horizontal="center" vertical="center"/>
    </xf>
    <xf numFmtId="3" fontId="19" fillId="7" borderId="0" xfId="0" applyNumberFormat="1" applyFont="1" applyFill="1" applyAlignment="1">
      <alignment horizontal="center"/>
    </xf>
    <xf numFmtId="0" fontId="21" fillId="7" borderId="3" xfId="0" applyFont="1" applyFill="1" applyBorder="1" applyAlignment="1">
      <alignment horizontal="center"/>
    </xf>
    <xf numFmtId="3" fontId="16" fillId="12" borderId="3" xfId="0" applyNumberFormat="1" applyFont="1" applyFill="1" applyBorder="1"/>
    <xf numFmtId="0" fontId="29" fillId="12" borderId="3" xfId="0" applyFont="1" applyFill="1" applyBorder="1" applyAlignment="1">
      <alignment horizontal="center" vertical="center"/>
    </xf>
    <xf numFmtId="3" fontId="19" fillId="12" borderId="0" xfId="0" applyNumberFormat="1" applyFont="1" applyFill="1" applyAlignment="1">
      <alignment horizontal="center"/>
    </xf>
    <xf numFmtId="0" fontId="21" fillId="12" borderId="3" xfId="0" applyFont="1" applyFill="1" applyBorder="1" applyAlignment="1">
      <alignment horizontal="center"/>
    </xf>
    <xf numFmtId="0" fontId="9" fillId="22" borderId="0" xfId="0" applyFont="1" applyFill="1" applyAlignment="1">
      <alignment horizontal="left"/>
    </xf>
    <xf numFmtId="0" fontId="27" fillId="22" borderId="9" xfId="0" applyFont="1" applyFill="1" applyBorder="1" applyAlignment="1">
      <alignment horizontal="center" vertical="center"/>
    </xf>
    <xf numFmtId="3" fontId="19" fillId="7" borderId="0" xfId="0" applyNumberFormat="1" applyFont="1" applyFill="1" applyAlignment="1">
      <alignment horizontal="center" vertical="center"/>
    </xf>
    <xf numFmtId="3" fontId="19" fillId="12" borderId="0" xfId="0" applyNumberFormat="1" applyFont="1" applyFill="1" applyAlignment="1">
      <alignment horizontal="center" vertical="center"/>
    </xf>
    <xf numFmtId="0" fontId="27" fillId="7" borderId="3" xfId="0" applyFont="1" applyFill="1" applyBorder="1" applyAlignment="1">
      <alignment horizontal="center" vertical="center"/>
    </xf>
    <xf numFmtId="1" fontId="21" fillId="7" borderId="3" xfId="0" applyNumberFormat="1" applyFont="1" applyFill="1" applyBorder="1" applyAlignment="1">
      <alignment horizontal="right"/>
    </xf>
    <xf numFmtId="1" fontId="21" fillId="12" borderId="3" xfId="0" applyNumberFormat="1" applyFont="1" applyFill="1" applyBorder="1" applyAlignment="1">
      <alignment horizontal="right"/>
    </xf>
    <xf numFmtId="0" fontId="19" fillId="7" borderId="3" xfId="0" applyFont="1" applyFill="1" applyBorder="1" applyAlignment="1">
      <alignment horizontal="center"/>
    </xf>
    <xf numFmtId="0" fontId="19" fillId="12" borderId="3" xfId="0" applyFont="1" applyFill="1" applyBorder="1" applyAlignment="1">
      <alignment horizontal="right"/>
    </xf>
    <xf numFmtId="0" fontId="25" fillId="12" borderId="0" xfId="0" applyFont="1" applyFill="1" applyAlignment="1">
      <alignment horizontal="left"/>
    </xf>
    <xf numFmtId="0" fontId="21" fillId="12" borderId="3" xfId="0" applyFont="1" applyFill="1" applyBorder="1" applyAlignment="1">
      <alignment horizontal="right"/>
    </xf>
    <xf numFmtId="0" fontId="29" fillId="7" borderId="3" xfId="0" applyFont="1" applyFill="1" applyBorder="1" applyAlignment="1">
      <alignment vertical="center"/>
    </xf>
    <xf numFmtId="0" fontId="29" fillId="12" borderId="3" xfId="0" applyFont="1" applyFill="1" applyBorder="1" applyAlignment="1">
      <alignment vertical="center"/>
    </xf>
    <xf numFmtId="0" fontId="25" fillId="12" borderId="0" xfId="0" applyFont="1" applyFill="1"/>
    <xf numFmtId="0" fontId="29" fillId="12" borderId="3" xfId="0" applyFont="1" applyFill="1" applyBorder="1"/>
    <xf numFmtId="0" fontId="31" fillId="4" borderId="0" xfId="0" applyFont="1" applyFill="1" applyAlignment="1">
      <alignment horizontal="center" vertical="center" wrapText="1"/>
    </xf>
    <xf numFmtId="1" fontId="19" fillId="12" borderId="3" xfId="0" applyNumberFormat="1" applyFont="1" applyFill="1" applyBorder="1" applyAlignment="1">
      <alignment horizontal="right"/>
    </xf>
    <xf numFmtId="0" fontId="25" fillId="12" borderId="3" xfId="0" applyFont="1" applyFill="1" applyBorder="1" applyAlignment="1">
      <alignment horizontal="center"/>
    </xf>
    <xf numFmtId="0" fontId="25" fillId="7" borderId="3" xfId="0" applyFont="1" applyFill="1" applyBorder="1"/>
    <xf numFmtId="1" fontId="31" fillId="4" borderId="0" xfId="0" applyNumberFormat="1" applyFont="1" applyFill="1" applyAlignment="1">
      <alignment horizontal="center" vertical="center" wrapText="1"/>
    </xf>
    <xf numFmtId="1" fontId="19" fillId="7" borderId="0" xfId="0" applyNumberFormat="1" applyFont="1" applyFill="1" applyAlignment="1">
      <alignment horizontal="left" vertical="center" wrapText="1"/>
    </xf>
    <xf numFmtId="1" fontId="19" fillId="7" borderId="3" xfId="0" applyNumberFormat="1" applyFont="1" applyFill="1" applyBorder="1" applyAlignment="1">
      <alignment horizontal="center" vertical="center" wrapText="1"/>
    </xf>
    <xf numFmtId="2" fontId="31" fillId="4" borderId="0" xfId="0" applyNumberFormat="1" applyFont="1" applyFill="1" applyAlignment="1">
      <alignment horizontal="center" vertical="center" wrapText="1"/>
    </xf>
    <xf numFmtId="1" fontId="19" fillId="12" borderId="0" xfId="0" applyNumberFormat="1" applyFont="1" applyFill="1" applyAlignment="1">
      <alignment horizontal="left" vertical="center" wrapText="1"/>
    </xf>
    <xf numFmtId="1" fontId="19" fillId="12" borderId="3" xfId="0" applyNumberFormat="1" applyFont="1" applyFill="1" applyBorder="1" applyAlignment="1">
      <alignment horizontal="center" vertical="center" wrapText="1"/>
    </xf>
    <xf numFmtId="0" fontId="34" fillId="7" borderId="3" xfId="0" applyFont="1" applyFill="1" applyBorder="1" applyAlignment="1">
      <alignment horizontal="center"/>
    </xf>
    <xf numFmtId="2" fontId="31" fillId="4" borderId="0" xfId="0" applyNumberFormat="1" applyFont="1" applyFill="1" applyAlignment="1">
      <alignment horizontal="center" vertical="center"/>
    </xf>
    <xf numFmtId="0" fontId="35" fillId="12" borderId="3" xfId="0" applyFont="1" applyFill="1" applyBorder="1"/>
    <xf numFmtId="0" fontId="26" fillId="4" borderId="0" xfId="0" applyFont="1" applyFill="1" applyAlignment="1">
      <alignment horizontal="left" vertical="center" wrapText="1"/>
    </xf>
    <xf numFmtId="0" fontId="35" fillId="7" borderId="3" xfId="0" applyFont="1" applyFill="1" applyBorder="1"/>
    <xf numFmtId="0" fontId="19" fillId="12" borderId="0" xfId="0" applyFont="1" applyFill="1" applyAlignment="1">
      <alignment horizontal="left" wrapText="1"/>
    </xf>
    <xf numFmtId="0" fontId="21" fillId="12" borderId="3" xfId="0" applyFont="1" applyFill="1" applyBorder="1" applyAlignment="1">
      <alignment horizontal="left"/>
    </xf>
    <xf numFmtId="1" fontId="36" fillId="4" borderId="0" xfId="0" applyNumberFormat="1" applyFont="1" applyFill="1" applyAlignment="1">
      <alignment horizontal="center" vertical="center"/>
    </xf>
    <xf numFmtId="0" fontId="16" fillId="26" borderId="0" xfId="0" applyFont="1" applyFill="1"/>
    <xf numFmtId="0" fontId="34" fillId="26" borderId="3" xfId="0" applyFont="1" applyFill="1" applyBorder="1"/>
    <xf numFmtId="1" fontId="36" fillId="4" borderId="0" xfId="0" applyNumberFormat="1" applyFont="1" applyFill="1" applyAlignment="1">
      <alignment horizontal="center" vertical="center" wrapText="1"/>
    </xf>
    <xf numFmtId="0" fontId="34" fillId="7" borderId="3" xfId="0" applyFont="1" applyFill="1" applyBorder="1"/>
    <xf numFmtId="0" fontId="34" fillId="26" borderId="3" xfId="0" applyFont="1" applyFill="1" applyBorder="1" applyAlignment="1">
      <alignment horizontal="center"/>
    </xf>
    <xf numFmtId="0" fontId="19" fillId="4" borderId="0" xfId="0" applyFont="1" applyFill="1" applyAlignment="1">
      <alignment horizontal="left"/>
    </xf>
    <xf numFmtId="0" fontId="21" fillId="4" borderId="0" xfId="0" applyFont="1" applyFill="1" applyAlignment="1">
      <alignment horizontal="left"/>
    </xf>
    <xf numFmtId="0" fontId="34" fillId="12" borderId="3" xfId="0" applyFont="1" applyFill="1" applyBorder="1" applyAlignment="1">
      <alignment horizontal="left"/>
    </xf>
    <xf numFmtId="0" fontId="7" fillId="4" borderId="0" xfId="0" applyFont="1" applyFill="1" applyAlignment="1">
      <alignment horizontal="center" vertical="center"/>
    </xf>
    <xf numFmtId="1" fontId="38" fillId="4" borderId="0" xfId="0" applyNumberFormat="1" applyFont="1" applyFill="1" applyAlignment="1">
      <alignment horizontal="center" vertical="center"/>
    </xf>
    <xf numFmtId="0" fontId="38" fillId="4" borderId="0" xfId="0" applyFont="1" applyFill="1" applyAlignment="1">
      <alignment horizontal="center" vertical="center"/>
    </xf>
    <xf numFmtId="0" fontId="41" fillId="25" borderId="0" xfId="0" applyFont="1" applyFill="1"/>
    <xf numFmtId="0" fontId="27" fillId="23" borderId="0" xfId="0" applyFont="1" applyFill="1" applyAlignment="1">
      <alignment horizontal="center"/>
    </xf>
    <xf numFmtId="0" fontId="16" fillId="0" borderId="0" xfId="0" applyFont="1" applyAlignment="1">
      <alignment horizontal="center"/>
    </xf>
    <xf numFmtId="0" fontId="9" fillId="30" borderId="0" xfId="0" applyFont="1" applyFill="1" applyAlignment="1">
      <alignment horizontal="center"/>
    </xf>
    <xf numFmtId="1" fontId="16" fillId="0" borderId="0" xfId="0" applyNumberFormat="1" applyFont="1" applyAlignment="1">
      <alignment horizontal="right"/>
    </xf>
    <xf numFmtId="1" fontId="16" fillId="0" borderId="0" xfId="0" applyNumberFormat="1" applyFont="1"/>
    <xf numFmtId="0" fontId="43" fillId="26" borderId="9" xfId="0" applyFont="1" applyFill="1" applyBorder="1" applyAlignment="1">
      <alignment horizontal="center" vertical="center"/>
    </xf>
    <xf numFmtId="0" fontId="40" fillId="0" borderId="9" xfId="0" applyFont="1" applyBorder="1" applyAlignment="1">
      <alignment horizontal="center" vertical="center"/>
    </xf>
    <xf numFmtId="49" fontId="40" fillId="0" borderId="9" xfId="0" applyNumberFormat="1" applyFont="1" applyBorder="1" applyAlignment="1">
      <alignment horizontal="center" vertical="center"/>
    </xf>
    <xf numFmtId="165" fontId="40" fillId="0" borderId="0" xfId="0" applyNumberFormat="1" applyFont="1" applyAlignment="1">
      <alignment horizontal="center" vertical="center"/>
    </xf>
    <xf numFmtId="165" fontId="40" fillId="0" borderId="12" xfId="0" applyNumberFormat="1" applyFont="1" applyBorder="1" applyAlignment="1">
      <alignment horizontal="center" vertical="center"/>
    </xf>
    <xf numFmtId="0" fontId="16" fillId="0" borderId="0" xfId="0" applyFont="1"/>
    <xf numFmtId="0" fontId="8" fillId="4" borderId="0" xfId="0" applyFont="1" applyFill="1"/>
    <xf numFmtId="0" fontId="8" fillId="0" borderId="0" xfId="0" applyFont="1"/>
    <xf numFmtId="1" fontId="16" fillId="4" borderId="0" xfId="0" applyNumberFormat="1" applyFont="1" applyFill="1"/>
    <xf numFmtId="2" fontId="16" fillId="4" borderId="0" xfId="0" applyNumberFormat="1" applyFont="1" applyFill="1"/>
    <xf numFmtId="0" fontId="25" fillId="26" borderId="15" xfId="0" applyFont="1" applyFill="1" applyBorder="1"/>
    <xf numFmtId="3" fontId="25" fillId="26" borderId="16" xfId="0" applyNumberFormat="1" applyFont="1" applyFill="1" applyBorder="1" applyAlignment="1">
      <alignment horizontal="right"/>
    </xf>
    <xf numFmtId="1" fontId="25" fillId="26" borderId="16" xfId="0" applyNumberFormat="1" applyFont="1" applyFill="1" applyBorder="1" applyAlignment="1">
      <alignment horizontal="right"/>
    </xf>
    <xf numFmtId="0" fontId="16" fillId="26" borderId="15" xfId="0" applyFont="1" applyFill="1" applyBorder="1"/>
    <xf numFmtId="9" fontId="25" fillId="26" borderId="16" xfId="0" applyNumberFormat="1" applyFont="1" applyFill="1" applyBorder="1" applyAlignment="1">
      <alignment horizontal="right"/>
    </xf>
    <xf numFmtId="2" fontId="25" fillId="26" borderId="16" xfId="0" applyNumberFormat="1" applyFont="1" applyFill="1" applyBorder="1" applyAlignment="1">
      <alignment horizontal="right"/>
    </xf>
    <xf numFmtId="0" fontId="25" fillId="24" borderId="15" xfId="0" applyFont="1" applyFill="1" applyBorder="1"/>
    <xf numFmtId="1" fontId="25" fillId="24" borderId="16" xfId="0" applyNumberFormat="1" applyFont="1" applyFill="1" applyBorder="1" applyAlignment="1">
      <alignment horizontal="right"/>
    </xf>
    <xf numFmtId="0" fontId="25" fillId="24" borderId="16" xfId="0" applyFont="1" applyFill="1" applyBorder="1" applyAlignment="1">
      <alignment horizontal="right"/>
    </xf>
    <xf numFmtId="3" fontId="25" fillId="24" borderId="16" xfId="0" applyNumberFormat="1" applyFont="1" applyFill="1" applyBorder="1" applyAlignment="1">
      <alignment horizontal="right"/>
    </xf>
    <xf numFmtId="0" fontId="16" fillId="24" borderId="15" xfId="0" applyFont="1" applyFill="1" applyBorder="1"/>
    <xf numFmtId="9" fontId="25" fillId="24" borderId="16" xfId="0" applyNumberFormat="1" applyFont="1" applyFill="1" applyBorder="1" applyAlignment="1">
      <alignment horizontal="right"/>
    </xf>
    <xf numFmtId="2" fontId="25" fillId="24" borderId="16" xfId="0" applyNumberFormat="1" applyFont="1" applyFill="1" applyBorder="1" applyAlignment="1">
      <alignment horizontal="right"/>
    </xf>
    <xf numFmtId="0" fontId="16" fillId="26" borderId="16" xfId="0" applyFont="1" applyFill="1" applyBorder="1"/>
    <xf numFmtId="1" fontId="16" fillId="26" borderId="16" xfId="0" applyNumberFormat="1" applyFont="1" applyFill="1" applyBorder="1" applyAlignment="1">
      <alignment horizontal="right"/>
    </xf>
    <xf numFmtId="9" fontId="16" fillId="26" borderId="16" xfId="0" applyNumberFormat="1" applyFont="1" applyFill="1" applyBorder="1" applyAlignment="1">
      <alignment horizontal="right"/>
    </xf>
    <xf numFmtId="0" fontId="16" fillId="24" borderId="16" xfId="0" applyFont="1" applyFill="1" applyBorder="1"/>
    <xf numFmtId="1" fontId="16" fillId="24" borderId="16" xfId="0" applyNumberFormat="1" applyFont="1" applyFill="1" applyBorder="1" applyAlignment="1">
      <alignment horizontal="right"/>
    </xf>
    <xf numFmtId="0" fontId="32" fillId="34" borderId="15" xfId="0" applyFont="1" applyFill="1" applyBorder="1"/>
    <xf numFmtId="9" fontId="25" fillId="34" borderId="16" xfId="0" applyNumberFormat="1" applyFont="1" applyFill="1" applyBorder="1" applyAlignment="1">
      <alignment horizontal="right"/>
    </xf>
    <xf numFmtId="0" fontId="25" fillId="26" borderId="16" xfId="0" applyFont="1" applyFill="1" applyBorder="1" applyAlignment="1">
      <alignment horizontal="right"/>
    </xf>
    <xf numFmtId="0" fontId="16" fillId="26" borderId="16" xfId="0" applyFont="1" applyFill="1" applyBorder="1" applyAlignment="1">
      <alignment horizontal="right"/>
    </xf>
    <xf numFmtId="166" fontId="16" fillId="26" borderId="16" xfId="0" applyNumberFormat="1" applyFont="1" applyFill="1" applyBorder="1" applyAlignment="1">
      <alignment horizontal="right"/>
    </xf>
    <xf numFmtId="2" fontId="16" fillId="26" borderId="16" xfId="0" applyNumberFormat="1" applyFont="1" applyFill="1" applyBorder="1"/>
    <xf numFmtId="167" fontId="16" fillId="26" borderId="16" xfId="0" applyNumberFormat="1" applyFont="1" applyFill="1" applyBorder="1"/>
    <xf numFmtId="9" fontId="16" fillId="24" borderId="16" xfId="0" applyNumberFormat="1" applyFont="1" applyFill="1" applyBorder="1"/>
    <xf numFmtId="9" fontId="16" fillId="24" borderId="16" xfId="0" applyNumberFormat="1" applyFont="1" applyFill="1" applyBorder="1" applyAlignment="1">
      <alignment horizontal="right"/>
    </xf>
    <xf numFmtId="9" fontId="16" fillId="26" borderId="16" xfId="0" applyNumberFormat="1" applyFont="1" applyFill="1" applyBorder="1"/>
    <xf numFmtId="0" fontId="24" fillId="34" borderId="15" xfId="0" applyFont="1" applyFill="1" applyBorder="1"/>
    <xf numFmtId="9" fontId="16" fillId="34" borderId="16" xfId="0" applyNumberFormat="1" applyFont="1" applyFill="1" applyBorder="1" applyAlignment="1">
      <alignment horizontal="right"/>
    </xf>
    <xf numFmtId="0" fontId="32" fillId="34" borderId="17" xfId="0" applyFont="1" applyFill="1" applyBorder="1"/>
    <xf numFmtId="1" fontId="25" fillId="34" borderId="18" xfId="0" applyNumberFormat="1" applyFont="1" applyFill="1" applyBorder="1" applyAlignment="1">
      <alignment horizontal="right"/>
    </xf>
    <xf numFmtId="9" fontId="25" fillId="34" borderId="18" xfId="0" applyNumberFormat="1" applyFont="1" applyFill="1" applyBorder="1" applyAlignment="1">
      <alignment horizontal="right"/>
    </xf>
    <xf numFmtId="0" fontId="16" fillId="24" borderId="17" xfId="0" applyFont="1" applyFill="1" applyBorder="1"/>
    <xf numFmtId="9" fontId="16" fillId="24" borderId="18" xfId="0" applyNumberFormat="1" applyFont="1" applyFill="1" applyBorder="1"/>
    <xf numFmtId="0" fontId="32" fillId="35" borderId="0" xfId="0" applyFont="1" applyFill="1"/>
    <xf numFmtId="0" fontId="25" fillId="35" borderId="0" xfId="0" applyFont="1" applyFill="1" applyAlignment="1">
      <alignment horizontal="right"/>
    </xf>
    <xf numFmtId="0" fontId="25" fillId="30" borderId="0" xfId="0" applyFont="1" applyFill="1"/>
    <xf numFmtId="0" fontId="25" fillId="30" borderId="0" xfId="0" applyFont="1" applyFill="1" applyAlignment="1">
      <alignment horizontal="right"/>
    </xf>
    <xf numFmtId="0" fontId="32" fillId="30" borderId="0" xfId="0" applyFont="1" applyFill="1"/>
    <xf numFmtId="0" fontId="24" fillId="5" borderId="0" xfId="0" applyFont="1" applyFill="1"/>
    <xf numFmtId="1" fontId="16" fillId="5" borderId="0" xfId="0" applyNumberFormat="1" applyFont="1" applyFill="1" applyAlignment="1">
      <alignment horizontal="right"/>
    </xf>
    <xf numFmtId="0" fontId="32" fillId="5" borderId="0" xfId="0" applyFont="1" applyFill="1"/>
    <xf numFmtId="1" fontId="25" fillId="5" borderId="0" xfId="0" applyNumberFormat="1" applyFont="1" applyFill="1" applyAlignment="1">
      <alignment horizontal="right"/>
    </xf>
    <xf numFmtId="0" fontId="25" fillId="5" borderId="0" xfId="0" applyFont="1" applyFill="1" applyAlignment="1">
      <alignment horizontal="right"/>
    </xf>
    <xf numFmtId="3" fontId="16" fillId="24" borderId="16" xfId="0" applyNumberFormat="1" applyFont="1" applyFill="1" applyBorder="1"/>
    <xf numFmtId="168" fontId="25" fillId="26" borderId="16" xfId="0" applyNumberFormat="1" applyFont="1" applyFill="1" applyBorder="1" applyAlignment="1">
      <alignment horizontal="right"/>
    </xf>
    <xf numFmtId="166" fontId="25" fillId="26" borderId="16" xfId="0" applyNumberFormat="1" applyFont="1" applyFill="1" applyBorder="1" applyAlignment="1">
      <alignment horizontal="right"/>
    </xf>
    <xf numFmtId="166" fontId="25" fillId="24" borderId="16" xfId="0" applyNumberFormat="1" applyFont="1" applyFill="1" applyBorder="1" applyAlignment="1">
      <alignment horizontal="right"/>
    </xf>
    <xf numFmtId="166" fontId="16" fillId="24" borderId="16" xfId="0" applyNumberFormat="1" applyFont="1" applyFill="1" applyBorder="1" applyAlignment="1">
      <alignment horizontal="right"/>
    </xf>
    <xf numFmtId="168" fontId="25" fillId="24" borderId="16" xfId="0" applyNumberFormat="1" applyFont="1" applyFill="1" applyBorder="1" applyAlignment="1">
      <alignment horizontal="right"/>
    </xf>
    <xf numFmtId="3" fontId="16" fillId="26" borderId="16" xfId="0" applyNumberFormat="1" applyFont="1" applyFill="1" applyBorder="1" applyAlignment="1">
      <alignment horizontal="right"/>
    </xf>
    <xf numFmtId="164" fontId="25" fillId="34" borderId="18" xfId="0" applyNumberFormat="1" applyFont="1" applyFill="1" applyBorder="1" applyAlignment="1">
      <alignment horizontal="right"/>
    </xf>
    <xf numFmtId="3" fontId="25" fillId="34" borderId="18" xfId="0" applyNumberFormat="1" applyFont="1" applyFill="1" applyBorder="1" applyAlignment="1">
      <alignment horizontal="right"/>
    </xf>
    <xf numFmtId="166" fontId="25" fillId="34" borderId="18" xfId="0" applyNumberFormat="1" applyFont="1" applyFill="1" applyBorder="1" applyAlignment="1">
      <alignment horizontal="right"/>
    </xf>
    <xf numFmtId="1" fontId="16" fillId="24" borderId="18" xfId="0" applyNumberFormat="1" applyFont="1" applyFill="1" applyBorder="1"/>
    <xf numFmtId="9" fontId="16" fillId="34" borderId="18" xfId="0" applyNumberFormat="1" applyFont="1" applyFill="1" applyBorder="1" applyAlignment="1">
      <alignment horizontal="right"/>
    </xf>
    <xf numFmtId="0" fontId="11" fillId="34" borderId="17" xfId="0" applyFont="1" applyFill="1" applyBorder="1"/>
    <xf numFmtId="0" fontId="11" fillId="26" borderId="15" xfId="0" applyFont="1" applyFill="1" applyBorder="1"/>
    <xf numFmtId="3" fontId="25" fillId="26" borderId="0" xfId="0" applyNumberFormat="1" applyFont="1" applyFill="1" applyAlignment="1">
      <alignment horizontal="right"/>
    </xf>
    <xf numFmtId="0" fontId="25" fillId="26" borderId="0" xfId="0" applyFont="1" applyFill="1"/>
    <xf numFmtId="0" fontId="16" fillId="24" borderId="16" xfId="0" applyFont="1" applyFill="1" applyBorder="1" applyAlignment="1">
      <alignment horizontal="right"/>
    </xf>
    <xf numFmtId="3" fontId="25" fillId="24" borderId="0" xfId="0" applyNumberFormat="1" applyFont="1" applyFill="1" applyAlignment="1">
      <alignment horizontal="right"/>
    </xf>
    <xf numFmtId="0" fontId="16" fillId="24" borderId="0" xfId="0" applyFont="1" applyFill="1"/>
    <xf numFmtId="1" fontId="25" fillId="26" borderId="0" xfId="0" applyNumberFormat="1" applyFont="1" applyFill="1" applyAlignment="1">
      <alignment horizontal="right"/>
    </xf>
    <xf numFmtId="1" fontId="25" fillId="34" borderId="16" xfId="0" applyNumberFormat="1" applyFont="1" applyFill="1" applyBorder="1" applyAlignment="1">
      <alignment horizontal="right"/>
    </xf>
    <xf numFmtId="1" fontId="25" fillId="24" borderId="0" xfId="0" applyNumberFormat="1" applyFont="1" applyFill="1" applyAlignment="1">
      <alignment horizontal="right"/>
    </xf>
    <xf numFmtId="167" fontId="25" fillId="34" borderId="18" xfId="0" applyNumberFormat="1" applyFont="1" applyFill="1" applyBorder="1" applyAlignment="1">
      <alignment horizontal="right"/>
    </xf>
    <xf numFmtId="2" fontId="16" fillId="26" borderId="16" xfId="0" applyNumberFormat="1" applyFont="1" applyFill="1" applyBorder="1" applyAlignment="1">
      <alignment horizontal="right"/>
    </xf>
    <xf numFmtId="4" fontId="16" fillId="24" borderId="16" xfId="0" applyNumberFormat="1" applyFont="1" applyFill="1" applyBorder="1"/>
    <xf numFmtId="1" fontId="16" fillId="26" borderId="15" xfId="0" applyNumberFormat="1" applyFont="1" applyFill="1" applyBorder="1"/>
    <xf numFmtId="4" fontId="16" fillId="26" borderId="16" xfId="0" applyNumberFormat="1" applyFont="1" applyFill="1" applyBorder="1"/>
    <xf numFmtId="3" fontId="25" fillId="34" borderId="16" xfId="0" applyNumberFormat="1" applyFont="1" applyFill="1" applyBorder="1" applyAlignment="1">
      <alignment horizontal="right"/>
    </xf>
    <xf numFmtId="164" fontId="16" fillId="26" borderId="0" xfId="0" applyNumberFormat="1" applyFont="1" applyFill="1"/>
    <xf numFmtId="4" fontId="16" fillId="24" borderId="18" xfId="0" applyNumberFormat="1" applyFont="1" applyFill="1" applyBorder="1"/>
    <xf numFmtId="0" fontId="16" fillId="24" borderId="18" xfId="0" applyFont="1" applyFill="1" applyBorder="1"/>
    <xf numFmtId="0" fontId="16" fillId="24" borderId="20" xfId="0" applyFont="1" applyFill="1" applyBorder="1"/>
    <xf numFmtId="164" fontId="16" fillId="24" borderId="18" xfId="0" applyNumberFormat="1" applyFont="1" applyFill="1" applyBorder="1"/>
    <xf numFmtId="3" fontId="16" fillId="4" borderId="0" xfId="0" applyNumberFormat="1" applyFont="1" applyFill="1"/>
    <xf numFmtId="0" fontId="16" fillId="12" borderId="15" xfId="0" applyFont="1" applyFill="1" applyBorder="1"/>
    <xf numFmtId="0" fontId="16" fillId="12" borderId="16" xfId="0" applyFont="1" applyFill="1" applyBorder="1" applyAlignment="1">
      <alignment horizontal="center"/>
    </xf>
    <xf numFmtId="0" fontId="16" fillId="7" borderId="15" xfId="0" applyFont="1" applyFill="1" applyBorder="1"/>
    <xf numFmtId="0" fontId="16" fillId="7" borderId="16" xfId="0" applyFont="1" applyFill="1" applyBorder="1" applyAlignment="1">
      <alignment horizontal="center"/>
    </xf>
    <xf numFmtId="1" fontId="16" fillId="7" borderId="0" xfId="0" applyNumberFormat="1" applyFont="1" applyFill="1"/>
    <xf numFmtId="0" fontId="16" fillId="7" borderId="21" xfId="0" applyFont="1" applyFill="1" applyBorder="1"/>
    <xf numFmtId="0" fontId="16" fillId="7" borderId="22" xfId="0" applyFont="1" applyFill="1" applyBorder="1" applyAlignment="1">
      <alignment horizontal="right"/>
    </xf>
    <xf numFmtId="0" fontId="16" fillId="7" borderId="15" xfId="0" applyFont="1" applyFill="1" applyBorder="1" applyAlignment="1">
      <alignment horizontal="right"/>
    </xf>
    <xf numFmtId="0" fontId="16" fillId="12" borderId="15" xfId="0" applyFont="1" applyFill="1" applyBorder="1" applyAlignment="1">
      <alignment horizontal="right"/>
    </xf>
    <xf numFmtId="1" fontId="16" fillId="7" borderId="15" xfId="0" applyNumberFormat="1" applyFont="1" applyFill="1" applyBorder="1"/>
    <xf numFmtId="0" fontId="25" fillId="7" borderId="16" xfId="0" applyFont="1" applyFill="1" applyBorder="1" applyAlignment="1">
      <alignment horizontal="center"/>
    </xf>
    <xf numFmtId="0" fontId="25" fillId="7" borderId="15" xfId="0" applyFont="1" applyFill="1" applyBorder="1"/>
    <xf numFmtId="166" fontId="25" fillId="7" borderId="16" xfId="0" applyNumberFormat="1" applyFont="1" applyFill="1" applyBorder="1" applyAlignment="1">
      <alignment horizontal="right"/>
    </xf>
    <xf numFmtId="0" fontId="25" fillId="12" borderId="15" xfId="0" applyFont="1" applyFill="1" applyBorder="1"/>
    <xf numFmtId="0" fontId="16" fillId="7" borderId="16" xfId="0" applyFont="1" applyFill="1" applyBorder="1"/>
    <xf numFmtId="0" fontId="16" fillId="12" borderId="16" xfId="0" applyFont="1" applyFill="1" applyBorder="1"/>
    <xf numFmtId="1" fontId="16" fillId="12" borderId="16" xfId="0" applyNumberFormat="1" applyFont="1" applyFill="1" applyBorder="1" applyAlignment="1">
      <alignment horizontal="center"/>
    </xf>
    <xf numFmtId="1" fontId="16" fillId="7" borderId="16" xfId="0" applyNumberFormat="1" applyFont="1" applyFill="1" applyBorder="1" applyAlignment="1">
      <alignment horizontal="center"/>
    </xf>
    <xf numFmtId="0" fontId="16" fillId="12" borderId="17" xfId="0" applyFont="1" applyFill="1" applyBorder="1"/>
    <xf numFmtId="1" fontId="16" fillId="12" borderId="18" xfId="0" applyNumberFormat="1" applyFont="1" applyFill="1" applyBorder="1" applyAlignment="1">
      <alignment horizontal="center"/>
    </xf>
    <xf numFmtId="0" fontId="16" fillId="7" borderId="17" xfId="0" applyFont="1" applyFill="1" applyBorder="1"/>
    <xf numFmtId="0" fontId="16" fillId="7" borderId="18" xfId="0" applyFont="1" applyFill="1" applyBorder="1"/>
    <xf numFmtId="0" fontId="16" fillId="7" borderId="17" xfId="0" applyFont="1" applyFill="1" applyBorder="1" applyAlignment="1">
      <alignment horizontal="right"/>
    </xf>
    <xf numFmtId="0" fontId="16" fillId="7" borderId="18" xfId="0" applyFont="1" applyFill="1" applyBorder="1" applyAlignment="1">
      <alignment horizontal="center"/>
    </xf>
    <xf numFmtId="0" fontId="16" fillId="12" borderId="23" xfId="0" applyFont="1" applyFill="1" applyBorder="1" applyAlignment="1">
      <alignment horizontal="center"/>
    </xf>
    <xf numFmtId="0" fontId="25" fillId="12" borderId="16" xfId="0" applyFont="1" applyFill="1" applyBorder="1" applyAlignment="1">
      <alignment horizontal="center"/>
    </xf>
    <xf numFmtId="0" fontId="16" fillId="7" borderId="24" xfId="0" applyFont="1" applyFill="1" applyBorder="1"/>
    <xf numFmtId="0" fontId="16" fillId="7" borderId="16" xfId="0" applyFont="1" applyFill="1" applyBorder="1" applyAlignment="1">
      <alignment horizontal="right"/>
    </xf>
    <xf numFmtId="0" fontId="16" fillId="12" borderId="24" xfId="0" applyFont="1" applyFill="1" applyBorder="1"/>
    <xf numFmtId="0" fontId="16" fillId="12" borderId="16" xfId="0" applyFont="1" applyFill="1" applyBorder="1" applyAlignment="1">
      <alignment horizontal="right"/>
    </xf>
    <xf numFmtId="0" fontId="16" fillId="12" borderId="25" xfId="0" applyFont="1" applyFill="1" applyBorder="1"/>
    <xf numFmtId="0" fontId="16" fillId="12" borderId="18" xfId="0" applyFont="1" applyFill="1" applyBorder="1" applyAlignment="1">
      <alignment horizontal="center"/>
    </xf>
    <xf numFmtId="0" fontId="16" fillId="12" borderId="18" xfId="0" applyFont="1" applyFill="1" applyBorder="1" applyAlignment="1">
      <alignment horizontal="right"/>
    </xf>
    <xf numFmtId="0" fontId="11" fillId="36" borderId="26" xfId="0" applyFont="1" applyFill="1" applyBorder="1" applyAlignment="1">
      <alignment horizontal="left"/>
    </xf>
    <xf numFmtId="1" fontId="19" fillId="27" borderId="27" xfId="0" applyNumberFormat="1" applyFont="1" applyFill="1" applyBorder="1" applyAlignment="1">
      <alignment horizontal="center"/>
    </xf>
    <xf numFmtId="166" fontId="19" fillId="27" borderId="27" xfId="0" applyNumberFormat="1" applyFont="1" applyFill="1" applyBorder="1" applyAlignment="1">
      <alignment horizontal="center"/>
    </xf>
    <xf numFmtId="1" fontId="19" fillId="37" borderId="27" xfId="0" applyNumberFormat="1" applyFont="1" applyFill="1" applyBorder="1" applyAlignment="1">
      <alignment horizontal="center"/>
    </xf>
    <xf numFmtId="166" fontId="19" fillId="37" borderId="27" xfId="0" applyNumberFormat="1" applyFont="1" applyFill="1" applyBorder="1" applyAlignment="1">
      <alignment horizontal="center"/>
    </xf>
    <xf numFmtId="3" fontId="19" fillId="2" borderId="27" xfId="0" applyNumberFormat="1" applyFont="1" applyFill="1" applyBorder="1" applyAlignment="1">
      <alignment horizontal="center"/>
    </xf>
    <xf numFmtId="1" fontId="19" fillId="2" borderId="27" xfId="0" applyNumberFormat="1" applyFont="1" applyFill="1" applyBorder="1" applyAlignment="1">
      <alignment horizontal="center"/>
    </xf>
    <xf numFmtId="168" fontId="19" fillId="38" borderId="27" xfId="0" applyNumberFormat="1" applyFont="1" applyFill="1" applyBorder="1" applyAlignment="1">
      <alignment horizontal="center"/>
    </xf>
    <xf numFmtId="10" fontId="19" fillId="38" borderId="27" xfId="0" applyNumberFormat="1" applyFont="1" applyFill="1" applyBorder="1" applyAlignment="1">
      <alignment horizontal="center"/>
    </xf>
    <xf numFmtId="1" fontId="19" fillId="14" borderId="27" xfId="0" applyNumberFormat="1" applyFont="1" applyFill="1" applyBorder="1" applyAlignment="1">
      <alignment horizontal="center"/>
    </xf>
    <xf numFmtId="1" fontId="19" fillId="10" borderId="27" xfId="0" applyNumberFormat="1" applyFont="1" applyFill="1" applyBorder="1" applyAlignment="1">
      <alignment horizontal="center"/>
    </xf>
    <xf numFmtId="166" fontId="19" fillId="10" borderId="27" xfId="0" applyNumberFormat="1" applyFont="1" applyFill="1" applyBorder="1" applyAlignment="1">
      <alignment horizontal="center"/>
    </xf>
    <xf numFmtId="0" fontId="19" fillId="39" borderId="27" xfId="0" applyFont="1" applyFill="1" applyBorder="1" applyAlignment="1">
      <alignment horizontal="center"/>
    </xf>
    <xf numFmtId="0" fontId="19" fillId="39" borderId="28" xfId="0" applyFont="1" applyFill="1" applyBorder="1" applyAlignment="1">
      <alignment horizontal="center"/>
    </xf>
    <xf numFmtId="1" fontId="25" fillId="0" borderId="29" xfId="0" applyNumberFormat="1" applyFont="1" applyBorder="1" applyAlignment="1">
      <alignment horizontal="center"/>
    </xf>
    <xf numFmtId="1" fontId="25" fillId="0" borderId="27" xfId="0" applyNumberFormat="1" applyFont="1" applyBorder="1" applyAlignment="1">
      <alignment horizontal="center"/>
    </xf>
    <xf numFmtId="1" fontId="25" fillId="0" borderId="28" xfId="0" applyNumberFormat="1" applyFont="1" applyBorder="1" applyAlignment="1">
      <alignment horizontal="center"/>
    </xf>
    <xf numFmtId="0" fontId="25" fillId="0" borderId="29" xfId="0" applyFont="1" applyBorder="1" applyAlignment="1">
      <alignment horizontal="center"/>
    </xf>
    <xf numFmtId="0" fontId="25" fillId="0" borderId="27" xfId="0" applyFont="1" applyBorder="1" applyAlignment="1">
      <alignment horizontal="center"/>
    </xf>
    <xf numFmtId="0" fontId="25" fillId="0" borderId="28" xfId="0" applyFont="1" applyBorder="1" applyAlignment="1">
      <alignment horizontal="center"/>
    </xf>
    <xf numFmtId="1" fontId="19" fillId="36" borderId="27" xfId="0" applyNumberFormat="1" applyFont="1" applyFill="1" applyBorder="1" applyAlignment="1">
      <alignment horizontal="center"/>
    </xf>
    <xf numFmtId="1" fontId="19" fillId="0" borderId="27" xfId="0" applyNumberFormat="1" applyFont="1" applyBorder="1" applyAlignment="1">
      <alignment horizontal="center"/>
    </xf>
    <xf numFmtId="166" fontId="19" fillId="0" borderId="27" xfId="0" applyNumberFormat="1" applyFont="1" applyBorder="1" applyAlignment="1">
      <alignment horizontal="center"/>
    </xf>
    <xf numFmtId="3" fontId="19" fillId="0" borderId="27" xfId="0" applyNumberFormat="1" applyFont="1" applyBorder="1" applyAlignment="1">
      <alignment horizontal="center"/>
    </xf>
    <xf numFmtId="168" fontId="19" fillId="0" borderId="27" xfId="0" applyNumberFormat="1" applyFont="1" applyBorder="1" applyAlignment="1">
      <alignment horizontal="center"/>
    </xf>
    <xf numFmtId="10" fontId="19" fillId="0" borderId="27" xfId="0" applyNumberFormat="1" applyFont="1" applyBorder="1" applyAlignment="1">
      <alignment horizontal="center"/>
    </xf>
    <xf numFmtId="0" fontId="19" fillId="36" borderId="27" xfId="0" applyFont="1" applyFill="1" applyBorder="1" applyAlignment="1">
      <alignment horizontal="center"/>
    </xf>
    <xf numFmtId="0" fontId="19" fillId="36" borderId="28" xfId="0" applyFont="1" applyFill="1" applyBorder="1" applyAlignment="1">
      <alignment horizontal="center"/>
    </xf>
    <xf numFmtId="1" fontId="25" fillId="12" borderId="29" xfId="0" applyNumberFormat="1" applyFont="1" applyFill="1" applyBorder="1" applyAlignment="1">
      <alignment horizontal="center"/>
    </xf>
    <xf numFmtId="1" fontId="25" fillId="12" borderId="27" xfId="0" applyNumberFormat="1" applyFont="1" applyFill="1" applyBorder="1" applyAlignment="1">
      <alignment horizontal="center"/>
    </xf>
    <xf numFmtId="1" fontId="25" fillId="12" borderId="28" xfId="0" applyNumberFormat="1" applyFont="1" applyFill="1" applyBorder="1" applyAlignment="1">
      <alignment horizontal="center"/>
    </xf>
    <xf numFmtId="1" fontId="25" fillId="7" borderId="29" xfId="0" applyNumberFormat="1" applyFont="1" applyFill="1" applyBorder="1" applyAlignment="1">
      <alignment horizontal="center"/>
    </xf>
    <xf numFmtId="1" fontId="25" fillId="7" borderId="27" xfId="0" applyNumberFormat="1" applyFont="1" applyFill="1" applyBorder="1" applyAlignment="1">
      <alignment horizontal="center"/>
    </xf>
    <xf numFmtId="1" fontId="25" fillId="7" borderId="28" xfId="0" applyNumberFormat="1" applyFont="1" applyFill="1" applyBorder="1" applyAlignment="1">
      <alignment horizontal="center"/>
    </xf>
    <xf numFmtId="0" fontId="11" fillId="0" borderId="26" xfId="0" applyFont="1" applyBorder="1" applyAlignment="1">
      <alignment horizontal="left"/>
    </xf>
    <xf numFmtId="166" fontId="25" fillId="0" borderId="27" xfId="0" applyNumberFormat="1" applyFont="1" applyBorder="1" applyAlignment="1">
      <alignment horizontal="center"/>
    </xf>
    <xf numFmtId="3" fontId="25" fillId="0" borderId="27" xfId="0" applyNumberFormat="1" applyFont="1" applyBorder="1" applyAlignment="1">
      <alignment horizontal="center"/>
    </xf>
    <xf numFmtId="168" fontId="25" fillId="0" borderId="27" xfId="0" applyNumberFormat="1" applyFont="1" applyBorder="1" applyAlignment="1">
      <alignment horizontal="center"/>
    </xf>
    <xf numFmtId="10" fontId="25" fillId="0" borderId="27" xfId="0" applyNumberFormat="1" applyFont="1" applyBorder="1" applyAlignment="1">
      <alignment horizontal="center"/>
    </xf>
    <xf numFmtId="164" fontId="25" fillId="0" borderId="28" xfId="0" applyNumberFormat="1" applyFont="1" applyBorder="1" applyAlignment="1">
      <alignment horizontal="center"/>
    </xf>
    <xf numFmtId="166" fontId="25" fillId="0" borderId="29" xfId="0" applyNumberFormat="1" applyFont="1" applyBorder="1" applyAlignment="1">
      <alignment horizontal="center"/>
    </xf>
    <xf numFmtId="2" fontId="25" fillId="0" borderId="29" xfId="0" applyNumberFormat="1" applyFont="1" applyBorder="1" applyAlignment="1">
      <alignment horizontal="center"/>
    </xf>
    <xf numFmtId="2" fontId="25" fillId="0" borderId="27" xfId="0" applyNumberFormat="1" applyFont="1" applyBorder="1" applyAlignment="1">
      <alignment horizontal="center"/>
    </xf>
    <xf numFmtId="164" fontId="25" fillId="0" borderId="29" xfId="0" applyNumberFormat="1" applyFont="1" applyBorder="1" applyAlignment="1">
      <alignment horizontal="center"/>
    </xf>
    <xf numFmtId="164" fontId="25" fillId="0" borderId="27" xfId="0" applyNumberFormat="1" applyFont="1" applyBorder="1" applyAlignment="1">
      <alignment horizontal="center"/>
    </xf>
    <xf numFmtId="1" fontId="25" fillId="0" borderId="27" xfId="0" applyNumberFormat="1" applyFont="1" applyBorder="1"/>
    <xf numFmtId="1" fontId="25" fillId="0" borderId="28" xfId="0" applyNumberFormat="1" applyFont="1" applyBorder="1"/>
    <xf numFmtId="0" fontId="11" fillId="0" borderId="0" xfId="0" applyFont="1" applyAlignment="1">
      <alignment horizontal="center" vertical="center"/>
    </xf>
    <xf numFmtId="49" fontId="25" fillId="0" borderId="30" xfId="0" applyNumberFormat="1" applyFont="1" applyBorder="1" applyAlignment="1">
      <alignment vertical="center"/>
    </xf>
    <xf numFmtId="3" fontId="25" fillId="0" borderId="31" xfId="0" applyNumberFormat="1" applyFont="1" applyBorder="1"/>
    <xf numFmtId="3" fontId="19" fillId="0" borderId="5" xfId="0" applyNumberFormat="1" applyFont="1" applyBorder="1" applyAlignment="1">
      <alignment horizontal="center"/>
    </xf>
    <xf numFmtId="3" fontId="25" fillId="0" borderId="5" xfId="0" applyNumberFormat="1" applyFont="1" applyBorder="1" applyAlignment="1">
      <alignment horizontal="center"/>
    </xf>
    <xf numFmtId="3" fontId="18" fillId="0" borderId="5" xfId="0" applyNumberFormat="1" applyFont="1" applyBorder="1" applyAlignment="1">
      <alignment horizontal="center"/>
    </xf>
    <xf numFmtId="3" fontId="16" fillId="0" borderId="5" xfId="0" applyNumberFormat="1" applyFont="1" applyBorder="1" applyAlignment="1">
      <alignment horizontal="center"/>
    </xf>
    <xf numFmtId="3" fontId="16" fillId="0" borderId="32" xfId="0" applyNumberFormat="1" applyFont="1" applyBorder="1" applyAlignment="1">
      <alignment horizontal="center"/>
    </xf>
    <xf numFmtId="3" fontId="25" fillId="0" borderId="0" xfId="0" applyNumberFormat="1" applyFont="1" applyAlignment="1">
      <alignment horizontal="center"/>
    </xf>
    <xf numFmtId="9" fontId="25" fillId="29" borderId="0" xfId="0" applyNumberFormat="1" applyFont="1" applyFill="1" applyAlignment="1">
      <alignment horizontal="center"/>
    </xf>
    <xf numFmtId="3" fontId="25" fillId="0" borderId="5" xfId="0" applyNumberFormat="1" applyFont="1" applyBorder="1" applyAlignment="1">
      <alignment horizontal="right"/>
    </xf>
    <xf numFmtId="3" fontId="16" fillId="0" borderId="5" xfId="0" applyNumberFormat="1" applyFont="1" applyBorder="1" applyAlignment="1">
      <alignment horizontal="right"/>
    </xf>
    <xf numFmtId="3" fontId="16" fillId="0" borderId="32" xfId="0" applyNumberFormat="1" applyFont="1" applyBorder="1" applyAlignment="1">
      <alignment horizontal="right"/>
    </xf>
    <xf numFmtId="9" fontId="25" fillId="12" borderId="0" xfId="0" applyNumberFormat="1" applyFont="1" applyFill="1" applyAlignment="1">
      <alignment horizontal="center"/>
    </xf>
    <xf numFmtId="9" fontId="25" fillId="40" borderId="0" xfId="0" applyNumberFormat="1" applyFont="1" applyFill="1" applyAlignment="1">
      <alignment horizontal="center"/>
    </xf>
    <xf numFmtId="9" fontId="25" fillId="27" borderId="0" xfId="0" applyNumberFormat="1" applyFont="1" applyFill="1" applyAlignment="1">
      <alignment horizontal="center"/>
    </xf>
    <xf numFmtId="9" fontId="25" fillId="41" borderId="0" xfId="0" applyNumberFormat="1" applyFont="1" applyFill="1" applyAlignment="1">
      <alignment horizontal="center"/>
    </xf>
    <xf numFmtId="9" fontId="25" fillId="42" borderId="0" xfId="0" applyNumberFormat="1" applyFont="1" applyFill="1" applyAlignment="1">
      <alignment horizontal="center"/>
    </xf>
    <xf numFmtId="9" fontId="25" fillId="43" borderId="0" xfId="0" applyNumberFormat="1" applyFont="1" applyFill="1" applyAlignment="1">
      <alignment horizontal="center"/>
    </xf>
    <xf numFmtId="9" fontId="25" fillId="44" borderId="0" xfId="0" applyNumberFormat="1" applyFont="1" applyFill="1" applyAlignment="1">
      <alignment horizontal="center"/>
    </xf>
    <xf numFmtId="9" fontId="25" fillId="45" borderId="0" xfId="0" applyNumberFormat="1" applyFont="1" applyFill="1" applyAlignment="1">
      <alignment horizontal="center"/>
    </xf>
    <xf numFmtId="9" fontId="25" fillId="46" borderId="0" xfId="0" applyNumberFormat="1" applyFont="1" applyFill="1" applyAlignment="1">
      <alignment horizontal="center"/>
    </xf>
    <xf numFmtId="9" fontId="25" fillId="47" borderId="0" xfId="0" applyNumberFormat="1" applyFont="1" applyFill="1" applyAlignment="1">
      <alignment horizontal="center"/>
    </xf>
    <xf numFmtId="9" fontId="25" fillId="48" borderId="0" xfId="0" applyNumberFormat="1" applyFont="1" applyFill="1" applyAlignment="1">
      <alignment horizontal="center"/>
    </xf>
    <xf numFmtId="9" fontId="25" fillId="49" borderId="0" xfId="0" applyNumberFormat="1" applyFont="1" applyFill="1" applyAlignment="1">
      <alignment horizontal="center"/>
    </xf>
    <xf numFmtId="9" fontId="25" fillId="50" borderId="0" xfId="0" applyNumberFormat="1" applyFont="1" applyFill="1" applyAlignment="1">
      <alignment horizontal="center"/>
    </xf>
    <xf numFmtId="9" fontId="25" fillId="51" borderId="0" xfId="0" applyNumberFormat="1" applyFont="1" applyFill="1" applyAlignment="1">
      <alignment horizontal="center"/>
    </xf>
    <xf numFmtId="9" fontId="25" fillId="52" borderId="0" xfId="0" applyNumberFormat="1" applyFont="1" applyFill="1" applyAlignment="1">
      <alignment horizontal="center"/>
    </xf>
    <xf numFmtId="9" fontId="25" fillId="53" borderId="0" xfId="0" applyNumberFormat="1" applyFont="1" applyFill="1" applyAlignment="1">
      <alignment horizontal="center"/>
    </xf>
    <xf numFmtId="9" fontId="25" fillId="54" borderId="0" xfId="0" applyNumberFormat="1" applyFont="1" applyFill="1" applyAlignment="1">
      <alignment horizontal="center"/>
    </xf>
    <xf numFmtId="9" fontId="25" fillId="55" borderId="0" xfId="0" applyNumberFormat="1" applyFont="1" applyFill="1" applyAlignment="1">
      <alignment horizontal="center"/>
    </xf>
    <xf numFmtId="9" fontId="25" fillId="56" borderId="0" xfId="0" applyNumberFormat="1" applyFont="1" applyFill="1" applyAlignment="1">
      <alignment horizontal="center"/>
    </xf>
    <xf numFmtId="9" fontId="25" fillId="57" borderId="0" xfId="0" applyNumberFormat="1" applyFont="1" applyFill="1" applyAlignment="1">
      <alignment horizontal="center"/>
    </xf>
    <xf numFmtId="9" fontId="25" fillId="58" borderId="0" xfId="0" applyNumberFormat="1" applyFont="1" applyFill="1" applyAlignment="1">
      <alignment horizontal="center"/>
    </xf>
    <xf numFmtId="9" fontId="25" fillId="59" borderId="0" xfId="0" applyNumberFormat="1" applyFont="1" applyFill="1" applyAlignment="1">
      <alignment horizontal="center"/>
    </xf>
    <xf numFmtId="9" fontId="25" fillId="60" borderId="0" xfId="0" applyNumberFormat="1" applyFont="1" applyFill="1" applyAlignment="1">
      <alignment horizontal="center"/>
    </xf>
    <xf numFmtId="9" fontId="25" fillId="61" borderId="0" xfId="0" applyNumberFormat="1" applyFont="1" applyFill="1" applyAlignment="1">
      <alignment horizontal="center"/>
    </xf>
    <xf numFmtId="9" fontId="25" fillId="62" borderId="0" xfId="0" applyNumberFormat="1" applyFont="1" applyFill="1" applyAlignment="1">
      <alignment horizontal="center"/>
    </xf>
    <xf numFmtId="9" fontId="25" fillId="63" borderId="0" xfId="0" applyNumberFormat="1" applyFont="1" applyFill="1" applyAlignment="1">
      <alignment horizontal="center"/>
    </xf>
    <xf numFmtId="9" fontId="25" fillId="64" borderId="0" xfId="0" applyNumberFormat="1" applyFont="1" applyFill="1" applyAlignment="1">
      <alignment horizontal="center"/>
    </xf>
    <xf numFmtId="9" fontId="25" fillId="65" borderId="0" xfId="0" applyNumberFormat="1" applyFont="1" applyFill="1" applyAlignment="1">
      <alignment horizontal="center"/>
    </xf>
    <xf numFmtId="9" fontId="25" fillId="66" borderId="0" xfId="0" applyNumberFormat="1" applyFont="1" applyFill="1" applyAlignment="1">
      <alignment horizontal="center"/>
    </xf>
    <xf numFmtId="9" fontId="25" fillId="67" borderId="0" xfId="0" applyNumberFormat="1" applyFont="1" applyFill="1" applyAlignment="1">
      <alignment horizontal="center"/>
    </xf>
    <xf numFmtId="9" fontId="25" fillId="68" borderId="0" xfId="0" applyNumberFormat="1" applyFont="1" applyFill="1" applyAlignment="1">
      <alignment horizontal="center"/>
    </xf>
    <xf numFmtId="9" fontId="25" fillId="69" borderId="0" xfId="0" applyNumberFormat="1" applyFont="1" applyFill="1" applyAlignment="1">
      <alignment horizontal="center"/>
    </xf>
    <xf numFmtId="9" fontId="25" fillId="70" borderId="0" xfId="0" applyNumberFormat="1" applyFont="1" applyFill="1" applyAlignment="1">
      <alignment horizontal="center"/>
    </xf>
    <xf numFmtId="9" fontId="25" fillId="71" borderId="0" xfId="0" applyNumberFormat="1" applyFont="1" applyFill="1" applyAlignment="1">
      <alignment horizontal="center"/>
    </xf>
    <xf numFmtId="9" fontId="25" fillId="72" borderId="0" xfId="0" applyNumberFormat="1" applyFont="1" applyFill="1" applyAlignment="1">
      <alignment horizontal="center"/>
    </xf>
    <xf numFmtId="9" fontId="25" fillId="73" borderId="0" xfId="0" applyNumberFormat="1" applyFont="1" applyFill="1" applyAlignment="1">
      <alignment horizontal="center"/>
    </xf>
    <xf numFmtId="9" fontId="45" fillId="2" borderId="0" xfId="0" applyNumberFormat="1" applyFont="1" applyFill="1" applyAlignment="1">
      <alignment horizontal="center"/>
    </xf>
    <xf numFmtId="9" fontId="25" fillId="74" borderId="0" xfId="0" applyNumberFormat="1" applyFont="1" applyFill="1" applyAlignment="1">
      <alignment horizontal="center"/>
    </xf>
    <xf numFmtId="9" fontId="25" fillId="75" borderId="0" xfId="0" applyNumberFormat="1" applyFont="1" applyFill="1" applyAlignment="1">
      <alignment horizontal="center"/>
    </xf>
    <xf numFmtId="9" fontId="25" fillId="76" borderId="0" xfId="0" applyNumberFormat="1" applyFont="1" applyFill="1" applyAlignment="1">
      <alignment horizontal="center"/>
    </xf>
    <xf numFmtId="9" fontId="25" fillId="77" borderId="0" xfId="0" applyNumberFormat="1" applyFont="1" applyFill="1" applyAlignment="1">
      <alignment horizontal="center"/>
    </xf>
    <xf numFmtId="9" fontId="25" fillId="78" borderId="0" xfId="0" applyNumberFormat="1" applyFont="1" applyFill="1" applyAlignment="1">
      <alignment horizontal="center"/>
    </xf>
    <xf numFmtId="9" fontId="25" fillId="79" borderId="0" xfId="0" applyNumberFormat="1" applyFont="1" applyFill="1" applyAlignment="1">
      <alignment horizontal="center"/>
    </xf>
    <xf numFmtId="3" fontId="16" fillId="0" borderId="0" xfId="0" applyNumberFormat="1" applyFont="1" applyAlignment="1">
      <alignment horizontal="center"/>
    </xf>
    <xf numFmtId="9" fontId="46" fillId="7" borderId="0" xfId="0" applyNumberFormat="1" applyFont="1" applyFill="1"/>
    <xf numFmtId="3" fontId="16" fillId="0" borderId="31" xfId="0" applyNumberFormat="1" applyFont="1" applyBorder="1"/>
    <xf numFmtId="9" fontId="25" fillId="80" borderId="0" xfId="0" applyNumberFormat="1" applyFont="1" applyFill="1" applyAlignment="1">
      <alignment horizontal="center"/>
    </xf>
    <xf numFmtId="9" fontId="25" fillId="81" borderId="0" xfId="0" applyNumberFormat="1" applyFont="1" applyFill="1" applyAlignment="1">
      <alignment horizontal="center"/>
    </xf>
    <xf numFmtId="3" fontId="16" fillId="0" borderId="6" xfId="0" applyNumberFormat="1" applyFont="1" applyBorder="1" applyAlignment="1">
      <alignment horizontal="right"/>
    </xf>
    <xf numFmtId="3" fontId="25" fillId="0" borderId="33" xfId="0" applyNumberFormat="1" applyFont="1" applyBorder="1"/>
    <xf numFmtId="3" fontId="25" fillId="0" borderId="34" xfId="0" applyNumberFormat="1" applyFont="1" applyBorder="1" applyAlignment="1">
      <alignment horizontal="right"/>
    </xf>
    <xf numFmtId="3" fontId="16" fillId="0" borderId="34" xfId="0" applyNumberFormat="1" applyFont="1" applyBorder="1" applyAlignment="1">
      <alignment horizontal="right"/>
    </xf>
    <xf numFmtId="3" fontId="16" fillId="0" borderId="35" xfId="0" applyNumberFormat="1" applyFont="1" applyBorder="1" applyAlignment="1">
      <alignment horizontal="right"/>
    </xf>
    <xf numFmtId="3" fontId="25" fillId="0" borderId="36" xfId="0" applyNumberFormat="1" applyFont="1" applyBorder="1" applyAlignment="1">
      <alignment horizontal="center"/>
    </xf>
    <xf numFmtId="0" fontId="25" fillId="0" borderId="36" xfId="0" applyFont="1" applyBorder="1" applyAlignment="1">
      <alignment horizontal="center"/>
    </xf>
    <xf numFmtId="9" fontId="25" fillId="12" borderId="36" xfId="0" applyNumberFormat="1" applyFont="1" applyFill="1" applyBorder="1" applyAlignment="1">
      <alignment horizontal="center"/>
    </xf>
    <xf numFmtId="0" fontId="16" fillId="9" borderId="39" xfId="0" applyFont="1" applyFill="1" applyBorder="1" applyAlignment="1">
      <alignment horizontal="center"/>
    </xf>
    <xf numFmtId="0" fontId="16" fillId="9" borderId="40" xfId="0" applyFont="1" applyFill="1" applyBorder="1" applyAlignment="1">
      <alignment horizontal="center"/>
    </xf>
    <xf numFmtId="0" fontId="16" fillId="2" borderId="39" xfId="0" applyFont="1" applyFill="1" applyBorder="1" applyAlignment="1">
      <alignment horizontal="center"/>
    </xf>
    <xf numFmtId="0" fontId="16" fillId="2" borderId="40" xfId="0" applyFont="1" applyFill="1" applyBorder="1" applyAlignment="1">
      <alignment horizontal="center"/>
    </xf>
    <xf numFmtId="0" fontId="16" fillId="23" borderId="39" xfId="0" applyFont="1" applyFill="1" applyBorder="1" applyAlignment="1">
      <alignment horizontal="center"/>
    </xf>
    <xf numFmtId="0" fontId="16" fillId="23" borderId="40" xfId="0" applyFont="1" applyFill="1" applyBorder="1" applyAlignment="1">
      <alignment horizontal="center"/>
    </xf>
    <xf numFmtId="0" fontId="16" fillId="27" borderId="39" xfId="0" applyFont="1" applyFill="1" applyBorder="1" applyAlignment="1">
      <alignment horizontal="center"/>
    </xf>
    <xf numFmtId="0" fontId="16" fillId="27" borderId="40" xfId="0" applyFont="1" applyFill="1" applyBorder="1" applyAlignment="1">
      <alignment horizontal="center"/>
    </xf>
    <xf numFmtId="0" fontId="16" fillId="82" borderId="39" xfId="0" applyFont="1" applyFill="1" applyBorder="1" applyAlignment="1">
      <alignment horizontal="center"/>
    </xf>
    <xf numFmtId="0" fontId="16" fillId="82" borderId="40" xfId="0" applyFont="1" applyFill="1" applyBorder="1" applyAlignment="1">
      <alignment horizontal="center"/>
    </xf>
    <xf numFmtId="0" fontId="16" fillId="83" borderId="39" xfId="0" applyFont="1" applyFill="1" applyBorder="1" applyAlignment="1">
      <alignment horizontal="center"/>
    </xf>
    <xf numFmtId="0" fontId="16" fillId="83" borderId="40" xfId="0" applyFont="1" applyFill="1" applyBorder="1" applyAlignment="1">
      <alignment horizontal="center"/>
    </xf>
    <xf numFmtId="0" fontId="18" fillId="84" borderId="41" xfId="0" applyFont="1" applyFill="1" applyBorder="1" applyAlignment="1">
      <alignment horizontal="center"/>
    </xf>
    <xf numFmtId="0" fontId="16" fillId="84" borderId="42" xfId="0" applyFont="1" applyFill="1" applyBorder="1" applyAlignment="1">
      <alignment horizontal="center"/>
    </xf>
    <xf numFmtId="0" fontId="18" fillId="84" borderId="43" xfId="0" applyFont="1" applyFill="1" applyBorder="1" applyAlignment="1">
      <alignment horizontal="center"/>
    </xf>
    <xf numFmtId="1" fontId="18" fillId="84" borderId="44" xfId="0" applyNumberFormat="1" applyFont="1" applyFill="1" applyBorder="1" applyAlignment="1">
      <alignment horizontal="center"/>
    </xf>
    <xf numFmtId="0" fontId="18" fillId="85" borderId="45" xfId="0" applyFont="1" applyFill="1" applyBorder="1" applyAlignment="1">
      <alignment horizontal="center"/>
    </xf>
    <xf numFmtId="0" fontId="16" fillId="85" borderId="42" xfId="0" applyFont="1" applyFill="1" applyBorder="1" applyAlignment="1">
      <alignment horizontal="center"/>
    </xf>
    <xf numFmtId="0" fontId="18" fillId="85" borderId="43" xfId="0" applyFont="1" applyFill="1" applyBorder="1" applyAlignment="1">
      <alignment horizontal="center"/>
    </xf>
    <xf numFmtId="1" fontId="18" fillId="85" borderId="44" xfId="0" applyNumberFormat="1" applyFont="1" applyFill="1" applyBorder="1" applyAlignment="1">
      <alignment horizontal="center"/>
    </xf>
    <xf numFmtId="0" fontId="18" fillId="86" borderId="45" xfId="0" applyFont="1" applyFill="1" applyBorder="1" applyAlignment="1">
      <alignment horizontal="center"/>
    </xf>
    <xf numFmtId="0" fontId="16" fillId="86" borderId="42" xfId="0" applyFont="1" applyFill="1" applyBorder="1" applyAlignment="1">
      <alignment horizontal="center"/>
    </xf>
    <xf numFmtId="0" fontId="18" fillId="86" borderId="43" xfId="0" applyFont="1" applyFill="1" applyBorder="1" applyAlignment="1">
      <alignment horizontal="center"/>
    </xf>
    <xf numFmtId="1" fontId="18" fillId="86" borderId="44" xfId="0" applyNumberFormat="1" applyFont="1" applyFill="1" applyBorder="1" applyAlignment="1">
      <alignment horizontal="center"/>
    </xf>
    <xf numFmtId="0" fontId="18" fillId="87" borderId="45" xfId="0" applyFont="1" applyFill="1" applyBorder="1" applyAlignment="1">
      <alignment horizontal="center"/>
    </xf>
    <xf numFmtId="0" fontId="16" fillId="87" borderId="42" xfId="0" applyFont="1" applyFill="1" applyBorder="1" applyAlignment="1">
      <alignment horizontal="center"/>
    </xf>
    <xf numFmtId="0" fontId="18" fillId="87" borderId="43" xfId="0" applyFont="1" applyFill="1" applyBorder="1" applyAlignment="1">
      <alignment horizontal="center"/>
    </xf>
    <xf numFmtId="1" fontId="16" fillId="87" borderId="44" xfId="0" applyNumberFormat="1" applyFont="1" applyFill="1" applyBorder="1" applyAlignment="1">
      <alignment horizontal="center"/>
    </xf>
    <xf numFmtId="0" fontId="18" fillId="88" borderId="45" xfId="0" applyFont="1" applyFill="1" applyBorder="1" applyAlignment="1">
      <alignment horizontal="center"/>
    </xf>
    <xf numFmtId="0" fontId="16" fillId="88" borderId="42" xfId="0" applyFont="1" applyFill="1" applyBorder="1" applyAlignment="1">
      <alignment horizontal="center"/>
    </xf>
    <xf numFmtId="0" fontId="18" fillId="88" borderId="43" xfId="0" applyFont="1" applyFill="1" applyBorder="1" applyAlignment="1">
      <alignment horizontal="center"/>
    </xf>
    <xf numFmtId="3" fontId="16" fillId="88" borderId="44" xfId="0" applyNumberFormat="1" applyFont="1" applyFill="1" applyBorder="1" applyAlignment="1">
      <alignment horizontal="center"/>
    </xf>
    <xf numFmtId="3" fontId="16" fillId="89" borderId="45" xfId="0" applyNumberFormat="1" applyFont="1" applyFill="1" applyBorder="1" applyAlignment="1">
      <alignment horizontal="center"/>
    </xf>
    <xf numFmtId="3" fontId="16" fillId="89" borderId="42" xfId="0" applyNumberFormat="1" applyFont="1" applyFill="1" applyBorder="1" applyAlignment="1">
      <alignment horizontal="center"/>
    </xf>
    <xf numFmtId="3" fontId="16" fillId="89" borderId="43" xfId="0" applyNumberFormat="1" applyFont="1" applyFill="1" applyBorder="1" applyAlignment="1">
      <alignment horizontal="center"/>
    </xf>
    <xf numFmtId="3" fontId="16" fillId="89" borderId="44" xfId="0" applyNumberFormat="1" applyFont="1" applyFill="1" applyBorder="1" applyAlignment="1">
      <alignment horizontal="center"/>
    </xf>
    <xf numFmtId="3" fontId="16" fillId="90" borderId="0" xfId="0" applyNumberFormat="1" applyFont="1" applyFill="1" applyAlignment="1">
      <alignment horizontal="center"/>
    </xf>
    <xf numFmtId="0" fontId="18" fillId="28" borderId="46" xfId="0" applyFont="1" applyFill="1" applyBorder="1" applyAlignment="1">
      <alignment horizontal="center"/>
    </xf>
    <xf numFmtId="0" fontId="16" fillId="28" borderId="43" xfId="0" applyFont="1" applyFill="1" applyBorder="1" applyAlignment="1">
      <alignment horizontal="center"/>
    </xf>
    <xf numFmtId="0" fontId="18" fillId="28" borderId="43" xfId="0" applyFont="1" applyFill="1" applyBorder="1" applyAlignment="1">
      <alignment horizontal="center"/>
    </xf>
    <xf numFmtId="10" fontId="18" fillId="28" borderId="44" xfId="0" applyNumberFormat="1" applyFont="1" applyFill="1" applyBorder="1" applyAlignment="1">
      <alignment horizontal="center"/>
    </xf>
    <xf numFmtId="0" fontId="18" fillId="29" borderId="47" xfId="0" applyFont="1" applyFill="1" applyBorder="1" applyAlignment="1">
      <alignment horizontal="center"/>
    </xf>
    <xf numFmtId="0" fontId="16" fillId="29" borderId="43" xfId="0" applyFont="1" applyFill="1" applyBorder="1" applyAlignment="1">
      <alignment horizontal="center"/>
    </xf>
    <xf numFmtId="0" fontId="18" fillId="29" borderId="43" xfId="0" applyFont="1" applyFill="1" applyBorder="1" applyAlignment="1">
      <alignment horizontal="center"/>
    </xf>
    <xf numFmtId="1" fontId="18" fillId="29" borderId="44" xfId="0" applyNumberFormat="1" applyFont="1" applyFill="1" applyBorder="1" applyAlignment="1">
      <alignment horizontal="center"/>
    </xf>
    <xf numFmtId="0" fontId="18" fillId="32" borderId="47" xfId="0" applyFont="1" applyFill="1" applyBorder="1" applyAlignment="1">
      <alignment horizontal="center"/>
    </xf>
    <xf numFmtId="0" fontId="16" fillId="32" borderId="43" xfId="0" applyFont="1" applyFill="1" applyBorder="1" applyAlignment="1">
      <alignment horizontal="center"/>
    </xf>
    <xf numFmtId="0" fontId="18" fillId="32" borderId="43" xfId="0" applyFont="1" applyFill="1" applyBorder="1" applyAlignment="1">
      <alignment horizontal="center"/>
    </xf>
    <xf numFmtId="1" fontId="18" fillId="32" borderId="44" xfId="0" applyNumberFormat="1" applyFont="1" applyFill="1" applyBorder="1" applyAlignment="1">
      <alignment horizontal="center"/>
    </xf>
    <xf numFmtId="0" fontId="18" fillId="30" borderId="47" xfId="0" applyFont="1" applyFill="1" applyBorder="1" applyAlignment="1">
      <alignment horizontal="center"/>
    </xf>
    <xf numFmtId="0" fontId="16" fillId="30" borderId="43" xfId="0" applyFont="1" applyFill="1" applyBorder="1" applyAlignment="1">
      <alignment horizontal="center"/>
    </xf>
    <xf numFmtId="0" fontId="18" fillId="30" borderId="43" xfId="0" applyFont="1" applyFill="1" applyBorder="1" applyAlignment="1">
      <alignment horizontal="center"/>
    </xf>
    <xf numFmtId="1" fontId="16" fillId="30" borderId="44" xfId="0" applyNumberFormat="1" applyFont="1" applyFill="1" applyBorder="1" applyAlignment="1">
      <alignment horizontal="center"/>
    </xf>
    <xf numFmtId="0" fontId="18" fillId="34" borderId="47" xfId="0" applyFont="1" applyFill="1" applyBorder="1" applyAlignment="1">
      <alignment horizontal="center"/>
    </xf>
    <xf numFmtId="0" fontId="16" fillId="34" borderId="43" xfId="0" applyFont="1" applyFill="1" applyBorder="1" applyAlignment="1">
      <alignment horizontal="center"/>
    </xf>
    <xf numFmtId="0" fontId="18" fillId="34" borderId="43" xfId="0" applyFont="1" applyFill="1" applyBorder="1" applyAlignment="1">
      <alignment horizontal="center"/>
    </xf>
    <xf numFmtId="0" fontId="16" fillId="34" borderId="44" xfId="0" applyFont="1" applyFill="1" applyBorder="1" applyAlignment="1">
      <alignment horizontal="center"/>
    </xf>
    <xf numFmtId="3" fontId="16" fillId="15" borderId="47" xfId="0" applyNumberFormat="1" applyFont="1" applyFill="1" applyBorder="1" applyAlignment="1">
      <alignment horizontal="center"/>
    </xf>
    <xf numFmtId="3" fontId="16" fillId="15" borderId="43" xfId="0" applyNumberFormat="1" applyFont="1" applyFill="1" applyBorder="1" applyAlignment="1">
      <alignment horizontal="center"/>
    </xf>
    <xf numFmtId="9" fontId="16" fillId="15" borderId="44" xfId="0" applyNumberFormat="1" applyFont="1" applyFill="1" applyBorder="1" applyAlignment="1">
      <alignment horizontal="center"/>
    </xf>
    <xf numFmtId="3" fontId="16" fillId="35" borderId="0" xfId="0" applyNumberFormat="1" applyFont="1" applyFill="1" applyAlignment="1">
      <alignment horizontal="center"/>
    </xf>
    <xf numFmtId="9" fontId="16" fillId="35" borderId="0" xfId="0" applyNumberFormat="1" applyFont="1" applyFill="1" applyAlignment="1">
      <alignment horizontal="center"/>
    </xf>
    <xf numFmtId="0" fontId="18" fillId="84" borderId="46" xfId="0" applyFont="1" applyFill="1" applyBorder="1" applyAlignment="1">
      <alignment horizontal="center"/>
    </xf>
    <xf numFmtId="0" fontId="16" fillId="84" borderId="43" xfId="0" applyFont="1" applyFill="1" applyBorder="1" applyAlignment="1">
      <alignment horizontal="center"/>
    </xf>
    <xf numFmtId="0" fontId="18" fillId="85" borderId="47" xfId="0" applyFont="1" applyFill="1" applyBorder="1" applyAlignment="1">
      <alignment horizontal="center"/>
    </xf>
    <xf numFmtId="0" fontId="16" fillId="85" borderId="43" xfId="0" applyFont="1" applyFill="1" applyBorder="1" applyAlignment="1">
      <alignment horizontal="center"/>
    </xf>
    <xf numFmtId="0" fontId="18" fillId="86" borderId="47" xfId="0" applyFont="1" applyFill="1" applyBorder="1" applyAlignment="1">
      <alignment horizontal="center"/>
    </xf>
    <xf numFmtId="0" fontId="16" fillId="86" borderId="43" xfId="0" applyFont="1" applyFill="1" applyBorder="1" applyAlignment="1">
      <alignment horizontal="center"/>
    </xf>
    <xf numFmtId="9" fontId="16" fillId="86" borderId="44" xfId="0" applyNumberFormat="1" applyFont="1" applyFill="1" applyBorder="1" applyAlignment="1">
      <alignment horizontal="center"/>
    </xf>
    <xf numFmtId="0" fontId="18" fillId="87" borderId="47" xfId="0" applyFont="1" applyFill="1" applyBorder="1" applyAlignment="1">
      <alignment horizontal="center"/>
    </xf>
    <xf numFmtId="0" fontId="16" fillId="87" borderId="43" xfId="0" applyFont="1" applyFill="1" applyBorder="1" applyAlignment="1">
      <alignment horizontal="center"/>
    </xf>
    <xf numFmtId="0" fontId="18" fillId="88" borderId="47" xfId="0" applyFont="1" applyFill="1" applyBorder="1" applyAlignment="1">
      <alignment horizontal="center"/>
    </xf>
    <xf numFmtId="0" fontId="16" fillId="88" borderId="43" xfId="0" applyFont="1" applyFill="1" applyBorder="1" applyAlignment="1">
      <alignment horizontal="center"/>
    </xf>
    <xf numFmtId="0" fontId="16" fillId="88" borderId="44" xfId="0" applyFont="1" applyFill="1" applyBorder="1" applyAlignment="1">
      <alignment horizontal="center"/>
    </xf>
    <xf numFmtId="3" fontId="16" fillId="89" borderId="47" xfId="0" applyNumberFormat="1" applyFont="1" applyFill="1" applyBorder="1" applyAlignment="1">
      <alignment horizontal="center"/>
    </xf>
    <xf numFmtId="9" fontId="16" fillId="89" borderId="44" xfId="0" applyNumberFormat="1" applyFont="1" applyFill="1" applyBorder="1" applyAlignment="1">
      <alignment horizontal="center"/>
    </xf>
    <xf numFmtId="1" fontId="16" fillId="28" borderId="44" xfId="0" applyNumberFormat="1" applyFont="1" applyFill="1" applyBorder="1" applyAlignment="1">
      <alignment horizontal="center"/>
    </xf>
    <xf numFmtId="9" fontId="16" fillId="29" borderId="44" xfId="0" applyNumberFormat="1" applyFont="1" applyFill="1" applyBorder="1" applyAlignment="1">
      <alignment horizontal="center"/>
    </xf>
    <xf numFmtId="0" fontId="16" fillId="32" borderId="44" xfId="0" applyFont="1" applyFill="1" applyBorder="1" applyAlignment="1">
      <alignment horizontal="center"/>
    </xf>
    <xf numFmtId="0" fontId="16" fillId="30" borderId="44" xfId="0" applyFont="1" applyFill="1" applyBorder="1" applyAlignment="1">
      <alignment horizontal="center"/>
    </xf>
    <xf numFmtId="3" fontId="16" fillId="15" borderId="44" xfId="0" applyNumberFormat="1" applyFont="1" applyFill="1" applyBorder="1" applyAlignment="1">
      <alignment horizontal="center"/>
    </xf>
    <xf numFmtId="0" fontId="16" fillId="84" borderId="44" xfId="0" applyFont="1" applyFill="1" applyBorder="1" applyAlignment="1">
      <alignment horizontal="center"/>
    </xf>
    <xf numFmtId="0" fontId="16" fillId="85" borderId="44" xfId="0" applyFont="1" applyFill="1" applyBorder="1" applyAlignment="1">
      <alignment horizontal="center"/>
    </xf>
    <xf numFmtId="0" fontId="16" fillId="86" borderId="44" xfId="0" applyFont="1" applyFill="1" applyBorder="1" applyAlignment="1">
      <alignment horizontal="center"/>
    </xf>
    <xf numFmtId="0" fontId="16" fillId="87" borderId="44" xfId="0" applyFont="1" applyFill="1" applyBorder="1" applyAlignment="1">
      <alignment horizontal="center"/>
    </xf>
    <xf numFmtId="0" fontId="18" fillId="28" borderId="48" xfId="0" applyFont="1" applyFill="1" applyBorder="1" applyAlignment="1">
      <alignment horizontal="center"/>
    </xf>
    <xf numFmtId="0" fontId="16" fillId="28" borderId="49" xfId="0" applyFont="1" applyFill="1" applyBorder="1" applyAlignment="1">
      <alignment horizontal="center"/>
    </xf>
    <xf numFmtId="0" fontId="18" fillId="28" borderId="49" xfId="0" applyFont="1" applyFill="1" applyBorder="1" applyAlignment="1">
      <alignment horizontal="center"/>
    </xf>
    <xf numFmtId="0" fontId="16" fillId="28" borderId="50" xfId="0" applyFont="1" applyFill="1" applyBorder="1" applyAlignment="1">
      <alignment horizontal="center"/>
    </xf>
    <xf numFmtId="0" fontId="18" fillId="29" borderId="51" xfId="0" applyFont="1" applyFill="1" applyBorder="1" applyAlignment="1">
      <alignment horizontal="center"/>
    </xf>
    <xf numFmtId="0" fontId="16" fillId="29" borderId="49" xfId="0" applyFont="1" applyFill="1" applyBorder="1" applyAlignment="1">
      <alignment horizontal="center"/>
    </xf>
    <xf numFmtId="0" fontId="18" fillId="29" borderId="49" xfId="0" applyFont="1" applyFill="1" applyBorder="1" applyAlignment="1">
      <alignment horizontal="center"/>
    </xf>
    <xf numFmtId="0" fontId="16" fillId="29" borderId="50" xfId="0" applyFont="1" applyFill="1" applyBorder="1" applyAlignment="1">
      <alignment horizontal="center"/>
    </xf>
    <xf numFmtId="0" fontId="18" fillId="32" borderId="51" xfId="0" applyFont="1" applyFill="1" applyBorder="1" applyAlignment="1">
      <alignment horizontal="center"/>
    </xf>
    <xf numFmtId="0" fontId="16" fillId="32" borderId="49" xfId="0" applyFont="1" applyFill="1" applyBorder="1" applyAlignment="1">
      <alignment horizontal="center"/>
    </xf>
    <xf numFmtId="0" fontId="18" fillId="32" borderId="49" xfId="0" applyFont="1" applyFill="1" applyBorder="1" applyAlignment="1">
      <alignment horizontal="center"/>
    </xf>
    <xf numFmtId="0" fontId="16" fillId="32" borderId="50" xfId="0" applyFont="1" applyFill="1" applyBorder="1" applyAlignment="1">
      <alignment horizontal="center"/>
    </xf>
    <xf numFmtId="0" fontId="18" fillId="30" borderId="51" xfId="0" applyFont="1" applyFill="1" applyBorder="1" applyAlignment="1">
      <alignment horizontal="center"/>
    </xf>
    <xf numFmtId="0" fontId="16" fillId="30" borderId="49" xfId="0" applyFont="1" applyFill="1" applyBorder="1" applyAlignment="1">
      <alignment horizontal="center"/>
    </xf>
    <xf numFmtId="0" fontId="18" fillId="30" borderId="49" xfId="0" applyFont="1" applyFill="1" applyBorder="1" applyAlignment="1">
      <alignment horizontal="center"/>
    </xf>
    <xf numFmtId="0" fontId="16" fillId="30" borderId="50" xfId="0" applyFont="1" applyFill="1" applyBorder="1" applyAlignment="1">
      <alignment horizontal="center"/>
    </xf>
    <xf numFmtId="0" fontId="18" fillId="34" borderId="51" xfId="0" applyFont="1" applyFill="1" applyBorder="1" applyAlignment="1">
      <alignment horizontal="center"/>
    </xf>
    <xf numFmtId="0" fontId="16" fillId="34" borderId="49" xfId="0" applyFont="1" applyFill="1" applyBorder="1" applyAlignment="1">
      <alignment horizontal="center"/>
    </xf>
    <xf numFmtId="0" fontId="18" fillId="34" borderId="49" xfId="0" applyFont="1" applyFill="1" applyBorder="1" applyAlignment="1">
      <alignment horizontal="center"/>
    </xf>
    <xf numFmtId="0" fontId="16" fillId="34" borderId="50" xfId="0" applyFont="1" applyFill="1" applyBorder="1" applyAlignment="1">
      <alignment horizontal="center"/>
    </xf>
    <xf numFmtId="3" fontId="16" fillId="15" borderId="51" xfId="0" applyNumberFormat="1" applyFont="1" applyFill="1" applyBorder="1" applyAlignment="1">
      <alignment horizontal="center"/>
    </xf>
    <xf numFmtId="3" fontId="16" fillId="15" borderId="49" xfId="0" applyNumberFormat="1" applyFont="1" applyFill="1" applyBorder="1" applyAlignment="1">
      <alignment horizontal="center"/>
    </xf>
    <xf numFmtId="3" fontId="16" fillId="15" borderId="50" xfId="0" applyNumberFormat="1" applyFont="1" applyFill="1" applyBorder="1" applyAlignment="1">
      <alignment horizontal="center"/>
    </xf>
    <xf numFmtId="0" fontId="18" fillId="84" borderId="42" xfId="0" applyFont="1" applyFill="1" applyBorder="1" applyAlignment="1">
      <alignment horizontal="center"/>
    </xf>
    <xf numFmtId="0" fontId="18" fillId="84" borderId="52" xfId="0" applyFont="1" applyFill="1" applyBorder="1" applyAlignment="1">
      <alignment horizontal="center"/>
    </xf>
    <xf numFmtId="0" fontId="18" fillId="85" borderId="42" xfId="0" applyFont="1" applyFill="1" applyBorder="1" applyAlignment="1">
      <alignment horizontal="center"/>
    </xf>
    <xf numFmtId="0" fontId="18" fillId="85" borderId="52" xfId="0" applyFont="1" applyFill="1" applyBorder="1" applyAlignment="1">
      <alignment horizontal="center"/>
    </xf>
    <xf numFmtId="0" fontId="18" fillId="86" borderId="42" xfId="0" applyFont="1" applyFill="1" applyBorder="1" applyAlignment="1">
      <alignment horizontal="center"/>
    </xf>
    <xf numFmtId="0" fontId="18" fillId="86" borderId="52" xfId="0" applyFont="1" applyFill="1" applyBorder="1" applyAlignment="1">
      <alignment horizontal="center"/>
    </xf>
    <xf numFmtId="0" fontId="18" fillId="87" borderId="42" xfId="0" applyFont="1" applyFill="1" applyBorder="1" applyAlignment="1">
      <alignment horizontal="center"/>
    </xf>
    <xf numFmtId="0" fontId="16" fillId="87" borderId="52" xfId="0" applyFont="1" applyFill="1" applyBorder="1" applyAlignment="1">
      <alignment horizontal="center"/>
    </xf>
    <xf numFmtId="0" fontId="18" fillId="88" borderId="42" xfId="0" applyFont="1" applyFill="1" applyBorder="1" applyAlignment="1">
      <alignment horizontal="center"/>
    </xf>
    <xf numFmtId="0" fontId="16" fillId="88" borderId="52" xfId="0" applyFont="1" applyFill="1" applyBorder="1" applyAlignment="1">
      <alignment horizontal="center"/>
    </xf>
    <xf numFmtId="3" fontId="16" fillId="89" borderId="52" xfId="0" applyNumberFormat="1" applyFont="1" applyFill="1" applyBorder="1" applyAlignment="1">
      <alignment horizontal="center"/>
    </xf>
    <xf numFmtId="0" fontId="16" fillId="28" borderId="44" xfId="0" applyFont="1" applyFill="1" applyBorder="1" applyAlignment="1">
      <alignment horizontal="center"/>
    </xf>
    <xf numFmtId="0" fontId="18" fillId="29" borderId="44" xfId="0" applyFont="1" applyFill="1" applyBorder="1" applyAlignment="1">
      <alignment horizontal="center"/>
    </xf>
    <xf numFmtId="0" fontId="18" fillId="85" borderId="44" xfId="0" applyFont="1" applyFill="1" applyBorder="1" applyAlignment="1">
      <alignment horizontal="center"/>
    </xf>
    <xf numFmtId="9" fontId="18" fillId="86" borderId="44" xfId="0" applyNumberFormat="1" applyFont="1" applyFill="1" applyBorder="1" applyAlignment="1">
      <alignment horizontal="center"/>
    </xf>
    <xf numFmtId="9" fontId="16" fillId="90" borderId="0" xfId="0" applyNumberFormat="1" applyFont="1" applyFill="1" applyAlignment="1">
      <alignment horizontal="center"/>
    </xf>
    <xf numFmtId="0" fontId="16" fillId="29" borderId="44" xfId="0" applyFont="1" applyFill="1" applyBorder="1" applyAlignment="1">
      <alignment horizontal="center"/>
    </xf>
    <xf numFmtId="9" fontId="18" fillId="84" borderId="52" xfId="0" applyNumberFormat="1" applyFont="1" applyFill="1" applyBorder="1" applyAlignment="1">
      <alignment horizontal="center"/>
    </xf>
    <xf numFmtId="0" fontId="16" fillId="85" borderId="52" xfId="0" applyFont="1" applyFill="1" applyBorder="1" applyAlignment="1">
      <alignment horizontal="center"/>
    </xf>
    <xf numFmtId="9" fontId="16" fillId="86" borderId="52" xfId="0" applyNumberFormat="1" applyFont="1" applyFill="1" applyBorder="1" applyAlignment="1">
      <alignment horizontal="center"/>
    </xf>
    <xf numFmtId="0" fontId="18" fillId="28" borderId="44" xfId="0" applyFont="1" applyFill="1" applyBorder="1" applyAlignment="1">
      <alignment horizontal="center"/>
    </xf>
    <xf numFmtId="9" fontId="16" fillId="32" borderId="44" xfId="0" applyNumberFormat="1" applyFont="1" applyFill="1" applyBorder="1" applyAlignment="1">
      <alignment horizontal="center"/>
    </xf>
    <xf numFmtId="9" fontId="16" fillId="34" borderId="44" xfId="0" applyNumberFormat="1" applyFont="1" applyFill="1" applyBorder="1" applyAlignment="1">
      <alignment horizontal="center"/>
    </xf>
    <xf numFmtId="10" fontId="18" fillId="84" borderId="44" xfId="0" applyNumberFormat="1" applyFont="1" applyFill="1" applyBorder="1" applyAlignment="1">
      <alignment horizontal="center"/>
    </xf>
    <xf numFmtId="166" fontId="18" fillId="86" borderId="44" xfId="0" applyNumberFormat="1" applyFont="1" applyFill="1" applyBorder="1" applyAlignment="1">
      <alignment horizontal="center"/>
    </xf>
    <xf numFmtId="0" fontId="16" fillId="88" borderId="53" xfId="0" applyFont="1" applyFill="1" applyBorder="1" applyAlignment="1">
      <alignment horizontal="center"/>
    </xf>
    <xf numFmtId="0" fontId="16" fillId="88" borderId="54" xfId="0" applyFont="1" applyFill="1" applyBorder="1" applyAlignment="1">
      <alignment horizontal="center"/>
    </xf>
    <xf numFmtId="0" fontId="8" fillId="34" borderId="55" xfId="0" applyFont="1" applyFill="1" applyBorder="1" applyAlignment="1">
      <alignment horizontal="center"/>
    </xf>
    <xf numFmtId="0" fontId="8" fillId="34" borderId="54" xfId="0" applyFont="1" applyFill="1" applyBorder="1" applyAlignment="1">
      <alignment horizontal="center"/>
    </xf>
    <xf numFmtId="0" fontId="8" fillId="88" borderId="0" xfId="0" applyFont="1" applyFill="1" applyAlignment="1">
      <alignment horizontal="center"/>
    </xf>
    <xf numFmtId="0" fontId="8" fillId="88" borderId="56" xfId="0" applyFont="1" applyFill="1" applyBorder="1" applyAlignment="1">
      <alignment horizontal="center"/>
    </xf>
    <xf numFmtId="3" fontId="18" fillId="85" borderId="52" xfId="0" applyNumberFormat="1" applyFont="1" applyFill="1" applyBorder="1" applyAlignment="1">
      <alignment horizontal="center"/>
    </xf>
    <xf numFmtId="1" fontId="18" fillId="86" borderId="52" xfId="0" applyNumberFormat="1" applyFont="1" applyFill="1" applyBorder="1" applyAlignment="1">
      <alignment horizontal="center"/>
    </xf>
    <xf numFmtId="9" fontId="16" fillId="88" borderId="52" xfId="0" applyNumberFormat="1" applyFont="1" applyFill="1" applyBorder="1" applyAlignment="1">
      <alignment horizontal="center"/>
    </xf>
    <xf numFmtId="9" fontId="18" fillId="28" borderId="44" xfId="0" applyNumberFormat="1" applyFont="1" applyFill="1" applyBorder="1" applyAlignment="1">
      <alignment horizontal="center"/>
    </xf>
    <xf numFmtId="3" fontId="18" fillId="29" borderId="44" xfId="0" applyNumberFormat="1" applyFont="1" applyFill="1" applyBorder="1" applyAlignment="1">
      <alignment horizontal="center"/>
    </xf>
    <xf numFmtId="1" fontId="16" fillId="32" borderId="44" xfId="0" applyNumberFormat="1" applyFont="1" applyFill="1" applyBorder="1" applyAlignment="1">
      <alignment horizontal="center"/>
    </xf>
    <xf numFmtId="9" fontId="18" fillId="84" borderId="44" xfId="0" applyNumberFormat="1" applyFont="1" applyFill="1" applyBorder="1" applyAlignment="1">
      <alignment horizontal="center"/>
    </xf>
    <xf numFmtId="9" fontId="16" fillId="87" borderId="44" xfId="0" applyNumberFormat="1" applyFont="1" applyFill="1" applyBorder="1" applyAlignment="1">
      <alignment horizontal="center"/>
    </xf>
    <xf numFmtId="3" fontId="16" fillId="29" borderId="44" xfId="0" applyNumberFormat="1" applyFont="1" applyFill="1" applyBorder="1" applyAlignment="1">
      <alignment horizontal="center"/>
    </xf>
    <xf numFmtId="164" fontId="16" fillId="87" borderId="44" xfId="0" applyNumberFormat="1" applyFont="1" applyFill="1" applyBorder="1" applyAlignment="1">
      <alignment horizontal="center"/>
    </xf>
    <xf numFmtId="0" fontId="18" fillId="28" borderId="57" xfId="0" applyFont="1" applyFill="1" applyBorder="1" applyAlignment="1">
      <alignment horizontal="center"/>
    </xf>
    <xf numFmtId="0" fontId="16" fillId="28" borderId="58" xfId="0" applyFont="1" applyFill="1" applyBorder="1" applyAlignment="1">
      <alignment horizontal="center"/>
    </xf>
    <xf numFmtId="0" fontId="18" fillId="28" borderId="58" xfId="0" applyFont="1" applyFill="1" applyBorder="1" applyAlignment="1">
      <alignment horizontal="center"/>
    </xf>
    <xf numFmtId="0" fontId="16" fillId="28" borderId="59" xfId="0" applyFont="1" applyFill="1" applyBorder="1" applyAlignment="1">
      <alignment horizontal="center"/>
    </xf>
    <xf numFmtId="0" fontId="18" fillId="29" borderId="60" xfId="0" applyFont="1" applyFill="1" applyBorder="1" applyAlignment="1">
      <alignment horizontal="center"/>
    </xf>
    <xf numFmtId="0" fontId="16" fillId="29" borderId="58" xfId="0" applyFont="1" applyFill="1" applyBorder="1" applyAlignment="1">
      <alignment horizontal="center"/>
    </xf>
    <xf numFmtId="0" fontId="18" fillId="29" borderId="58" xfId="0" applyFont="1" applyFill="1" applyBorder="1" applyAlignment="1">
      <alignment horizontal="center"/>
    </xf>
    <xf numFmtId="0" fontId="16" fillId="29" borderId="59" xfId="0" applyFont="1" applyFill="1" applyBorder="1" applyAlignment="1">
      <alignment horizontal="center"/>
    </xf>
    <xf numFmtId="0" fontId="18" fillId="32" borderId="60" xfId="0" applyFont="1" applyFill="1" applyBorder="1" applyAlignment="1">
      <alignment horizontal="center"/>
    </xf>
    <xf numFmtId="0" fontId="16" fillId="32" borderId="58" xfId="0" applyFont="1" applyFill="1" applyBorder="1" applyAlignment="1">
      <alignment horizontal="center"/>
    </xf>
    <xf numFmtId="0" fontId="18" fillId="32" borderId="58" xfId="0" applyFont="1" applyFill="1" applyBorder="1" applyAlignment="1">
      <alignment horizontal="center"/>
    </xf>
    <xf numFmtId="0" fontId="16" fillId="32" borderId="59" xfId="0" applyFont="1" applyFill="1" applyBorder="1" applyAlignment="1">
      <alignment horizontal="center"/>
    </xf>
    <xf numFmtId="0" fontId="18" fillId="30" borderId="60" xfId="0" applyFont="1" applyFill="1" applyBorder="1" applyAlignment="1">
      <alignment horizontal="center"/>
    </xf>
    <xf numFmtId="0" fontId="16" fillId="30" borderId="58" xfId="0" applyFont="1" applyFill="1" applyBorder="1" applyAlignment="1">
      <alignment horizontal="center"/>
    </xf>
    <xf numFmtId="0" fontId="18" fillId="30" borderId="58" xfId="0" applyFont="1" applyFill="1" applyBorder="1" applyAlignment="1">
      <alignment horizontal="center"/>
    </xf>
    <xf numFmtId="0" fontId="16" fillId="30" borderId="59" xfId="0" applyFont="1" applyFill="1" applyBorder="1" applyAlignment="1">
      <alignment horizontal="center"/>
    </xf>
    <xf numFmtId="0" fontId="18" fillId="34" borderId="60" xfId="0" applyFont="1" applyFill="1" applyBorder="1" applyAlignment="1">
      <alignment horizontal="center"/>
    </xf>
    <xf numFmtId="0" fontId="16" fillId="34" borderId="58" xfId="0" applyFont="1" applyFill="1" applyBorder="1" applyAlignment="1">
      <alignment horizontal="center"/>
    </xf>
    <xf numFmtId="0" fontId="18" fillId="34" borderId="58" xfId="0" applyFont="1" applyFill="1" applyBorder="1" applyAlignment="1">
      <alignment horizontal="center"/>
    </xf>
    <xf numFmtId="0" fontId="16" fillId="34" borderId="59" xfId="0" applyFont="1" applyFill="1" applyBorder="1" applyAlignment="1">
      <alignment horizontal="center"/>
    </xf>
    <xf numFmtId="3" fontId="16" fillId="15" borderId="60" xfId="0" applyNumberFormat="1" applyFont="1" applyFill="1" applyBorder="1" applyAlignment="1">
      <alignment horizontal="center"/>
    </xf>
    <xf numFmtId="3" fontId="16" fillId="15" borderId="58" xfId="0" applyNumberFormat="1" applyFont="1" applyFill="1" applyBorder="1" applyAlignment="1">
      <alignment horizontal="center"/>
    </xf>
    <xf numFmtId="3" fontId="16" fillId="15" borderId="59" xfId="0" applyNumberFormat="1" applyFont="1" applyFill="1" applyBorder="1" applyAlignment="1">
      <alignment horizontal="center"/>
    </xf>
    <xf numFmtId="0" fontId="25" fillId="0" borderId="30" xfId="0" applyFont="1" applyBorder="1" applyAlignment="1">
      <alignment horizontal="left" vertical="center" wrapText="1"/>
    </xf>
    <xf numFmtId="0" fontId="25" fillId="0" borderId="1" xfId="0" applyFont="1" applyBorder="1" applyAlignment="1">
      <alignment horizontal="center" vertical="center"/>
    </xf>
    <xf numFmtId="0" fontId="25" fillId="0" borderId="15" xfId="0" applyFont="1" applyBorder="1" applyAlignment="1">
      <alignment horizontal="center" vertical="center"/>
    </xf>
    <xf numFmtId="0" fontId="25" fillId="0" borderId="30" xfId="0" applyFont="1" applyBorder="1" applyAlignment="1">
      <alignment horizontal="left" vertical="center"/>
    </xf>
    <xf numFmtId="0" fontId="25" fillId="36" borderId="30" xfId="0" applyFont="1" applyFill="1" applyBorder="1" applyAlignment="1">
      <alignment horizontal="left" vertical="center" wrapText="1"/>
    </xf>
    <xf numFmtId="0" fontId="25" fillId="91" borderId="0" xfId="0" applyFont="1" applyFill="1" applyAlignment="1">
      <alignment horizontal="center" wrapText="1"/>
    </xf>
    <xf numFmtId="3" fontId="25" fillId="91" borderId="0" xfId="0" applyNumberFormat="1" applyFont="1" applyFill="1" applyAlignment="1">
      <alignment horizontal="center" wrapText="1"/>
    </xf>
    <xf numFmtId="3" fontId="25" fillId="36" borderId="0" xfId="0" applyNumberFormat="1" applyFont="1" applyFill="1" applyAlignment="1">
      <alignment horizontal="center"/>
    </xf>
    <xf numFmtId="49" fontId="25" fillId="36" borderId="0" xfId="0" applyNumberFormat="1" applyFont="1" applyFill="1" applyAlignment="1">
      <alignment horizontal="center"/>
    </xf>
    <xf numFmtId="168" fontId="25" fillId="36" borderId="0" xfId="0" applyNumberFormat="1" applyFont="1" applyFill="1" applyAlignment="1">
      <alignment horizontal="center"/>
    </xf>
    <xf numFmtId="0" fontId="25" fillId="0" borderId="0" xfId="0" applyFont="1" applyAlignment="1">
      <alignment horizontal="center"/>
    </xf>
    <xf numFmtId="169" fontId="25" fillId="36" borderId="0" xfId="0" applyNumberFormat="1" applyFont="1" applyFill="1" applyAlignment="1">
      <alignment horizontal="center"/>
    </xf>
    <xf numFmtId="3" fontId="25" fillId="3" borderId="0" xfId="0" applyNumberFormat="1" applyFont="1" applyFill="1" applyAlignment="1">
      <alignment horizontal="center"/>
    </xf>
    <xf numFmtId="49" fontId="25" fillId="3" borderId="0" xfId="0" applyNumberFormat="1" applyFont="1" applyFill="1" applyAlignment="1">
      <alignment horizontal="center"/>
    </xf>
    <xf numFmtId="0" fontId="46" fillId="4" borderId="0" xfId="0" applyFont="1" applyFill="1"/>
    <xf numFmtId="1" fontId="46" fillId="4" borderId="0" xfId="0" applyNumberFormat="1" applyFont="1" applyFill="1"/>
    <xf numFmtId="2" fontId="46" fillId="4" borderId="0" xfId="0" applyNumberFormat="1" applyFont="1" applyFill="1"/>
    <xf numFmtId="9" fontId="25" fillId="26" borderId="0" xfId="0" applyNumberFormat="1" applyFont="1" applyFill="1" applyAlignment="1">
      <alignment horizontal="right"/>
    </xf>
    <xf numFmtId="2" fontId="25" fillId="26" borderId="0" xfId="0" applyNumberFormat="1" applyFont="1" applyFill="1" applyAlignment="1">
      <alignment horizontal="right"/>
    </xf>
    <xf numFmtId="0" fontId="25" fillId="24" borderId="0" xfId="0" applyFont="1" applyFill="1"/>
    <xf numFmtId="0" fontId="25" fillId="24" borderId="0" xfId="0" applyFont="1" applyFill="1" applyAlignment="1">
      <alignment horizontal="right"/>
    </xf>
    <xf numFmtId="9" fontId="25" fillId="24" borderId="0" xfId="0" applyNumberFormat="1" applyFont="1" applyFill="1" applyAlignment="1">
      <alignment horizontal="right"/>
    </xf>
    <xf numFmtId="2" fontId="25" fillId="24" borderId="0" xfId="0" applyNumberFormat="1" applyFont="1" applyFill="1" applyAlignment="1">
      <alignment horizontal="right"/>
    </xf>
    <xf numFmtId="0" fontId="46" fillId="26" borderId="0" xfId="0" applyFont="1" applyFill="1"/>
    <xf numFmtId="1" fontId="16" fillId="26" borderId="0" xfId="0" applyNumberFormat="1" applyFont="1" applyFill="1" applyAlignment="1">
      <alignment horizontal="right"/>
    </xf>
    <xf numFmtId="9" fontId="16" fillId="26" borderId="0" xfId="0" applyNumberFormat="1" applyFont="1" applyFill="1" applyAlignment="1">
      <alignment horizontal="right"/>
    </xf>
    <xf numFmtId="0" fontId="46" fillId="24" borderId="0" xfId="0" applyFont="1" applyFill="1"/>
    <xf numFmtId="1" fontId="16" fillId="24" borderId="0" xfId="0" applyNumberFormat="1" applyFont="1" applyFill="1" applyAlignment="1">
      <alignment horizontal="right"/>
    </xf>
    <xf numFmtId="0" fontId="32" fillId="34" borderId="0" xfId="0" applyFont="1" applyFill="1"/>
    <xf numFmtId="9" fontId="25" fillId="34" borderId="0" xfId="0" applyNumberFormat="1" applyFont="1" applyFill="1" applyAlignment="1">
      <alignment horizontal="right"/>
    </xf>
    <xf numFmtId="0" fontId="25" fillId="26" borderId="0" xfId="0" applyFont="1" applyFill="1" applyAlignment="1">
      <alignment horizontal="right"/>
    </xf>
    <xf numFmtId="0" fontId="16" fillId="26" borderId="0" xfId="0" applyFont="1" applyFill="1" applyAlignment="1">
      <alignment horizontal="right"/>
    </xf>
    <xf numFmtId="166" fontId="16" fillId="26" borderId="0" xfId="0" applyNumberFormat="1" applyFont="1" applyFill="1" applyAlignment="1">
      <alignment horizontal="right"/>
    </xf>
    <xf numFmtId="2" fontId="46" fillId="26" borderId="0" xfId="0" applyNumberFormat="1" applyFont="1" applyFill="1"/>
    <xf numFmtId="167" fontId="46" fillId="26" borderId="0" xfId="0" applyNumberFormat="1" applyFont="1" applyFill="1"/>
    <xf numFmtId="9" fontId="46" fillId="24" borderId="0" xfId="0" applyNumberFormat="1" applyFont="1" applyFill="1"/>
    <xf numFmtId="9" fontId="16" fillId="24" borderId="0" xfId="0" applyNumberFormat="1" applyFont="1" applyFill="1" applyAlignment="1">
      <alignment horizontal="right"/>
    </xf>
    <xf numFmtId="9" fontId="46" fillId="26" borderId="0" xfId="0" applyNumberFormat="1" applyFont="1" applyFill="1"/>
    <xf numFmtId="0" fontId="24" fillId="34" borderId="0" xfId="0" applyFont="1" applyFill="1"/>
    <xf numFmtId="9" fontId="16" fillId="34" borderId="0" xfId="0" applyNumberFormat="1" applyFont="1" applyFill="1" applyAlignment="1">
      <alignment horizontal="right"/>
    </xf>
    <xf numFmtId="1" fontId="25" fillId="34" borderId="0" xfId="0" applyNumberFormat="1" applyFont="1" applyFill="1" applyAlignment="1">
      <alignment horizontal="right"/>
    </xf>
    <xf numFmtId="3" fontId="46" fillId="24" borderId="0" xfId="0" applyNumberFormat="1" applyFont="1" applyFill="1"/>
    <xf numFmtId="168" fontId="25" fillId="26" borderId="0" xfId="0" applyNumberFormat="1" applyFont="1" applyFill="1" applyAlignment="1">
      <alignment horizontal="right"/>
    </xf>
    <xf numFmtId="166" fontId="25" fillId="26" borderId="0" xfId="0" applyNumberFormat="1" applyFont="1" applyFill="1" applyAlignment="1">
      <alignment horizontal="right"/>
    </xf>
    <xf numFmtId="166" fontId="25" fillId="24" borderId="0" xfId="0" applyNumberFormat="1" applyFont="1" applyFill="1" applyAlignment="1">
      <alignment horizontal="right"/>
    </xf>
    <xf numFmtId="166" fontId="16" fillId="24" borderId="0" xfId="0" applyNumberFormat="1" applyFont="1" applyFill="1" applyAlignment="1">
      <alignment horizontal="right"/>
    </xf>
    <xf numFmtId="168" fontId="25" fillId="24" borderId="0" xfId="0" applyNumberFormat="1" applyFont="1" applyFill="1" applyAlignment="1">
      <alignment horizontal="right"/>
    </xf>
    <xf numFmtId="3" fontId="16" fillId="26" borderId="0" xfId="0" applyNumberFormat="1" applyFont="1" applyFill="1" applyAlignment="1">
      <alignment horizontal="right"/>
    </xf>
    <xf numFmtId="164" fontId="25" fillId="34" borderId="0" xfId="0" applyNumberFormat="1" applyFont="1" applyFill="1" applyAlignment="1">
      <alignment horizontal="right"/>
    </xf>
    <xf numFmtId="3" fontId="25" fillId="34" borderId="0" xfId="0" applyNumberFormat="1" applyFont="1" applyFill="1" applyAlignment="1">
      <alignment horizontal="right"/>
    </xf>
    <xf numFmtId="166" fontId="25" fillId="34" borderId="0" xfId="0" applyNumberFormat="1" applyFont="1" applyFill="1" applyAlignment="1">
      <alignment horizontal="right"/>
    </xf>
    <xf numFmtId="1" fontId="46" fillId="24" borderId="0" xfId="0" applyNumberFormat="1" applyFont="1" applyFill="1"/>
    <xf numFmtId="0" fontId="11" fillId="34" borderId="0" xfId="0" applyFont="1" applyFill="1"/>
    <xf numFmtId="0" fontId="11" fillId="26" borderId="0" xfId="0" applyFont="1" applyFill="1"/>
    <xf numFmtId="0" fontId="16" fillId="24" borderId="0" xfId="0" applyFont="1" applyFill="1" applyAlignment="1">
      <alignment horizontal="right"/>
    </xf>
    <xf numFmtId="167" fontId="25" fillId="34" borderId="0" xfId="0" applyNumberFormat="1" applyFont="1" applyFill="1" applyAlignment="1">
      <alignment horizontal="right"/>
    </xf>
    <xf numFmtId="2" fontId="16" fillId="26" borderId="0" xfId="0" applyNumberFormat="1" applyFont="1" applyFill="1" applyAlignment="1">
      <alignment horizontal="right"/>
    </xf>
    <xf numFmtId="1" fontId="46" fillId="26" borderId="0" xfId="0" applyNumberFormat="1" applyFont="1" applyFill="1"/>
    <xf numFmtId="164" fontId="46" fillId="26" borderId="0" xfId="0" applyNumberFormat="1" applyFont="1" applyFill="1"/>
    <xf numFmtId="164" fontId="46" fillId="24" borderId="0" xfId="0" applyNumberFormat="1" applyFont="1" applyFill="1"/>
    <xf numFmtId="3" fontId="46" fillId="4" borderId="0" xfId="0" applyNumberFormat="1" applyFont="1" applyFill="1"/>
    <xf numFmtId="0" fontId="16" fillId="7" borderId="0" xfId="0" applyFont="1" applyFill="1" applyAlignment="1">
      <alignment horizontal="center"/>
    </xf>
    <xf numFmtId="0" fontId="46" fillId="7" borderId="0" xfId="0" applyFont="1" applyFill="1"/>
    <xf numFmtId="0" fontId="16" fillId="12" borderId="0" xfId="0" applyFont="1" applyFill="1" applyAlignment="1">
      <alignment horizontal="center"/>
    </xf>
    <xf numFmtId="0" fontId="46" fillId="12" borderId="0" xfId="0" applyFont="1" applyFill="1"/>
    <xf numFmtId="0" fontId="16" fillId="7" borderId="0" xfId="0" applyFont="1" applyFill="1" applyAlignment="1">
      <alignment horizontal="right"/>
    </xf>
    <xf numFmtId="0" fontId="16" fillId="12" borderId="0" xfId="0" applyFont="1" applyFill="1" applyAlignment="1">
      <alignment horizontal="right"/>
    </xf>
    <xf numFmtId="0" fontId="25" fillId="7" borderId="0" xfId="0" applyFont="1" applyFill="1" applyAlignment="1">
      <alignment horizontal="center"/>
    </xf>
    <xf numFmtId="0" fontId="25" fillId="7" borderId="0" xfId="0" applyFont="1" applyFill="1"/>
    <xf numFmtId="166" fontId="25" fillId="7" borderId="0" xfId="0" applyNumberFormat="1" applyFont="1" applyFill="1" applyAlignment="1">
      <alignment horizontal="right"/>
    </xf>
    <xf numFmtId="1" fontId="16" fillId="12" borderId="0" xfId="0" applyNumberFormat="1" applyFont="1" applyFill="1" applyAlignment="1">
      <alignment horizontal="center"/>
    </xf>
    <xf numFmtId="1" fontId="16" fillId="7" borderId="0" xfId="0" applyNumberFormat="1" applyFont="1" applyFill="1" applyAlignment="1">
      <alignment horizontal="center"/>
    </xf>
    <xf numFmtId="0" fontId="25" fillId="12" borderId="0" xfId="0" applyFont="1" applyFill="1" applyAlignment="1">
      <alignment horizontal="center"/>
    </xf>
    <xf numFmtId="1" fontId="19" fillId="36" borderId="28" xfId="0" applyNumberFormat="1" applyFont="1" applyFill="1" applyBorder="1" applyAlignment="1">
      <alignment horizontal="center"/>
    </xf>
    <xf numFmtId="1" fontId="47" fillId="0" borderId="27" xfId="0" applyNumberFormat="1" applyFont="1" applyBorder="1"/>
    <xf numFmtId="1" fontId="47" fillId="0" borderId="28" xfId="0" applyNumberFormat="1" applyFont="1" applyBorder="1"/>
    <xf numFmtId="0" fontId="47" fillId="0" borderId="27" xfId="0" applyFont="1" applyBorder="1"/>
    <xf numFmtId="0" fontId="25" fillId="0" borderId="30" xfId="0" applyFont="1" applyBorder="1" applyAlignment="1">
      <alignment horizontal="center" vertical="center"/>
    </xf>
    <xf numFmtId="0" fontId="48" fillId="0" borderId="30" xfId="0" applyFont="1" applyBorder="1" applyAlignment="1">
      <alignment horizontal="left" vertical="center"/>
    </xf>
    <xf numFmtId="0" fontId="18" fillId="84" borderId="44" xfId="0" applyFont="1" applyFill="1" applyBorder="1" applyAlignment="1">
      <alignment horizontal="center"/>
    </xf>
    <xf numFmtId="10" fontId="18" fillId="85" borderId="52" xfId="0" applyNumberFormat="1" applyFont="1" applyFill="1" applyBorder="1" applyAlignment="1">
      <alignment horizontal="center"/>
    </xf>
    <xf numFmtId="9" fontId="18" fillId="29" borderId="44" xfId="0" applyNumberFormat="1" applyFont="1" applyFill="1" applyBorder="1" applyAlignment="1">
      <alignment horizontal="center"/>
    </xf>
    <xf numFmtId="49" fontId="16" fillId="0" borderId="0" xfId="0" applyNumberFormat="1" applyFont="1"/>
    <xf numFmtId="0" fontId="11" fillId="29" borderId="0" xfId="0" applyFont="1" applyFill="1"/>
    <xf numFmtId="0" fontId="18" fillId="29" borderId="0" xfId="0" applyFont="1" applyFill="1"/>
    <xf numFmtId="1" fontId="18" fillId="29" borderId="0" xfId="0" applyNumberFormat="1" applyFont="1" applyFill="1"/>
    <xf numFmtId="1" fontId="16" fillId="29" borderId="0" xfId="0" applyNumberFormat="1" applyFont="1" applyFill="1"/>
    <xf numFmtId="0" fontId="16" fillId="29" borderId="0" xfId="0" applyFont="1" applyFill="1"/>
    <xf numFmtId="0" fontId="11" fillId="12" borderId="0" xfId="0" applyFont="1" applyFill="1"/>
    <xf numFmtId="0" fontId="11" fillId="7" borderId="0" xfId="0" applyFont="1" applyFill="1"/>
    <xf numFmtId="1" fontId="19" fillId="12" borderId="0" xfId="0" applyNumberFormat="1" applyFont="1" applyFill="1" applyAlignment="1">
      <alignment horizontal="right"/>
    </xf>
    <xf numFmtId="1" fontId="19" fillId="7" borderId="0" xfId="0" applyNumberFormat="1" applyFont="1" applyFill="1" applyAlignment="1">
      <alignment horizontal="right"/>
    </xf>
    <xf numFmtId="0" fontId="19" fillId="12" borderId="0" xfId="0" applyFont="1" applyFill="1" applyAlignment="1">
      <alignment horizontal="right"/>
    </xf>
    <xf numFmtId="0" fontId="19" fillId="7" borderId="0" xfId="0" applyFont="1" applyFill="1" applyAlignment="1">
      <alignment horizontal="right"/>
    </xf>
    <xf numFmtId="1" fontId="19" fillId="7" borderId="0" xfId="0" applyNumberFormat="1" applyFont="1" applyFill="1"/>
    <xf numFmtId="1" fontId="19" fillId="12" borderId="0" xfId="0" applyNumberFormat="1" applyFont="1" applyFill="1"/>
    <xf numFmtId="164" fontId="19" fillId="7" borderId="0" xfId="0" applyNumberFormat="1" applyFont="1" applyFill="1"/>
    <xf numFmtId="1" fontId="19" fillId="12" borderId="0" xfId="0" applyNumberFormat="1" applyFont="1" applyFill="1" applyAlignment="1">
      <alignment horizontal="left"/>
    </xf>
    <xf numFmtId="0" fontId="16" fillId="0" borderId="0" xfId="0" applyFont="1" applyAlignment="1">
      <alignment horizontal="left"/>
    </xf>
    <xf numFmtId="0" fontId="6" fillId="3" borderId="1" xfId="0" applyFont="1" applyFill="1" applyBorder="1" applyAlignment="1">
      <alignment horizontal="left" vertical="center" wrapText="1"/>
    </xf>
    <xf numFmtId="0" fontId="8" fillId="0" borderId="1" xfId="0" applyFont="1" applyBorder="1"/>
    <xf numFmtId="0" fontId="9" fillId="5" borderId="0" xfId="0" applyFont="1" applyFill="1" applyAlignment="1">
      <alignment horizontal="center"/>
    </xf>
    <xf numFmtId="0" fontId="0" fillId="0" borderId="0" xfId="0"/>
    <xf numFmtId="0" fontId="11" fillId="5" borderId="0" xfId="0" applyFont="1" applyFill="1" applyAlignment="1">
      <alignment horizontal="center"/>
    </xf>
    <xf numFmtId="0" fontId="11" fillId="6" borderId="0" xfId="0" applyFont="1" applyFill="1" applyAlignment="1">
      <alignment horizontal="center"/>
    </xf>
    <xf numFmtId="0" fontId="14" fillId="9" borderId="0" xfId="0" applyFont="1" applyFill="1" applyAlignment="1">
      <alignment horizontal="center"/>
    </xf>
    <xf numFmtId="0" fontId="15" fillId="6" borderId="0" xfId="0" applyFont="1" applyFill="1" applyAlignment="1">
      <alignment horizontal="center" vertical="center"/>
    </xf>
    <xf numFmtId="0" fontId="18" fillId="4" borderId="0" xfId="0" applyFont="1" applyFill="1"/>
    <xf numFmtId="0" fontId="26" fillId="15" borderId="0" xfId="0" applyFont="1" applyFill="1" applyAlignment="1">
      <alignment horizontal="center"/>
    </xf>
    <xf numFmtId="0" fontId="11" fillId="16" borderId="0" xfId="0" applyFont="1" applyFill="1" applyAlignment="1">
      <alignment horizontal="center" vertical="center"/>
    </xf>
    <xf numFmtId="0" fontId="11" fillId="17" borderId="0" xfId="0" applyFont="1" applyFill="1" applyAlignment="1">
      <alignment horizontal="center" vertical="center"/>
    </xf>
    <xf numFmtId="0" fontId="26" fillId="19" borderId="0" xfId="0" applyFont="1" applyFill="1" applyAlignment="1">
      <alignment horizontal="center" vertical="center"/>
    </xf>
    <xf numFmtId="0" fontId="11" fillId="20" borderId="0" xfId="0" applyFont="1" applyFill="1" applyAlignment="1">
      <alignment horizontal="center"/>
    </xf>
    <xf numFmtId="0" fontId="21" fillId="21" borderId="0" xfId="0" applyFont="1" applyFill="1" applyAlignment="1">
      <alignment horizontal="center"/>
    </xf>
    <xf numFmtId="1" fontId="14" fillId="2" borderId="0" xfId="0" applyNumberFormat="1" applyFont="1" applyFill="1" applyAlignment="1">
      <alignment horizontal="center"/>
    </xf>
    <xf numFmtId="0" fontId="12" fillId="7" borderId="0" xfId="0" applyFont="1" applyFill="1" applyAlignment="1">
      <alignment horizontal="left" vertical="center"/>
    </xf>
    <xf numFmtId="0" fontId="23" fillId="13" borderId="0" xfId="0" applyFont="1" applyFill="1" applyAlignment="1">
      <alignment horizontal="center" vertical="center" wrapText="1"/>
    </xf>
    <xf numFmtId="0" fontId="11" fillId="14" borderId="0" xfId="0" applyFont="1" applyFill="1" applyAlignment="1">
      <alignment horizontal="center"/>
    </xf>
    <xf numFmtId="0" fontId="21" fillId="12" borderId="0" xfId="0" applyFont="1" applyFill="1" applyAlignment="1">
      <alignment horizontal="center"/>
    </xf>
    <xf numFmtId="0" fontId="20" fillId="7" borderId="0" xfId="0" applyFont="1" applyFill="1" applyAlignment="1">
      <alignment horizontal="left" vertical="top" wrapText="1"/>
    </xf>
    <xf numFmtId="0" fontId="11" fillId="24" borderId="0" xfId="0" applyFont="1" applyFill="1" applyAlignment="1">
      <alignment horizontal="center"/>
    </xf>
    <xf numFmtId="0" fontId="9" fillId="20" borderId="0" xfId="0" applyFont="1" applyFill="1" applyAlignment="1">
      <alignment horizontal="center"/>
    </xf>
    <xf numFmtId="0" fontId="11" fillId="16" borderId="0" xfId="0" applyFont="1" applyFill="1" applyAlignment="1">
      <alignment horizontal="center"/>
    </xf>
    <xf numFmtId="0" fontId="11" fillId="17" borderId="0" xfId="0" applyFont="1" applyFill="1" applyAlignment="1">
      <alignment horizontal="center"/>
    </xf>
    <xf numFmtId="0" fontId="24" fillId="18" borderId="0" xfId="0" applyFont="1" applyFill="1" applyAlignment="1">
      <alignment horizontal="center"/>
    </xf>
    <xf numFmtId="0" fontId="11" fillId="18" borderId="0" xfId="0" applyFont="1" applyFill="1" applyAlignment="1">
      <alignment horizontal="center"/>
    </xf>
    <xf numFmtId="0" fontId="20" fillId="23" borderId="0" xfId="0" applyFont="1" applyFill="1" applyAlignment="1">
      <alignment horizontal="center"/>
    </xf>
    <xf numFmtId="0" fontId="32" fillId="17" borderId="0" xfId="0" applyFont="1" applyFill="1" applyAlignment="1">
      <alignment horizontal="center" vertical="center"/>
    </xf>
    <xf numFmtId="0" fontId="37" fillId="4" borderId="0" xfId="0" applyFont="1" applyFill="1" applyAlignment="1">
      <alignment horizontal="center" vertical="center" wrapText="1"/>
    </xf>
    <xf numFmtId="0" fontId="26" fillId="4" borderId="0" xfId="0" applyFont="1" applyFill="1" applyAlignment="1">
      <alignment horizontal="center" vertical="center" wrapText="1"/>
    </xf>
    <xf numFmtId="49" fontId="30" fillId="25" borderId="0" xfId="0" applyNumberFormat="1" applyFont="1" applyFill="1" applyAlignment="1">
      <alignment vertical="top" wrapText="1"/>
    </xf>
    <xf numFmtId="0" fontId="26" fillId="26" borderId="0" xfId="0" applyFont="1" applyFill="1" applyAlignment="1">
      <alignment horizontal="center" vertical="center" wrapText="1"/>
    </xf>
    <xf numFmtId="0" fontId="20" fillId="19" borderId="0" xfId="0" applyFont="1" applyFill="1" applyAlignment="1">
      <alignment horizontal="center"/>
    </xf>
    <xf numFmtId="0" fontId="33" fillId="7" borderId="0" xfId="0" applyFont="1" applyFill="1" applyAlignment="1">
      <alignment horizontal="center" vertical="center" wrapText="1"/>
    </xf>
    <xf numFmtId="0" fontId="26" fillId="4" borderId="0" xfId="0" applyFont="1" applyFill="1" applyAlignment="1">
      <alignment horizontal="left" vertical="center" wrapText="1"/>
    </xf>
    <xf numFmtId="0" fontId="16" fillId="9" borderId="0" xfId="0" applyFont="1" applyFill="1" applyAlignment="1">
      <alignment horizontal="center"/>
    </xf>
    <xf numFmtId="0" fontId="19" fillId="23" borderId="0" xfId="0" applyFont="1" applyFill="1" applyAlignment="1">
      <alignment horizontal="center"/>
    </xf>
    <xf numFmtId="0" fontId="19" fillId="30" borderId="0" xfId="0" applyFont="1" applyFill="1" applyAlignment="1">
      <alignment horizontal="center"/>
    </xf>
    <xf numFmtId="0" fontId="42" fillId="4" borderId="0" xfId="0" applyFont="1" applyFill="1" applyAlignment="1">
      <alignment horizontal="center" vertical="center" wrapText="1"/>
    </xf>
    <xf numFmtId="0" fontId="39" fillId="9" borderId="0" xfId="0" applyFont="1" applyFill="1" applyAlignment="1">
      <alignment horizontal="center" vertical="center"/>
    </xf>
    <xf numFmtId="0" fontId="40" fillId="27" borderId="0" xfId="0" applyFont="1" applyFill="1" applyAlignment="1">
      <alignment horizontal="center" vertical="center"/>
    </xf>
    <xf numFmtId="0" fontId="39" fillId="2" borderId="0" xfId="0" applyFont="1" applyFill="1" applyAlignment="1">
      <alignment horizontal="center" vertical="center"/>
    </xf>
    <xf numFmtId="0" fontId="40" fillId="28" borderId="0" xfId="0" applyFont="1" applyFill="1" applyAlignment="1">
      <alignment horizontal="center" vertical="center"/>
    </xf>
    <xf numFmtId="1" fontId="40" fillId="29" borderId="0" xfId="0" applyNumberFormat="1" applyFont="1" applyFill="1" applyAlignment="1">
      <alignment horizontal="center" vertical="center"/>
    </xf>
    <xf numFmtId="0" fontId="41" fillId="25" borderId="0" xfId="0" applyFont="1" applyFill="1" applyAlignment="1">
      <alignment horizontal="center"/>
    </xf>
    <xf numFmtId="0" fontId="16" fillId="2" borderId="0" xfId="0" applyFont="1" applyFill="1" applyAlignment="1">
      <alignment horizontal="center"/>
    </xf>
    <xf numFmtId="0" fontId="43" fillId="31" borderId="10" xfId="0" applyFont="1" applyFill="1" applyBorder="1" applyAlignment="1">
      <alignment horizontal="center" vertical="center" wrapText="1"/>
    </xf>
    <xf numFmtId="0" fontId="8" fillId="0" borderId="11" xfId="0" applyFont="1" applyBorder="1"/>
    <xf numFmtId="0" fontId="16" fillId="0" borderId="0" xfId="0" applyFont="1"/>
    <xf numFmtId="0" fontId="40" fillId="32" borderId="0" xfId="0" applyFont="1" applyFill="1" applyAlignment="1">
      <alignment horizontal="center" vertical="center" wrapText="1"/>
    </xf>
    <xf numFmtId="0" fontId="8" fillId="0" borderId="0" xfId="0" applyFont="1"/>
    <xf numFmtId="0" fontId="44" fillId="33" borderId="13" xfId="0" applyFont="1" applyFill="1" applyBorder="1" applyAlignment="1">
      <alignment horizontal="center"/>
    </xf>
    <xf numFmtId="0" fontId="8" fillId="12" borderId="14" xfId="0" applyFont="1" applyFill="1" applyBorder="1"/>
    <xf numFmtId="0" fontId="44" fillId="27" borderId="13" xfId="0" applyFont="1" applyFill="1" applyBorder="1" applyAlignment="1">
      <alignment horizontal="center"/>
    </xf>
    <xf numFmtId="0" fontId="44" fillId="27" borderId="15" xfId="0" applyFont="1" applyFill="1" applyBorder="1" applyAlignment="1">
      <alignment horizontal="center"/>
    </xf>
    <xf numFmtId="0" fontId="8" fillId="12" borderId="16" xfId="0" applyFont="1" applyFill="1" applyBorder="1"/>
    <xf numFmtId="0" fontId="44" fillId="33" borderId="15" xfId="0" applyFont="1" applyFill="1" applyBorder="1" applyAlignment="1">
      <alignment horizontal="center"/>
    </xf>
    <xf numFmtId="0" fontId="16" fillId="12" borderId="13" xfId="0" applyFont="1" applyFill="1" applyBorder="1" applyAlignment="1">
      <alignment horizontal="center"/>
    </xf>
    <xf numFmtId="0" fontId="16" fillId="7" borderId="13" xfId="0" applyFont="1" applyFill="1" applyBorder="1" applyAlignment="1">
      <alignment horizontal="center"/>
    </xf>
    <xf numFmtId="0" fontId="8" fillId="7" borderId="14" xfId="0" applyFont="1" applyFill="1" applyBorder="1"/>
    <xf numFmtId="9" fontId="44" fillId="27" borderId="13" xfId="0" applyNumberFormat="1" applyFont="1" applyFill="1" applyBorder="1" applyAlignment="1">
      <alignment horizontal="center"/>
    </xf>
    <xf numFmtId="164" fontId="44" fillId="29" borderId="0" xfId="0" applyNumberFormat="1" applyFont="1" applyFill="1" applyAlignment="1">
      <alignment horizontal="center"/>
    </xf>
    <xf numFmtId="0" fontId="25" fillId="12" borderId="0" xfId="0" applyFont="1" applyFill="1" applyAlignment="1">
      <alignment vertical="center"/>
    </xf>
    <xf numFmtId="0" fontId="8" fillId="12" borderId="19" xfId="0" applyFont="1" applyFill="1" applyBorder="1"/>
    <xf numFmtId="0" fontId="15" fillId="9" borderId="37" xfId="0" applyFont="1" applyFill="1" applyBorder="1" applyAlignment="1">
      <alignment horizontal="center"/>
    </xf>
    <xf numFmtId="0" fontId="8" fillId="9" borderId="38" xfId="0" applyFont="1" applyFill="1" applyBorder="1"/>
    <xf numFmtId="0" fontId="15" fillId="2" borderId="37" xfId="0" applyFont="1" applyFill="1" applyBorder="1" applyAlignment="1">
      <alignment horizontal="center"/>
    </xf>
    <xf numFmtId="0" fontId="8" fillId="2" borderId="38" xfId="0" applyFont="1" applyFill="1" applyBorder="1"/>
    <xf numFmtId="0" fontId="11" fillId="23" borderId="37" xfId="0" applyFont="1" applyFill="1" applyBorder="1" applyAlignment="1">
      <alignment horizontal="center"/>
    </xf>
    <xf numFmtId="0" fontId="8" fillId="23" borderId="38" xfId="0" applyFont="1" applyFill="1" applyBorder="1"/>
    <xf numFmtId="0" fontId="15" fillId="27" borderId="37" xfId="0" applyFont="1" applyFill="1" applyBorder="1" applyAlignment="1">
      <alignment horizontal="center"/>
    </xf>
    <xf numFmtId="0" fontId="8" fillId="27" borderId="38" xfId="0" applyFont="1" applyFill="1" applyBorder="1"/>
    <xf numFmtId="0" fontId="15" fillId="82" borderId="37" xfId="0" applyFont="1" applyFill="1" applyBorder="1" applyAlignment="1">
      <alignment horizontal="center"/>
    </xf>
    <xf numFmtId="0" fontId="8" fillId="82" borderId="38" xfId="0" applyFont="1" applyFill="1" applyBorder="1"/>
    <xf numFmtId="0" fontId="15" fillId="83" borderId="37" xfId="0" applyFont="1" applyFill="1" applyBorder="1" applyAlignment="1">
      <alignment horizontal="center"/>
    </xf>
    <xf numFmtId="0" fontId="8" fillId="83" borderId="38" xfId="0" applyFont="1" applyFill="1" applyBorder="1"/>
    <xf numFmtId="0" fontId="16" fillId="21" borderId="0" xfId="0" applyFont="1" applyFill="1" applyAlignment="1">
      <alignment horizontal="center"/>
    </xf>
    <xf numFmtId="0" fontId="44" fillId="33" borderId="0" xfId="0" applyFont="1" applyFill="1" applyAlignment="1">
      <alignment horizontal="center"/>
    </xf>
    <xf numFmtId="0" fontId="44" fillId="27" borderId="0" xfId="0" applyFont="1" applyFill="1" applyAlignment="1">
      <alignment horizontal="center"/>
    </xf>
    <xf numFmtId="0" fontId="16" fillId="12" borderId="0" xfId="0" applyFont="1" applyFill="1" applyAlignment="1">
      <alignment horizontal="center"/>
    </xf>
    <xf numFmtId="0" fontId="16" fillId="7" borderId="0" xfId="0" applyFont="1" applyFill="1" applyAlignment="1">
      <alignment horizontal="center"/>
    </xf>
    <xf numFmtId="9" fontId="44" fillId="27" borderId="0" xfId="0" applyNumberFormat="1" applyFont="1" applyFill="1" applyAlignment="1">
      <alignment horizontal="center"/>
    </xf>
  </cellXfs>
  <cellStyles count="1">
    <cellStyle name="Normal" xfId="0" builtinId="0"/>
  </cellStyles>
  <dxfs count="37">
    <dxf>
      <font>
        <color rgb="FFCCCCCC"/>
      </font>
      <fill>
        <patternFill patternType="none"/>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rgb="FFFF00FF"/>
      </font>
      <fill>
        <patternFill patternType="none"/>
      </fill>
    </dxf>
    <dxf>
      <font>
        <color rgb="FF00FF00"/>
      </font>
      <fill>
        <patternFill patternType="none"/>
      </fill>
    </dxf>
    <dxf>
      <font>
        <color rgb="FF0000FF"/>
      </font>
      <fill>
        <patternFill patternType="none"/>
      </fill>
    </dxf>
    <dxf>
      <font>
        <color rgb="FF980000"/>
      </font>
      <fill>
        <patternFill patternType="none"/>
      </fill>
    </dxf>
    <dxf>
      <font>
        <color rgb="FFFFFF00"/>
      </font>
      <fill>
        <patternFill patternType="none"/>
      </fill>
    </dxf>
    <dxf>
      <fill>
        <patternFill patternType="solid">
          <fgColor rgb="FFEFEFEF"/>
          <bgColor rgb="FFEFEFEF"/>
        </patternFill>
      </fill>
    </dxf>
    <dxf>
      <fill>
        <patternFill patternType="solid">
          <fgColor rgb="FFCCCCCC"/>
          <bgColor rgb="FFCCCCCC"/>
        </patternFill>
      </fill>
    </dxf>
    <dxf>
      <fill>
        <patternFill patternType="solid">
          <fgColor rgb="FFEA9999"/>
          <bgColor rgb="FFEA9999"/>
        </patternFill>
      </fill>
    </dxf>
    <dxf>
      <fill>
        <patternFill patternType="solid">
          <fgColor rgb="FFF3F3F3"/>
          <bgColor rgb="FFF3F3F3"/>
        </patternFill>
      </fill>
    </dxf>
    <dxf>
      <fill>
        <patternFill patternType="solid">
          <fgColor rgb="FFD9D9D9"/>
          <bgColor rgb="FFD9D9D9"/>
        </patternFill>
      </fill>
    </dxf>
    <dxf>
      <fill>
        <patternFill patternType="solid">
          <fgColor rgb="FFEFEFEF"/>
          <bgColor rgb="FFEFEFEF"/>
        </patternFill>
      </fill>
    </dxf>
    <dxf>
      <fill>
        <patternFill patternType="solid">
          <fgColor rgb="FFCCCCCC"/>
          <bgColor rgb="FFCCCCCC"/>
        </patternFill>
      </fill>
    </dxf>
    <dxf>
      <fill>
        <patternFill patternType="solid">
          <fgColor rgb="FFEA9999"/>
          <bgColor rgb="FFEA9999"/>
        </patternFill>
      </fill>
    </dxf>
    <dxf>
      <fill>
        <patternFill patternType="solid">
          <fgColor rgb="FFF3F3F3"/>
          <bgColor rgb="FFF3F3F3"/>
        </patternFill>
      </fill>
    </dxf>
    <dxf>
      <fill>
        <patternFill patternType="solid">
          <fgColor rgb="FFD9D9D9"/>
          <bgColor rgb="FFD9D9D9"/>
        </patternFill>
      </fill>
    </dxf>
    <dxf>
      <fill>
        <patternFill patternType="solid">
          <fgColor rgb="FFEA9999"/>
          <bgColor rgb="FFEA9999"/>
        </patternFill>
      </fill>
    </dxf>
    <dxf>
      <fill>
        <patternFill patternType="solid">
          <fgColor rgb="FFF3F3F3"/>
          <bgColor rgb="FFF3F3F3"/>
        </patternFill>
      </fill>
    </dxf>
    <dxf>
      <fill>
        <patternFill patternType="solid">
          <fgColor rgb="FFD9D9D9"/>
          <bgColor rgb="FFD9D9D9"/>
        </patternFill>
      </fill>
    </dxf>
    <dxf>
      <fill>
        <patternFill patternType="solid">
          <fgColor rgb="FFEFEFEF"/>
          <bgColor rgb="FFEFEFEF"/>
        </patternFill>
      </fill>
    </dxf>
    <dxf>
      <fill>
        <patternFill patternType="solid">
          <fgColor rgb="FFCCCCCC"/>
          <bgColor rgb="FFCCCCCC"/>
        </patternFill>
      </fill>
    </dxf>
    <dxf>
      <fill>
        <patternFill patternType="solid">
          <fgColor rgb="FFEA9999"/>
          <bgColor rgb="FFEA9999"/>
        </patternFill>
      </fill>
    </dxf>
    <dxf>
      <fill>
        <patternFill patternType="solid">
          <fgColor rgb="FFF3F3F3"/>
          <bgColor rgb="FFF3F3F3"/>
        </patternFill>
      </fill>
    </dxf>
    <dxf>
      <fill>
        <patternFill patternType="solid">
          <fgColor rgb="FFD9D9D9"/>
          <bgColor rgb="FFD9D9D9"/>
        </patternFill>
      </fill>
    </dxf>
    <dxf>
      <fill>
        <patternFill patternType="solid">
          <fgColor rgb="FFEFEFEF"/>
          <bgColor rgb="FFEFEFEF"/>
        </patternFill>
      </fill>
    </dxf>
    <dxf>
      <fill>
        <patternFill patternType="solid">
          <fgColor rgb="FFCCCCCC"/>
          <bgColor rgb="FFCCCCCC"/>
        </patternFill>
      </fill>
    </dxf>
    <dxf>
      <fill>
        <patternFill patternType="solid">
          <fgColor rgb="FFEA9999"/>
          <bgColor rgb="FFEA9999"/>
        </patternFill>
      </fill>
    </dxf>
    <dxf>
      <fill>
        <patternFill patternType="solid">
          <fgColor rgb="FFEFEFEF"/>
          <bgColor rgb="FFEFEFEF"/>
        </patternFill>
      </fill>
    </dxf>
    <dxf>
      <fill>
        <patternFill patternType="solid">
          <fgColor rgb="FFD9D9D9"/>
          <bgColor rgb="FFD9D9D9"/>
        </patternFill>
      </fill>
    </dxf>
    <dxf>
      <fill>
        <patternFill patternType="solid">
          <fgColor rgb="FFEFEFEF"/>
          <bgColor rgb="FFEFEFEF"/>
        </patternFill>
      </fill>
    </dxf>
    <dxf>
      <fill>
        <patternFill patternType="solid">
          <fgColor rgb="FFD9D9D9"/>
          <bgColor rgb="FFD9D9D9"/>
        </patternFill>
      </fill>
    </dxf>
    <dxf>
      <fill>
        <patternFill patternType="solid">
          <fgColor rgb="FFD9D9D9"/>
          <bgColor rgb="FFD9D9D9"/>
        </patternFill>
      </fill>
    </dxf>
    <dxf>
      <fill>
        <patternFill patternType="solid">
          <fgColor rgb="FFEFEFEF"/>
          <bgColor rgb="FFEFEFEF"/>
        </patternFill>
      </fill>
    </dxf>
  </dxfs>
  <tableStyles count="11">
    <tableStyle name="Instruction-style" pivot="0" count="2" xr9:uid="{00000000-0011-0000-FFFF-FFFF00000000}">
      <tableStyleElement type="firstRowStripe" dxfId="36"/>
      <tableStyleElement type="secondRowStripe" dxfId="35"/>
    </tableStyle>
    <tableStyle name="Very basic Fight Sim-style" pivot="0" count="2" xr9:uid="{00000000-0011-0000-FFFF-FFFF01000000}">
      <tableStyleElement type="firstRowStripe" dxfId="34"/>
      <tableStyleElement type="secondRowStripe" dxfId="33"/>
    </tableStyle>
    <tableStyle name="Very basic Fight Sim-style 2" pivot="0" count="2" xr9:uid="{00000000-0011-0000-FFFF-FFFF02000000}">
      <tableStyleElement type="firstRowStripe" dxfId="32"/>
      <tableStyleElement type="secondRowStripe" dxfId="31"/>
    </tableStyle>
    <tableStyle name="Champs-style" pivot="0" count="3" xr9:uid="{00000000-0011-0000-FFFF-FFFF03000000}">
      <tableStyleElement type="headerRow" dxfId="30"/>
      <tableStyleElement type="firstRowStripe" dxfId="29"/>
      <tableStyleElement type="secondRowStripe" dxfId="28"/>
    </tableStyle>
    <tableStyle name="ChampInfo-style" pivot="0" count="2" xr9:uid="{00000000-0011-0000-FFFF-FFFF04000000}">
      <tableStyleElement type="firstRowStripe" dxfId="27"/>
      <tableStyleElement type="secondRowStripe" dxfId="26"/>
    </tableStyle>
    <tableStyle name="Items-style" pivot="0" count="3" xr9:uid="{00000000-0011-0000-FFFF-FFFF05000000}">
      <tableStyleElement type="headerRow" dxfId="25"/>
      <tableStyleElement type="firstRowStripe" dxfId="24"/>
      <tableStyleElement type="secondRowStripe" dxfId="23"/>
    </tableStyle>
    <tableStyle name="Log-style" pivot="0" count="2" xr9:uid="{00000000-0011-0000-FFFF-FFFF06000000}">
      <tableStyleElement type="firstRowStripe" dxfId="22"/>
      <tableStyleElement type="secondRowStripe" dxfId="21"/>
    </tableStyle>
    <tableStyle name="Gold-style" pivot="0" count="3" xr9:uid="{00000000-0011-0000-FFFF-FFFF07000000}">
      <tableStyleElement type="headerRow" dxfId="20"/>
      <tableStyleElement type="firstRowStripe" dxfId="19"/>
      <tableStyleElement type="secondRowStripe" dxfId="18"/>
    </tableStyle>
    <tableStyle name="DatapullerChamp-style" pivot="0" count="3" xr9:uid="{00000000-0011-0000-FFFF-FFFF08000000}">
      <tableStyleElement type="headerRow" dxfId="17"/>
      <tableStyleElement type="firstRowStripe" dxfId="16"/>
      <tableStyleElement type="secondRowStripe" dxfId="15"/>
    </tableStyle>
    <tableStyle name="DatapullerLog-style" pivot="0" count="2" xr9:uid="{00000000-0011-0000-FFFF-FFFF09000000}">
      <tableStyleElement type="firstRowStripe" dxfId="14"/>
      <tableStyleElement type="secondRowStripe" dxfId="13"/>
    </tableStyle>
    <tableStyle name="DatapullerItem-style" pivot="0" count="3" xr9:uid="{00000000-0011-0000-FFFF-FFFF0A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12</xdr:col>
      <xdr:colOff>76200</xdr:colOff>
      <xdr:row>2</xdr:row>
      <xdr:rowOff>28575</xdr:rowOff>
    </xdr:from>
    <xdr:ext cx="809625" cy="809625"/>
    <xdr:sp macro="" textlink="">
      <xdr:nvSpPr>
        <xdr:cNvPr id="3" name="Shape 3">
          <a:extLst>
            <a:ext uri="{FF2B5EF4-FFF2-40B4-BE49-F238E27FC236}">
              <a16:creationId xmlns:a16="http://schemas.microsoft.com/office/drawing/2014/main" id="{00000000-0008-0000-0100-000003000000}"/>
            </a:ext>
          </a:extLst>
        </xdr:cNvPr>
        <xdr:cNvSpPr/>
      </xdr:nvSpPr>
      <xdr:spPr>
        <a:xfrm>
          <a:off x="4410075" y="2133600"/>
          <a:ext cx="790500" cy="790800"/>
        </a:xfrm>
        <a:prstGeom prst="bevel">
          <a:avLst>
            <a:gd name="adj" fmla="val 12500"/>
          </a:avLst>
        </a:prstGeom>
        <a:solidFill>
          <a:srgbClr val="FFFFFF"/>
        </a:solidFill>
        <a:ln w="9525" cap="flat" cmpd="sng">
          <a:solidFill>
            <a:srgbClr val="434343"/>
          </a:solidFill>
          <a:prstDash val="solid"/>
          <a:round/>
          <a:headEnd type="none" w="sm" len="sm"/>
          <a:tailEnd type="none" w="sm" len="sm"/>
        </a:ln>
      </xdr:spPr>
      <xdr:txBody>
        <a:bodyPr spcFirstLastPara="1" wrap="square" lIns="91425" tIns="91425" rIns="91425" bIns="91425" anchor="ctr" anchorCtr="0">
          <a:noAutofit/>
        </a:bodyPr>
        <a:lstStyle/>
        <a:p>
          <a:pPr marL="0" lvl="0" indent="0" algn="ctr" rtl="0">
            <a:spcBef>
              <a:spcPts val="0"/>
            </a:spcBef>
            <a:spcAft>
              <a:spcPts val="0"/>
            </a:spcAft>
            <a:buNone/>
          </a:pPr>
          <a:r>
            <a:rPr lang="en-US" sz="900"/>
            <a:t>Max Level</a:t>
          </a:r>
          <a:endParaRPr sz="900"/>
        </a:p>
      </xdr:txBody>
    </xdr:sp>
    <xdr:clientData fLocksWithSheet="0"/>
  </xdr:oneCellAnchor>
  <xdr:oneCellAnchor>
    <xdr:from>
      <xdr:col>10</xdr:col>
      <xdr:colOff>752475</xdr:colOff>
      <xdr:row>38</xdr:row>
      <xdr:rowOff>114300</xdr:rowOff>
    </xdr:from>
    <xdr:ext cx="809625" cy="809625"/>
    <xdr:sp macro="" textlink="">
      <xdr:nvSpPr>
        <xdr:cNvPr id="4" name="Shape 4">
          <a:extLst>
            <a:ext uri="{FF2B5EF4-FFF2-40B4-BE49-F238E27FC236}">
              <a16:creationId xmlns:a16="http://schemas.microsoft.com/office/drawing/2014/main" id="{00000000-0008-0000-0100-000004000000}"/>
            </a:ext>
          </a:extLst>
        </xdr:cNvPr>
        <xdr:cNvSpPr/>
      </xdr:nvSpPr>
      <xdr:spPr>
        <a:xfrm>
          <a:off x="3800475" y="2152650"/>
          <a:ext cx="790500" cy="790800"/>
        </a:xfrm>
        <a:prstGeom prst="bevel">
          <a:avLst>
            <a:gd name="adj" fmla="val 12500"/>
          </a:avLst>
        </a:prstGeom>
        <a:solidFill>
          <a:srgbClr val="C9DAF8"/>
        </a:solidFill>
        <a:ln w="9525" cap="flat" cmpd="sng">
          <a:solidFill>
            <a:srgbClr val="434343"/>
          </a:solidFill>
          <a:prstDash val="solid"/>
          <a:round/>
          <a:headEnd type="none" w="sm" len="sm"/>
          <a:tailEnd type="none" w="sm" len="sm"/>
        </a:ln>
      </xdr:spPr>
      <xdr:txBody>
        <a:bodyPr spcFirstLastPara="1" wrap="square" lIns="91425" tIns="91425" rIns="91425" bIns="91425" anchor="ctr" anchorCtr="0">
          <a:noAutofit/>
        </a:bodyPr>
        <a:lstStyle/>
        <a:p>
          <a:pPr marL="0" lvl="0" indent="0" algn="ctr" rtl="0">
            <a:spcBef>
              <a:spcPts val="0"/>
            </a:spcBef>
            <a:spcAft>
              <a:spcPts val="0"/>
            </a:spcAft>
            <a:buNone/>
          </a:pPr>
          <a:r>
            <a:rPr lang="en-US" sz="900"/>
            <a:t>Copy</a:t>
          </a:r>
          <a:endParaRPr sz="900"/>
        </a:p>
        <a:p>
          <a:pPr marL="0" lvl="0" indent="0" algn="ctr" rtl="0">
            <a:spcBef>
              <a:spcPts val="0"/>
            </a:spcBef>
            <a:spcAft>
              <a:spcPts val="0"/>
            </a:spcAft>
            <a:buNone/>
          </a:pPr>
          <a:r>
            <a:rPr lang="en-US" sz="900"/>
            <a:t>Items1</a:t>
          </a:r>
          <a:endParaRPr sz="900"/>
        </a:p>
      </xdr:txBody>
    </xdr:sp>
    <xdr:clientData fLocksWithSheet="0"/>
  </xdr:oneCellAnchor>
  <xdr:oneCellAnchor>
    <xdr:from>
      <xdr:col>9</xdr:col>
      <xdr:colOff>76200</xdr:colOff>
      <xdr:row>33</xdr:row>
      <xdr:rowOff>152400</xdr:rowOff>
    </xdr:from>
    <xdr:ext cx="809625" cy="809625"/>
    <xdr:sp macro="" textlink="">
      <xdr:nvSpPr>
        <xdr:cNvPr id="5" name="Shape 5">
          <a:extLst>
            <a:ext uri="{FF2B5EF4-FFF2-40B4-BE49-F238E27FC236}">
              <a16:creationId xmlns:a16="http://schemas.microsoft.com/office/drawing/2014/main" id="{00000000-0008-0000-0100-000005000000}"/>
            </a:ext>
          </a:extLst>
        </xdr:cNvPr>
        <xdr:cNvSpPr/>
      </xdr:nvSpPr>
      <xdr:spPr>
        <a:xfrm>
          <a:off x="4562475" y="2286000"/>
          <a:ext cx="790500" cy="790800"/>
        </a:xfrm>
        <a:prstGeom prst="bevel">
          <a:avLst>
            <a:gd name="adj" fmla="val 12500"/>
          </a:avLst>
        </a:prstGeom>
        <a:solidFill>
          <a:srgbClr val="FFE599"/>
        </a:solidFill>
        <a:ln w="9525" cap="flat" cmpd="sng">
          <a:solidFill>
            <a:srgbClr val="434343"/>
          </a:solidFill>
          <a:prstDash val="solid"/>
          <a:round/>
          <a:headEnd type="none" w="sm" len="sm"/>
          <a:tailEnd type="none" w="sm" len="sm"/>
        </a:ln>
      </xdr:spPr>
      <xdr:txBody>
        <a:bodyPr spcFirstLastPara="1" wrap="square" lIns="91425" tIns="91425" rIns="91425" bIns="91425" anchor="ctr" anchorCtr="0">
          <a:noAutofit/>
        </a:bodyPr>
        <a:lstStyle/>
        <a:p>
          <a:pPr marL="0" lvl="0" indent="0" algn="ctr" rtl="0">
            <a:spcBef>
              <a:spcPts val="0"/>
            </a:spcBef>
            <a:spcAft>
              <a:spcPts val="0"/>
            </a:spcAft>
            <a:buNone/>
          </a:pPr>
          <a:r>
            <a:rPr lang="en-US" sz="900"/>
            <a:t>PTA</a:t>
          </a:r>
          <a:endParaRPr sz="900"/>
        </a:p>
        <a:p>
          <a:pPr marL="0" lvl="0" indent="0" algn="ctr" rtl="0">
            <a:spcBef>
              <a:spcPts val="0"/>
            </a:spcBef>
            <a:spcAft>
              <a:spcPts val="0"/>
            </a:spcAft>
            <a:buNone/>
          </a:pPr>
          <a:r>
            <a:rPr lang="en-US" sz="900"/>
            <a:t>Runes</a:t>
          </a:r>
          <a:endParaRPr sz="900"/>
        </a:p>
      </xdr:txBody>
    </xdr:sp>
    <xdr:clientData fLocksWithSheet="0"/>
  </xdr:oneCellAnchor>
  <xdr:oneCellAnchor>
    <xdr:from>
      <xdr:col>9</xdr:col>
      <xdr:colOff>76200</xdr:colOff>
      <xdr:row>38</xdr:row>
      <xdr:rowOff>114300</xdr:rowOff>
    </xdr:from>
    <xdr:ext cx="809625" cy="809625"/>
    <xdr:sp macro="" textlink="">
      <xdr:nvSpPr>
        <xdr:cNvPr id="6" name="Shape 6">
          <a:extLst>
            <a:ext uri="{FF2B5EF4-FFF2-40B4-BE49-F238E27FC236}">
              <a16:creationId xmlns:a16="http://schemas.microsoft.com/office/drawing/2014/main" id="{00000000-0008-0000-0100-000006000000}"/>
            </a:ext>
          </a:extLst>
        </xdr:cNvPr>
        <xdr:cNvSpPr/>
      </xdr:nvSpPr>
      <xdr:spPr>
        <a:xfrm>
          <a:off x="4410075" y="2133600"/>
          <a:ext cx="790500" cy="790800"/>
        </a:xfrm>
        <a:prstGeom prst="bevel">
          <a:avLst>
            <a:gd name="adj" fmla="val 12500"/>
          </a:avLst>
        </a:prstGeom>
        <a:solidFill>
          <a:srgbClr val="E06666"/>
        </a:solidFill>
        <a:ln w="9525" cap="flat" cmpd="sng">
          <a:solidFill>
            <a:srgbClr val="434343"/>
          </a:solidFill>
          <a:prstDash val="solid"/>
          <a:round/>
          <a:headEnd type="none" w="sm" len="sm"/>
          <a:tailEnd type="none" w="sm" len="sm"/>
        </a:ln>
      </xdr:spPr>
      <xdr:txBody>
        <a:bodyPr spcFirstLastPara="1" wrap="square" lIns="91425" tIns="91425" rIns="91425" bIns="91425" anchor="ctr" anchorCtr="0">
          <a:noAutofit/>
        </a:bodyPr>
        <a:lstStyle/>
        <a:p>
          <a:pPr marL="0" lvl="0" indent="0" algn="ctr" rtl="0">
            <a:spcBef>
              <a:spcPts val="0"/>
            </a:spcBef>
            <a:spcAft>
              <a:spcPts val="0"/>
            </a:spcAft>
            <a:buNone/>
          </a:pPr>
          <a:r>
            <a:rPr lang="en-US" sz="900"/>
            <a:t>Electro</a:t>
          </a:r>
          <a:endParaRPr sz="900"/>
        </a:p>
        <a:p>
          <a:pPr marL="0" lvl="0" indent="0" algn="ctr" rtl="0">
            <a:spcBef>
              <a:spcPts val="0"/>
            </a:spcBef>
            <a:spcAft>
              <a:spcPts val="0"/>
            </a:spcAft>
            <a:buNone/>
          </a:pPr>
          <a:r>
            <a:rPr lang="en-US" sz="900"/>
            <a:t>Runes</a:t>
          </a:r>
          <a:endParaRPr sz="900"/>
        </a:p>
      </xdr:txBody>
    </xdr:sp>
    <xdr:clientData fLocksWithSheet="0"/>
  </xdr:oneCellAnchor>
  <xdr:oneCellAnchor>
    <xdr:from>
      <xdr:col>10</xdr:col>
      <xdr:colOff>752475</xdr:colOff>
      <xdr:row>33</xdr:row>
      <xdr:rowOff>152400</xdr:rowOff>
    </xdr:from>
    <xdr:ext cx="809625" cy="809625"/>
    <xdr:sp macro="" textlink="">
      <xdr:nvSpPr>
        <xdr:cNvPr id="7" name="Shape 7">
          <a:extLst>
            <a:ext uri="{FF2B5EF4-FFF2-40B4-BE49-F238E27FC236}">
              <a16:creationId xmlns:a16="http://schemas.microsoft.com/office/drawing/2014/main" id="{00000000-0008-0000-0100-000007000000}"/>
            </a:ext>
          </a:extLst>
        </xdr:cNvPr>
        <xdr:cNvSpPr/>
      </xdr:nvSpPr>
      <xdr:spPr>
        <a:xfrm>
          <a:off x="4410075" y="2133600"/>
          <a:ext cx="790500" cy="790800"/>
        </a:xfrm>
        <a:prstGeom prst="bevel">
          <a:avLst>
            <a:gd name="adj" fmla="val 12500"/>
          </a:avLst>
        </a:prstGeom>
        <a:solidFill>
          <a:srgbClr val="4A86E8"/>
        </a:solidFill>
        <a:ln w="9525" cap="flat" cmpd="sng">
          <a:solidFill>
            <a:srgbClr val="434343"/>
          </a:solidFill>
          <a:prstDash val="solid"/>
          <a:round/>
          <a:headEnd type="none" w="sm" len="sm"/>
          <a:tailEnd type="none" w="sm" len="sm"/>
        </a:ln>
      </xdr:spPr>
      <xdr:txBody>
        <a:bodyPr spcFirstLastPara="1" wrap="square" lIns="91425" tIns="91425" rIns="91425" bIns="91425" anchor="ctr" anchorCtr="0">
          <a:noAutofit/>
        </a:bodyPr>
        <a:lstStyle/>
        <a:p>
          <a:pPr marL="0" lvl="0" indent="0" algn="ctr" rtl="0">
            <a:spcBef>
              <a:spcPts val="0"/>
            </a:spcBef>
            <a:spcAft>
              <a:spcPts val="0"/>
            </a:spcAft>
            <a:buNone/>
          </a:pPr>
          <a:r>
            <a:rPr lang="en-US" sz="900"/>
            <a:t>Comet</a:t>
          </a:r>
          <a:endParaRPr sz="900"/>
        </a:p>
        <a:p>
          <a:pPr marL="0" lvl="0" indent="0" algn="ctr" rtl="0">
            <a:spcBef>
              <a:spcPts val="0"/>
            </a:spcBef>
            <a:spcAft>
              <a:spcPts val="0"/>
            </a:spcAft>
            <a:buNone/>
          </a:pPr>
          <a:r>
            <a:rPr lang="en-US" sz="900"/>
            <a:t>Runes</a:t>
          </a:r>
          <a:endParaRPr sz="900"/>
        </a:p>
      </xdr:txBody>
    </xdr:sp>
    <xdr:clientData fLocksWithSheet="0"/>
  </xdr:oneCellAnchor>
  <xdr:oneCellAnchor>
    <xdr:from>
      <xdr:col>10</xdr:col>
      <xdr:colOff>323850</xdr:colOff>
      <xdr:row>29</xdr:row>
      <xdr:rowOff>9525</xdr:rowOff>
    </xdr:from>
    <xdr:ext cx="847725" cy="800100"/>
    <xdr:grpSp>
      <xdr:nvGrpSpPr>
        <xdr:cNvPr id="2" name="Shape 2" title="Zeichnung">
          <a:extLst>
            <a:ext uri="{FF2B5EF4-FFF2-40B4-BE49-F238E27FC236}">
              <a16:creationId xmlns:a16="http://schemas.microsoft.com/office/drawing/2014/main" id="{00000000-0008-0000-0100-000002000000}"/>
            </a:ext>
          </a:extLst>
        </xdr:cNvPr>
        <xdr:cNvGrpSpPr/>
      </xdr:nvGrpSpPr>
      <xdr:grpSpPr>
        <a:xfrm>
          <a:off x="7852410" y="4665345"/>
          <a:ext cx="847725" cy="800100"/>
          <a:chOff x="4086225" y="2771775"/>
          <a:chExt cx="905025" cy="857400"/>
        </a:xfrm>
      </xdr:grpSpPr>
      <xdr:sp macro="" textlink="">
        <xdr:nvSpPr>
          <xdr:cNvPr id="8" name="Shape 8">
            <a:extLst>
              <a:ext uri="{FF2B5EF4-FFF2-40B4-BE49-F238E27FC236}">
                <a16:creationId xmlns:a16="http://schemas.microsoft.com/office/drawing/2014/main" id="{00000000-0008-0000-0100-000008000000}"/>
              </a:ext>
            </a:extLst>
          </xdr:cNvPr>
          <xdr:cNvSpPr/>
        </xdr:nvSpPr>
        <xdr:spPr>
          <a:xfrm>
            <a:off x="4086225" y="2771775"/>
            <a:ext cx="857400" cy="857400"/>
          </a:xfrm>
          <a:prstGeom prst="bevel">
            <a:avLst>
              <a:gd name="adj" fmla="val 12500"/>
            </a:avLst>
          </a:prstGeom>
          <a:solidFill>
            <a:srgbClr val="B7B7B7"/>
          </a:solidFill>
          <a:ln w="9525" cap="flat" cmpd="sng">
            <a:solidFill>
              <a:srgbClr val="434343"/>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9" name="Shape 9">
            <a:extLst>
              <a:ext uri="{FF2B5EF4-FFF2-40B4-BE49-F238E27FC236}">
                <a16:creationId xmlns:a16="http://schemas.microsoft.com/office/drawing/2014/main" id="{00000000-0008-0000-0100-000009000000}"/>
              </a:ext>
            </a:extLst>
          </xdr:cNvPr>
          <xdr:cNvSpPr txBox="1"/>
        </xdr:nvSpPr>
        <xdr:spPr>
          <a:xfrm>
            <a:off x="4133850" y="2988975"/>
            <a:ext cx="857400" cy="640200"/>
          </a:xfrm>
          <a:prstGeom prst="rect">
            <a:avLst/>
          </a:prstGeom>
          <a:noFill/>
          <a:ln>
            <a:noFill/>
          </a:ln>
        </xdr:spPr>
        <xdr:txBody>
          <a:bodyPr spcFirstLastPara="1" wrap="square" lIns="91425" tIns="91425" rIns="91425" bIns="91425" anchor="t" anchorCtr="0">
            <a:noAutofit/>
          </a:bodyPr>
          <a:lstStyle/>
          <a:p>
            <a:pPr marL="0" lvl="0" indent="0" algn="l" rtl="0">
              <a:spcBef>
                <a:spcPts val="0"/>
              </a:spcBef>
              <a:spcAft>
                <a:spcPts val="0"/>
              </a:spcAft>
              <a:buNone/>
            </a:pPr>
            <a:r>
              <a:rPr lang="en-US" sz="1400"/>
              <a:t>RESET</a:t>
            </a:r>
            <a:endParaRPr sz="1400"/>
          </a:p>
        </xdr:txBody>
      </xdr:sp>
    </xdr:grp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6</xdr:col>
      <xdr:colOff>152400</xdr:colOff>
      <xdr:row>30</xdr:row>
      <xdr:rowOff>66675</xdr:rowOff>
    </xdr:from>
    <xdr:ext cx="1019175" cy="1019175"/>
    <xdr:grpSp>
      <xdr:nvGrpSpPr>
        <xdr:cNvPr id="2" name="Shape 2" title="Zeichnung">
          <a:extLst>
            <a:ext uri="{FF2B5EF4-FFF2-40B4-BE49-F238E27FC236}">
              <a16:creationId xmlns:a16="http://schemas.microsoft.com/office/drawing/2014/main" id="{00000000-0008-0000-0200-000002000000}"/>
            </a:ext>
          </a:extLst>
        </xdr:cNvPr>
        <xdr:cNvGrpSpPr/>
      </xdr:nvGrpSpPr>
      <xdr:grpSpPr>
        <a:xfrm>
          <a:off x="3215640" y="5781675"/>
          <a:ext cx="1019175" cy="1019175"/>
          <a:chOff x="3331300" y="2133200"/>
          <a:chExt cx="1003200" cy="1003200"/>
        </a:xfrm>
      </xdr:grpSpPr>
      <xdr:sp macro="" textlink="">
        <xdr:nvSpPr>
          <xdr:cNvPr id="10" name="Shape 10">
            <a:extLst>
              <a:ext uri="{FF2B5EF4-FFF2-40B4-BE49-F238E27FC236}">
                <a16:creationId xmlns:a16="http://schemas.microsoft.com/office/drawing/2014/main" id="{00000000-0008-0000-0200-00000A000000}"/>
              </a:ext>
            </a:extLst>
          </xdr:cNvPr>
          <xdr:cNvSpPr/>
        </xdr:nvSpPr>
        <xdr:spPr>
          <a:xfrm>
            <a:off x="3331300" y="2133200"/>
            <a:ext cx="1003200" cy="1003200"/>
          </a:xfrm>
          <a:prstGeom prst="bevel">
            <a:avLst>
              <a:gd name="adj" fmla="val 12500"/>
            </a:avLst>
          </a:prstGeom>
          <a:solidFill>
            <a:srgbClr val="CFE2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1" name="Shape 11">
            <a:extLst>
              <a:ext uri="{FF2B5EF4-FFF2-40B4-BE49-F238E27FC236}">
                <a16:creationId xmlns:a16="http://schemas.microsoft.com/office/drawing/2014/main" id="{00000000-0008-0000-0200-00000B000000}"/>
              </a:ext>
            </a:extLst>
          </xdr:cNvPr>
          <xdr:cNvSpPr txBox="1"/>
        </xdr:nvSpPr>
        <xdr:spPr>
          <a:xfrm>
            <a:off x="3457900" y="2463350"/>
            <a:ext cx="750000" cy="342900"/>
          </a:xfrm>
          <a:prstGeom prst="rect">
            <a:avLst/>
          </a:prstGeom>
          <a:noFill/>
          <a:ln>
            <a:noFill/>
          </a:ln>
        </xdr:spPr>
        <xdr:txBody>
          <a:bodyPr spcFirstLastPara="1" wrap="square" lIns="91425" tIns="91425" rIns="91425" bIns="91425" anchor="t" anchorCtr="0">
            <a:noAutofit/>
          </a:bodyPr>
          <a:lstStyle/>
          <a:p>
            <a:pPr marL="0" lvl="0" indent="0" algn="ctr" rtl="0">
              <a:spcBef>
                <a:spcPts val="0"/>
              </a:spcBef>
              <a:spcAft>
                <a:spcPts val="0"/>
              </a:spcAft>
              <a:buNone/>
            </a:pPr>
            <a:r>
              <a:rPr lang="en-US" sz="1400"/>
              <a:t>Reset</a:t>
            </a:r>
            <a:endParaRPr sz="1400"/>
          </a:p>
        </xdr:txBody>
      </xdr:sp>
    </xdr:grp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257175</xdr:colOff>
      <xdr:row>5</xdr:row>
      <xdr:rowOff>733425</xdr:rowOff>
    </xdr:from>
    <xdr:ext cx="3810000" cy="1504950"/>
    <xdr:grpSp>
      <xdr:nvGrpSpPr>
        <xdr:cNvPr id="2" name="Shape 2" title="Zeichnung">
          <a:extLst>
            <a:ext uri="{FF2B5EF4-FFF2-40B4-BE49-F238E27FC236}">
              <a16:creationId xmlns:a16="http://schemas.microsoft.com/office/drawing/2014/main" id="{00000000-0008-0000-0300-000002000000}"/>
            </a:ext>
          </a:extLst>
        </xdr:cNvPr>
        <xdr:cNvGrpSpPr/>
      </xdr:nvGrpSpPr>
      <xdr:grpSpPr>
        <a:xfrm>
          <a:off x="249555" y="3888105"/>
          <a:ext cx="3810000" cy="1504950"/>
          <a:chOff x="2805300" y="2366975"/>
          <a:chExt cx="4850700" cy="1909200"/>
        </a:xfrm>
      </xdr:grpSpPr>
      <xdr:sp macro="" textlink="">
        <xdr:nvSpPr>
          <xdr:cNvPr id="12" name="Shape 12">
            <a:extLst>
              <a:ext uri="{FF2B5EF4-FFF2-40B4-BE49-F238E27FC236}">
                <a16:creationId xmlns:a16="http://schemas.microsoft.com/office/drawing/2014/main" id="{00000000-0008-0000-0300-00000C000000}"/>
              </a:ext>
            </a:extLst>
          </xdr:cNvPr>
          <xdr:cNvSpPr/>
        </xdr:nvSpPr>
        <xdr:spPr>
          <a:xfrm>
            <a:off x="2805300" y="2366975"/>
            <a:ext cx="4850700" cy="1909200"/>
          </a:xfrm>
          <a:prstGeom prst="bevel">
            <a:avLst>
              <a:gd name="adj" fmla="val 12500"/>
            </a:avLst>
          </a:prstGeom>
          <a:solidFill>
            <a:srgbClr val="CFE2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3" name="Shape 13">
            <a:extLst>
              <a:ext uri="{FF2B5EF4-FFF2-40B4-BE49-F238E27FC236}">
                <a16:creationId xmlns:a16="http://schemas.microsoft.com/office/drawing/2014/main" id="{00000000-0008-0000-0300-00000D000000}"/>
              </a:ext>
            </a:extLst>
          </xdr:cNvPr>
          <xdr:cNvSpPr txBox="1"/>
        </xdr:nvSpPr>
        <xdr:spPr>
          <a:xfrm>
            <a:off x="3177750" y="2568575"/>
            <a:ext cx="4105800" cy="1506000"/>
          </a:xfrm>
          <a:prstGeom prst="rect">
            <a:avLst/>
          </a:prstGeom>
          <a:noFill/>
          <a:ln>
            <a:noFill/>
          </a:ln>
        </xdr:spPr>
        <xdr:txBody>
          <a:bodyPr spcFirstLastPara="1" wrap="square" lIns="91425" tIns="91425" rIns="91425" bIns="91425" anchor="t" anchorCtr="0">
            <a:noAutofit/>
          </a:bodyPr>
          <a:lstStyle/>
          <a:p>
            <a:pPr marL="0" lvl="0" indent="0" algn="ctr" rtl="0">
              <a:spcBef>
                <a:spcPts val="0"/>
              </a:spcBef>
              <a:spcAft>
                <a:spcPts val="0"/>
              </a:spcAft>
              <a:buNone/>
            </a:pPr>
            <a:r>
              <a:rPr lang="en-US" sz="2600"/>
              <a:t>Press here to update the sheet once you gave permission to connect</a:t>
            </a:r>
            <a:endParaRPr sz="2600"/>
          </a:p>
        </xdr:txBody>
      </xdr:sp>
    </xdr:grpSp>
    <xdr:clientData fLocksWithSheet="0"/>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Var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r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B3" headerRowCount="0">
  <tableColumns count="2">
    <tableColumn id="1" xr3:uid="{00000000-0010-0000-0000-000001000000}" name="Column1"/>
    <tableColumn id="2" xr3:uid="{00000000-0010-0000-0000-000002000000}" name="Column2"/>
  </tableColumns>
  <tableStyleInfo name="Instruction-style" showFirstColumn="1" showLastColumn="1"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_10" displayName="Table_10" ref="A1:K9" headerRowCount="0">
  <tableColumns count="11">
    <tableColumn id="1" xr3:uid="{00000000-0010-0000-0900-000001000000}" name="Column1"/>
    <tableColumn id="2" xr3:uid="{00000000-0010-0000-0900-000002000000}" name="Column2"/>
    <tableColumn id="3" xr3:uid="{00000000-0010-0000-0900-000003000000}" name="Column3"/>
    <tableColumn id="4" xr3:uid="{00000000-0010-0000-0900-000004000000}" name="Column4"/>
    <tableColumn id="5" xr3:uid="{00000000-0010-0000-0900-000005000000}" name="Column5"/>
    <tableColumn id="6" xr3:uid="{00000000-0010-0000-0900-000006000000}" name="Column6"/>
    <tableColumn id="7" xr3:uid="{00000000-0010-0000-0900-000007000000}" name="Column7"/>
    <tableColumn id="8" xr3:uid="{00000000-0010-0000-0900-000008000000}" name="Column8"/>
    <tableColumn id="9" xr3:uid="{00000000-0010-0000-0900-000009000000}" name="Column9"/>
    <tableColumn id="10" xr3:uid="{00000000-0010-0000-0900-00000A000000}" name="Column10"/>
    <tableColumn id="11" xr3:uid="{00000000-0010-0000-0900-00000B000000}" name="Column11"/>
  </tableColumns>
  <tableStyleInfo name="DatapullerLog-style" showFirstColumn="1" showLastColumn="1"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_11" displayName="Table_11" ref="A1:AO227" headerRowCount="0">
  <tableColumns count="41">
    <tableColumn id="1" xr3:uid="{00000000-0010-0000-0A00-000001000000}" name="Column1"/>
    <tableColumn id="2" xr3:uid="{00000000-0010-0000-0A00-000002000000}" name="Column2"/>
    <tableColumn id="3" xr3:uid="{00000000-0010-0000-0A00-000003000000}" name="Column3"/>
    <tableColumn id="4" xr3:uid="{00000000-0010-0000-0A00-000004000000}" name="Column4"/>
    <tableColumn id="5" xr3:uid="{00000000-0010-0000-0A00-000005000000}" name="Column5"/>
    <tableColumn id="6" xr3:uid="{00000000-0010-0000-0A00-000006000000}" name="Column6"/>
    <tableColumn id="7" xr3:uid="{00000000-0010-0000-0A00-000007000000}" name="Column7"/>
    <tableColumn id="8" xr3:uid="{00000000-0010-0000-0A00-000008000000}" name="Column8"/>
    <tableColumn id="9" xr3:uid="{00000000-0010-0000-0A00-000009000000}" name="Column9"/>
    <tableColumn id="10" xr3:uid="{00000000-0010-0000-0A00-00000A000000}" name="Column10"/>
    <tableColumn id="11" xr3:uid="{00000000-0010-0000-0A00-00000B000000}" name="Column11"/>
    <tableColumn id="12" xr3:uid="{00000000-0010-0000-0A00-00000C000000}" name="Column12"/>
    <tableColumn id="13" xr3:uid="{00000000-0010-0000-0A00-00000D000000}" name="Column13"/>
    <tableColumn id="14" xr3:uid="{00000000-0010-0000-0A00-00000E000000}" name="Column14"/>
    <tableColumn id="15" xr3:uid="{00000000-0010-0000-0A00-00000F000000}" name="Column15"/>
    <tableColumn id="16" xr3:uid="{00000000-0010-0000-0A00-000010000000}" name="Column16"/>
    <tableColumn id="17" xr3:uid="{00000000-0010-0000-0A00-000011000000}" name="Column17"/>
    <tableColumn id="18" xr3:uid="{00000000-0010-0000-0A00-000012000000}" name="Column18"/>
    <tableColumn id="19" xr3:uid="{00000000-0010-0000-0A00-000013000000}" name="Column19"/>
    <tableColumn id="20" xr3:uid="{00000000-0010-0000-0A00-000014000000}" name="Column20"/>
    <tableColumn id="21" xr3:uid="{00000000-0010-0000-0A00-000015000000}" name="Column21"/>
    <tableColumn id="22" xr3:uid="{00000000-0010-0000-0A00-000016000000}" name="Column22"/>
    <tableColumn id="23" xr3:uid="{00000000-0010-0000-0A00-000017000000}" name="Column23"/>
    <tableColumn id="24" xr3:uid="{00000000-0010-0000-0A00-000018000000}" name="Column24"/>
    <tableColumn id="25" xr3:uid="{00000000-0010-0000-0A00-000019000000}" name="Column25"/>
    <tableColumn id="26" xr3:uid="{00000000-0010-0000-0A00-00001A000000}" name="Column26"/>
    <tableColumn id="27" xr3:uid="{00000000-0010-0000-0A00-00001B000000}" name="Column27"/>
    <tableColumn id="28" xr3:uid="{00000000-0010-0000-0A00-00001C000000}" name="Column28"/>
    <tableColumn id="29" xr3:uid="{00000000-0010-0000-0A00-00001D000000}" name="Column29"/>
    <tableColumn id="30" xr3:uid="{00000000-0010-0000-0A00-00001E000000}" name="Column30"/>
    <tableColumn id="31" xr3:uid="{00000000-0010-0000-0A00-00001F000000}" name="Column31"/>
    <tableColumn id="32" xr3:uid="{00000000-0010-0000-0A00-000020000000}" name="Column32"/>
    <tableColumn id="33" xr3:uid="{00000000-0010-0000-0A00-000021000000}" name="Column33"/>
    <tableColumn id="34" xr3:uid="{00000000-0010-0000-0A00-000022000000}" name="Column34"/>
    <tableColumn id="35" xr3:uid="{00000000-0010-0000-0A00-000023000000}" name="Column35"/>
    <tableColumn id="36" xr3:uid="{00000000-0010-0000-0A00-000024000000}" name="Column36"/>
    <tableColumn id="37" xr3:uid="{00000000-0010-0000-0A00-000025000000}" name="Column37"/>
    <tableColumn id="38" xr3:uid="{00000000-0010-0000-0A00-000026000000}" name="Column38"/>
    <tableColumn id="39" xr3:uid="{00000000-0010-0000-0A00-000027000000}" name="Column39"/>
    <tableColumn id="40" xr3:uid="{00000000-0010-0000-0A00-000028000000}" name="Column40"/>
    <tableColumn id="41" xr3:uid="{00000000-0010-0000-0A00-000029000000}" name="Column41"/>
  </tableColumns>
  <tableStyleInfo name="DatapullerItem-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B6:E36" headerRowCount="0">
  <tableColumns count="4">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s>
  <tableStyleInfo name="Very basic Fight Sim-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J6:L36" headerRowCount="0">
  <tableColumns count="3">
    <tableColumn id="1" xr3:uid="{00000000-0010-0000-0200-000001000000}" name="Column1"/>
    <tableColumn id="2" xr3:uid="{00000000-0010-0000-0200-000002000000}" name="Column2"/>
    <tableColumn id="3" xr3:uid="{00000000-0010-0000-0200-000003000000}" name="Column3"/>
  </tableColumns>
  <tableStyleInfo name="Very basic Fight Sim-style 2"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1:AJ200">
  <tableColumns count="36">
    <tableColumn id="1" xr3:uid="{00000000-0010-0000-0300-000001000000}" name="Champions"/>
    <tableColumn id="2" xr3:uid="{00000000-0010-0000-0300-000002000000}" name="HP"/>
    <tableColumn id="3" xr3:uid="{00000000-0010-0000-0300-000003000000}" name="HP+"/>
    <tableColumn id="4" xr3:uid="{00000000-0010-0000-0300-000004000000}" name="HP5"/>
    <tableColumn id="5" xr3:uid="{00000000-0010-0000-0300-000005000000}" name="HP5+"/>
    <tableColumn id="6" xr3:uid="{00000000-0010-0000-0300-000006000000}" name="MP"/>
    <tableColumn id="7" xr3:uid="{00000000-0010-0000-0300-000007000000}" name="MP+"/>
    <tableColumn id="8" xr3:uid="{00000000-0010-0000-0300-000008000000}" name="MP5"/>
    <tableColumn id="9" xr3:uid="{00000000-0010-0000-0300-000009000000}" name="MP5+"/>
    <tableColumn id="10" xr3:uid="{00000000-0010-0000-0300-00000A000000}" name="AD"/>
    <tableColumn id="11" xr3:uid="{00000000-0010-0000-0300-00000B000000}" name="AD+"/>
    <tableColumn id="12" xr3:uid="{00000000-0010-0000-0300-00000C000000}" name="AS"/>
    <tableColumn id="13" xr3:uid="{00000000-0010-0000-0300-00000D000000}" name="Ratio"/>
    <tableColumn id="14" xr3:uid="{00000000-0010-0000-0300-00000E000000}" name="AS+"/>
    <tableColumn id="15" xr3:uid="{00000000-0010-0000-0300-00000F000000}" name="AR"/>
    <tableColumn id="16" xr3:uid="{00000000-0010-0000-0300-000010000000}" name="AR+"/>
    <tableColumn id="17" xr3:uid="{00000000-0010-0000-0300-000011000000}" name="MR"/>
    <tableColumn id="18" xr3:uid="{00000000-0010-0000-0300-000012000000}" name="MR+"/>
    <tableColumn id="19" xr3:uid="{00000000-0010-0000-0300-000013000000}" name="MS"/>
    <tableColumn id="20" xr3:uid="{00000000-0010-0000-0300-000014000000}" name="Range"/>
    <tableColumn id="21" xr3:uid="{00000000-0010-0000-0300-000015000000}" name="Q-DMG"/>
    <tableColumn id="22" xr3:uid="{00000000-0010-0000-0300-000016000000}" name="W-DMG"/>
    <tableColumn id="23" xr3:uid="{00000000-0010-0000-0300-000017000000}" name="E-DMG"/>
    <tableColumn id="24" xr3:uid="{00000000-0010-0000-0300-000018000000}" name="R-DMG"/>
    <tableColumn id="25" xr3:uid="{00000000-0010-0000-0300-000019000000}" name="P-DMG"/>
    <tableColumn id="26" xr3:uid="{00000000-0010-0000-0300-00001A000000}" name="Q-CD"/>
    <tableColumn id="27" xr3:uid="{00000000-0010-0000-0300-00001B000000}" name="W-CD"/>
    <tableColumn id="28" xr3:uid="{00000000-0010-0000-0300-00001C000000}" name="E-CD"/>
    <tableColumn id="29" xr3:uid="{00000000-0010-0000-0300-00001D000000}" name="R-CD"/>
    <tableColumn id="30" xr3:uid="{00000000-0010-0000-0300-00001E000000}" name="P-CD"/>
    <tableColumn id="31" xr3:uid="{00000000-0010-0000-0300-00001F000000}" name="Melee?"/>
    <tableColumn id="32" xr3:uid="{00000000-0010-0000-0300-000020000000}" name="Icon"/>
    <tableColumn id="33" xr3:uid="{00000000-0010-0000-0300-000021000000}" name="Burst Calc"/>
    <tableColumn id="34" xr3:uid="{00000000-0010-0000-0300-000022000000}" name="Trade Calc"/>
    <tableColumn id="35" xr3:uid="{00000000-0010-0000-0300-000023000000}" name="Energy"/>
    <tableColumn id="36" xr3:uid="{00000000-0010-0000-0300-000024000000}" name="No Mana"/>
  </tableColumns>
  <tableStyleInfo name="Champs-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B200" headerRowCount="0">
  <tableColumns count="2">
    <tableColumn id="1" xr3:uid="{00000000-0010-0000-0400-000001000000}" name="Column1"/>
    <tableColumn id="2" xr3:uid="{00000000-0010-0000-0400-000002000000}" name="Column2"/>
  </tableColumns>
  <tableStyleInfo name="ChampInfo-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1:AP227" headerRowCount="0">
  <tableColumns count="42">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 id="7" xr3:uid="{00000000-0010-0000-0500-000007000000}" name="Column7"/>
    <tableColumn id="8" xr3:uid="{00000000-0010-0000-0500-000008000000}" name="Column8"/>
    <tableColumn id="9" xr3:uid="{00000000-0010-0000-0500-000009000000}" name="Column9"/>
    <tableColumn id="10" xr3:uid="{00000000-0010-0000-0500-00000A000000}" name="Column10"/>
    <tableColumn id="11" xr3:uid="{00000000-0010-0000-0500-00000B000000}" name="Column11"/>
    <tableColumn id="12" xr3:uid="{00000000-0010-0000-0500-00000C000000}" name="Column12"/>
    <tableColumn id="13" xr3:uid="{00000000-0010-0000-0500-00000D000000}" name="Column13"/>
    <tableColumn id="14" xr3:uid="{00000000-0010-0000-0500-00000E000000}" name="Column14"/>
    <tableColumn id="15" xr3:uid="{00000000-0010-0000-0500-00000F000000}" name="Column15"/>
    <tableColumn id="16" xr3:uid="{00000000-0010-0000-0500-000010000000}" name="Column16"/>
    <tableColumn id="17" xr3:uid="{00000000-0010-0000-0500-000011000000}" name="Column17"/>
    <tableColumn id="18" xr3:uid="{00000000-0010-0000-0500-000012000000}" name="Column18"/>
    <tableColumn id="19" xr3:uid="{00000000-0010-0000-0500-000013000000}" name="Column19"/>
    <tableColumn id="20" xr3:uid="{00000000-0010-0000-0500-000014000000}" name="Column20"/>
    <tableColumn id="21" xr3:uid="{00000000-0010-0000-0500-000015000000}" name="Column21"/>
    <tableColumn id="22" xr3:uid="{00000000-0010-0000-0500-000016000000}" name="Column22"/>
    <tableColumn id="23" xr3:uid="{00000000-0010-0000-0500-000017000000}" name="Column23"/>
    <tableColumn id="24" xr3:uid="{00000000-0010-0000-0500-000018000000}" name="Column24"/>
    <tableColumn id="25" xr3:uid="{00000000-0010-0000-0500-000019000000}" name="Column25"/>
    <tableColumn id="26" xr3:uid="{00000000-0010-0000-0500-00001A000000}" name="Column26"/>
    <tableColumn id="27" xr3:uid="{00000000-0010-0000-0500-00001B000000}" name="Column27"/>
    <tableColumn id="28" xr3:uid="{00000000-0010-0000-0500-00001C000000}" name="Column28"/>
    <tableColumn id="29" xr3:uid="{00000000-0010-0000-0500-00001D000000}" name="Column29"/>
    <tableColumn id="30" xr3:uid="{00000000-0010-0000-0500-00001E000000}" name="Column30"/>
    <tableColumn id="31" xr3:uid="{00000000-0010-0000-0500-00001F000000}" name="Column31"/>
    <tableColumn id="32" xr3:uid="{00000000-0010-0000-0500-000020000000}" name="Column32"/>
    <tableColumn id="33" xr3:uid="{00000000-0010-0000-0500-000021000000}" name="Column33"/>
    <tableColumn id="34" xr3:uid="{00000000-0010-0000-0500-000022000000}" name="Column34"/>
    <tableColumn id="35" xr3:uid="{00000000-0010-0000-0500-000023000000}" name="Column35"/>
    <tableColumn id="36" xr3:uid="{00000000-0010-0000-0500-000024000000}" name="Column36"/>
    <tableColumn id="37" xr3:uid="{00000000-0010-0000-0500-000025000000}" name="Column37"/>
    <tableColumn id="38" xr3:uid="{00000000-0010-0000-0500-000026000000}" name="Column38"/>
    <tableColumn id="39" xr3:uid="{00000000-0010-0000-0500-000027000000}" name="Column39"/>
    <tableColumn id="40" xr3:uid="{00000000-0010-0000-0500-000028000000}" name="Column40"/>
    <tableColumn id="41" xr3:uid="{00000000-0010-0000-0500-000029000000}" name="Column41"/>
    <tableColumn id="42" xr3:uid="{00000000-0010-0000-0500-00002A000000}" name="Column42"/>
  </tableColumns>
  <tableStyleInfo name="Items-style"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1:K9" headerRowCount="0">
  <tableColumns count="11">
    <tableColumn id="1" xr3:uid="{00000000-0010-0000-0600-000001000000}" name="Column1"/>
    <tableColumn id="2" xr3:uid="{00000000-0010-0000-0600-000002000000}" name="Column2"/>
    <tableColumn id="3" xr3:uid="{00000000-0010-0000-0600-000003000000}" name="Column3"/>
    <tableColumn id="4" xr3:uid="{00000000-0010-0000-0600-000004000000}" name="Column4"/>
    <tableColumn id="5" xr3:uid="{00000000-0010-0000-0600-000005000000}" name="Column5"/>
    <tableColumn id="6" xr3:uid="{00000000-0010-0000-0600-000006000000}" name="Column6"/>
    <tableColumn id="7" xr3:uid="{00000000-0010-0000-0600-000007000000}" name="Column7"/>
    <tableColumn id="8" xr3:uid="{00000000-0010-0000-0600-000008000000}" name="Column8"/>
    <tableColumn id="9" xr3:uid="{00000000-0010-0000-0600-000009000000}" name="Column9"/>
    <tableColumn id="10" xr3:uid="{00000000-0010-0000-0600-00000A000000}" name="Column10"/>
    <tableColumn id="11" xr3:uid="{00000000-0010-0000-0600-00000B000000}" name="Column11"/>
  </tableColumns>
  <tableStyleInfo name="Log-style"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A1:J30">
  <tableColumns count="10">
    <tableColumn id="1" xr3:uid="{00000000-0010-0000-0700-000001000000}" name="Gametime"/>
    <tableColumn id="2" xr3:uid="{00000000-0010-0000-0700-000002000000}" name="CS"/>
    <tableColumn id="3" xr3:uid="{00000000-0010-0000-0700-000003000000}" name="Melee"/>
    <tableColumn id="4" xr3:uid="{00000000-0010-0000-0700-000004000000}" name="Caster"/>
    <tableColumn id="5" xr3:uid="{00000000-0010-0000-0700-000005000000}" name="Cannon"/>
    <tableColumn id="6" xr3:uid="{00000000-0010-0000-0700-000006000000}" name="CS Gold"/>
    <tableColumn id="7" xr3:uid="{00000000-0010-0000-0700-000007000000}" name="Passive Gold"/>
    <tableColumn id="8" xr3:uid="{00000000-0010-0000-0700-000008000000}" name="Total Gold"/>
    <tableColumn id="9" xr3:uid="{00000000-0010-0000-0700-000009000000}" name="Farmed"/>
    <tableColumn id="10" xr3:uid="{00000000-0010-0000-0700-00000A000000}" name="EXP MOD"/>
  </tableColumns>
  <tableStyleInfo name="Gold-style"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A1:AJ200">
  <tableColumns count="36">
    <tableColumn id="1" xr3:uid="{00000000-0010-0000-0800-000001000000}" name="Champions"/>
    <tableColumn id="2" xr3:uid="{00000000-0010-0000-0800-000002000000}" name="HP"/>
    <tableColumn id="3" xr3:uid="{00000000-0010-0000-0800-000003000000}" name="HP+"/>
    <tableColumn id="4" xr3:uid="{00000000-0010-0000-0800-000004000000}" name="HP5"/>
    <tableColumn id="5" xr3:uid="{00000000-0010-0000-0800-000005000000}" name="HP5+"/>
    <tableColumn id="6" xr3:uid="{00000000-0010-0000-0800-000006000000}" name="MP"/>
    <tableColumn id="7" xr3:uid="{00000000-0010-0000-0800-000007000000}" name="MP+"/>
    <tableColumn id="8" xr3:uid="{00000000-0010-0000-0800-000008000000}" name="MP5"/>
    <tableColumn id="9" xr3:uid="{00000000-0010-0000-0800-000009000000}" name="MP5+"/>
    <tableColumn id="10" xr3:uid="{00000000-0010-0000-0800-00000A000000}" name="AD"/>
    <tableColumn id="11" xr3:uid="{00000000-0010-0000-0800-00000B000000}" name="AD+"/>
    <tableColumn id="12" xr3:uid="{00000000-0010-0000-0800-00000C000000}" name="AS"/>
    <tableColumn id="13" xr3:uid="{00000000-0010-0000-0800-00000D000000}" name="Ratio"/>
    <tableColumn id="14" xr3:uid="{00000000-0010-0000-0800-00000E000000}" name="AS+"/>
    <tableColumn id="15" xr3:uid="{00000000-0010-0000-0800-00000F000000}" name="AR"/>
    <tableColumn id="16" xr3:uid="{00000000-0010-0000-0800-000010000000}" name="AR+"/>
    <tableColumn id="17" xr3:uid="{00000000-0010-0000-0800-000011000000}" name="MR"/>
    <tableColumn id="18" xr3:uid="{00000000-0010-0000-0800-000012000000}" name="MR+"/>
    <tableColumn id="19" xr3:uid="{00000000-0010-0000-0800-000013000000}" name="MS"/>
    <tableColumn id="20" xr3:uid="{00000000-0010-0000-0800-000014000000}" name="Range"/>
    <tableColumn id="21" xr3:uid="{00000000-0010-0000-0800-000015000000}" name="Q-DMG"/>
    <tableColumn id="22" xr3:uid="{00000000-0010-0000-0800-000016000000}" name="W-DMG"/>
    <tableColumn id="23" xr3:uid="{00000000-0010-0000-0800-000017000000}" name="E-DMG"/>
    <tableColumn id="24" xr3:uid="{00000000-0010-0000-0800-000018000000}" name="R-DMG"/>
    <tableColumn id="25" xr3:uid="{00000000-0010-0000-0800-000019000000}" name="P-DMG"/>
    <tableColumn id="26" xr3:uid="{00000000-0010-0000-0800-00001A000000}" name="Q-CD"/>
    <tableColumn id="27" xr3:uid="{00000000-0010-0000-0800-00001B000000}" name="W-CD"/>
    <tableColumn id="28" xr3:uid="{00000000-0010-0000-0800-00001C000000}" name="E-CD"/>
    <tableColumn id="29" xr3:uid="{00000000-0010-0000-0800-00001D000000}" name="R-CD"/>
    <tableColumn id="30" xr3:uid="{00000000-0010-0000-0800-00001E000000}" name="P-CD"/>
    <tableColumn id="31" xr3:uid="{00000000-0010-0000-0800-00001F000000}" name="Melee?"/>
    <tableColumn id="32" xr3:uid="{00000000-0010-0000-0800-000020000000}" name="Icon"/>
    <tableColumn id="33" xr3:uid="{00000000-0010-0000-0800-000021000000}" name="Burst Calc"/>
    <tableColumn id="34" xr3:uid="{00000000-0010-0000-0800-000022000000}" name="Trade Calc"/>
    <tableColumn id="35" xr3:uid="{00000000-0010-0000-0800-000023000000}" name="Energy"/>
    <tableColumn id="36" xr3:uid="{00000000-0010-0000-0800-000024000000}" name="No Mana"/>
  </tableColumns>
  <tableStyleInfo name="DatapullerChamp-style" showFirstColumn="1" showLastColumn="1"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hyperlink" Target="http://leagueoflegends.wikia.com/wiki/Range" TargetMode="External"/><Relationship Id="rId1" Type="http://schemas.openxmlformats.org/officeDocument/2006/relationships/hyperlink" Target="http://leagueoflegends.wikia.com/wiki/Champion" TargetMode="External"/><Relationship Id="rId5" Type="http://schemas.openxmlformats.org/officeDocument/2006/relationships/comments" Target="../comments4.xml"/><Relationship Id="rId4" Type="http://schemas.openxmlformats.org/officeDocument/2006/relationships/table" Target="../tables/table9.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hyperlink" Target="https://lolshop.gg/" TargetMode="External"/></Relationships>
</file>

<file path=xl/worksheets/_rels/sheet18.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leagueoflegends.wikia.com/wiki/Range" TargetMode="External"/><Relationship Id="rId1" Type="http://schemas.openxmlformats.org/officeDocument/2006/relationships/hyperlink" Target="http://leagueoflegends.wikia.com/wiki/Champion" TargetMode="External"/><Relationship Id="rId5" Type="http://schemas.openxmlformats.org/officeDocument/2006/relationships/comments" Target="../comments2.xml"/><Relationship Id="rId4"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6.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FF"/>
    <outlinePr summaryBelow="0" summaryRight="0"/>
  </sheetPr>
  <dimension ref="A1:B5"/>
  <sheetViews>
    <sheetView showGridLines="0" workbookViewId="0"/>
  </sheetViews>
  <sheetFormatPr baseColWidth="10" defaultColWidth="12.6640625" defaultRowHeight="15" customHeight="1"/>
  <cols>
    <col min="1" max="1" width="103.88671875" customWidth="1"/>
    <col min="2" max="2" width="50.88671875" customWidth="1"/>
  </cols>
  <sheetData>
    <row r="1" spans="1:2" ht="15" customHeight="1">
      <c r="A1" s="1" t="s">
        <v>0</v>
      </c>
      <c r="B1" s="2" t="s">
        <v>1</v>
      </c>
    </row>
    <row r="2" spans="1:2" ht="15" customHeight="1">
      <c r="A2" s="3" t="s">
        <v>2</v>
      </c>
      <c r="B2" s="4" t="str">
        <f>HYPERLINK("https://www.youtube.com/watch?v=JBkDOgRW-QY","xPetu's video")</f>
        <v>xPetu's video</v>
      </c>
    </row>
    <row r="3" spans="1:2" ht="15" customHeight="1">
      <c r="A3" s="5" t="str">
        <f>HYPERLINK("https://docs.google.com/spreadsheets/d/1NrhB6aNDLuAZv8BYQzAIPZYgXLlmXOHsoCqPxm0mfWw/copy","Or simply click this link to copy the sheet")</f>
        <v>Or simply click this link to copy the sheet</v>
      </c>
      <c r="B3" s="4" t="str">
        <f>HYPERLINK("https://discord.gg/4UdXswe","xPetu's Discord")</f>
        <v>xPetu's Discord</v>
      </c>
    </row>
    <row r="4" spans="1:2" ht="15" customHeight="1">
      <c r="A4" s="6" t="s">
        <v>3</v>
      </c>
      <c r="B4" s="654" t="s">
        <v>4</v>
      </c>
    </row>
    <row r="5" spans="1:2" ht="15" customHeight="1">
      <c r="A5" s="7" t="s">
        <v>5</v>
      </c>
      <c r="B5" s="655"/>
    </row>
  </sheetData>
  <mergeCells count="1">
    <mergeCell ref="B4:B5"/>
  </mergeCells>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CC0000"/>
    <outlinePr summaryBelow="0" summaryRight="0"/>
  </sheetPr>
  <dimension ref="A1:Z25"/>
  <sheetViews>
    <sheetView showGridLines="0" workbookViewId="0"/>
  </sheetViews>
  <sheetFormatPr baseColWidth="10" defaultColWidth="12.6640625" defaultRowHeight="15" customHeight="1"/>
  <cols>
    <col min="1" max="1" width="7.6640625" customWidth="1"/>
    <col min="2" max="2" width="18.88671875" customWidth="1"/>
    <col min="3" max="3" width="1.88671875" customWidth="1"/>
    <col min="4" max="4" width="6.33203125" customWidth="1"/>
    <col min="5" max="5" width="7.6640625" customWidth="1"/>
    <col min="6" max="6" width="18.88671875" customWidth="1"/>
    <col min="7" max="7" width="2.21875" customWidth="1"/>
    <col min="8" max="8" width="6.33203125" customWidth="1"/>
    <col min="9" max="9" width="7.6640625" customWidth="1"/>
    <col min="10" max="10" width="18.88671875" customWidth="1"/>
    <col min="11" max="11" width="1.88671875" customWidth="1"/>
    <col min="12" max="12" width="6.33203125" customWidth="1"/>
    <col min="13" max="13" width="7.6640625" customWidth="1"/>
    <col min="14" max="14" width="18.88671875" customWidth="1"/>
    <col min="15" max="15" width="1.88671875" customWidth="1"/>
    <col min="16" max="16" width="9.33203125" customWidth="1"/>
    <col min="17" max="17" width="7.6640625" customWidth="1"/>
    <col min="18" max="18" width="19.6640625" customWidth="1"/>
    <col min="19" max="19" width="1.88671875" customWidth="1"/>
    <col min="20" max="20" width="6.33203125" customWidth="1"/>
    <col min="21" max="21" width="7.6640625" customWidth="1"/>
    <col min="22" max="22" width="18.88671875" customWidth="1"/>
    <col min="23" max="23" width="2.109375" customWidth="1"/>
    <col min="24" max="26" width="6.33203125" customWidth="1"/>
  </cols>
  <sheetData>
    <row r="1" spans="1:26" ht="15.75" customHeight="1">
      <c r="A1" s="719" t="str">
        <f>"Precision"</f>
        <v>Precision</v>
      </c>
      <c r="B1" s="720"/>
      <c r="C1" s="383" t="str">
        <f>"#"</f>
        <v>#</v>
      </c>
      <c r="D1" s="384" t="str">
        <f>"Value"</f>
        <v>Value</v>
      </c>
      <c r="E1" s="721" t="str">
        <f>"Domination"</f>
        <v>Domination</v>
      </c>
      <c r="F1" s="722"/>
      <c r="G1" s="385" t="str">
        <f>"#"</f>
        <v>#</v>
      </c>
      <c r="H1" s="386" t="str">
        <f>"Value"</f>
        <v>Value</v>
      </c>
      <c r="I1" s="723" t="str">
        <f>"Sorcery"</f>
        <v>Sorcery</v>
      </c>
      <c r="J1" s="724"/>
      <c r="K1" s="387" t="str">
        <f>"#"</f>
        <v>#</v>
      </c>
      <c r="L1" s="388" t="str">
        <f>"Value"</f>
        <v>Value</v>
      </c>
      <c r="M1" s="725" t="str">
        <f>"Resolve"</f>
        <v>Resolve</v>
      </c>
      <c r="N1" s="726"/>
      <c r="O1" s="389" t="str">
        <f>"#"</f>
        <v>#</v>
      </c>
      <c r="P1" s="390" t="str">
        <f>"Value"</f>
        <v>Value</v>
      </c>
      <c r="Q1" s="727" t="str">
        <f>"Inspiration"</f>
        <v>Inspiration</v>
      </c>
      <c r="R1" s="728"/>
      <c r="S1" s="391" t="str">
        <f>"#"</f>
        <v>#</v>
      </c>
      <c r="T1" s="392" t="str">
        <f>"Value"</f>
        <v>Value</v>
      </c>
      <c r="U1" s="729" t="str">
        <f>"Shards"</f>
        <v>Shards</v>
      </c>
      <c r="V1" s="730"/>
      <c r="W1" s="393" t="str">
        <f>"#"</f>
        <v>#</v>
      </c>
      <c r="X1" s="394" t="str">
        <f>"Value"</f>
        <v>Value</v>
      </c>
      <c r="Y1" s="731" t="str">
        <f>"Stats"</f>
        <v>Stats</v>
      </c>
      <c r="Z1" s="657"/>
    </row>
    <row r="2" spans="1:26" ht="13.2">
      <c r="A2" s="395" t="str">
        <f>"Rune 1"</f>
        <v>Rune 1</v>
      </c>
      <c r="B2" s="396" t="str">
        <f>"Press the Attack"</f>
        <v>Press the Attack</v>
      </c>
      <c r="C2" s="397">
        <f>IF(AND(IF(Interface!$E$18=A2,1,0),IF(Interface!$E$16=A$1,1,0)),1,0)</f>
        <v>0</v>
      </c>
      <c r="D2" s="398">
        <f>IF(C2,ROUND(40+140*Sc_Lin,0)*IF(ForceBit,Calc!M30,Calc!M31),0)</f>
        <v>0</v>
      </c>
      <c r="E2" s="399" t="str">
        <f>"Rune 1"</f>
        <v>Rune 1</v>
      </c>
      <c r="F2" s="400" t="str">
        <f>"Electrocute"</f>
        <v>Electrocute</v>
      </c>
      <c r="G2" s="401">
        <f>IF(AND(IF(Interface!$E$18=E2,1,0),IF(Interface!$E$16=E$1,1,0)),1,0)</f>
        <v>0</v>
      </c>
      <c r="H2" s="402">
        <f>IF(G2,ROUND(30+150*Sc_Lin+0.4*Self_BoAD+0.25*Self_AP,0)*IF(ForceBit,MOD_Phys,MOD_Magic),0)</f>
        <v>0</v>
      </c>
      <c r="I2" s="403" t="str">
        <f>"Rune 1"</f>
        <v>Rune 1</v>
      </c>
      <c r="J2" s="404" t="str">
        <f>"Summon Aery"</f>
        <v>Summon Aery</v>
      </c>
      <c r="K2" s="405">
        <f>IF(AND(IF(Interface!$E$18=I2,1,0),IF(Interface!$E$16=I$1,1,0)),1,0)</f>
        <v>0</v>
      </c>
      <c r="L2" s="406">
        <f>IF(K2,ROUND(10+30*Sc_Lin+0.15*Self_BoAD+0.1*Self_AP,0)*IF(ForceBit,MOD_Phys,MOD_Magic),0)</f>
        <v>0</v>
      </c>
      <c r="M2" s="407" t="str">
        <f>"Rune 1"</f>
        <v>Rune 1</v>
      </c>
      <c r="N2" s="408" t="str">
        <f>"Grasp of the Undying"</f>
        <v>Grasp of the Undying</v>
      </c>
      <c r="O2" s="409">
        <f>IF(AND(IF(Interface!$E$18=M2,1,0),IF(Interface!$E$16=M$1,1,0)),1,0)</f>
        <v>0</v>
      </c>
      <c r="P2" s="410">
        <f>IF(O2, 0.035 * Self_MHP * MOD_Magic * IF(VLOOKUP(Name, Champs!A2:AE190, 31, FALSE), 1, 0.6), 0)</f>
        <v>0</v>
      </c>
      <c r="Q2" s="411" t="str">
        <f>"Rune 1"</f>
        <v>Rune 1</v>
      </c>
      <c r="R2" s="412" t="str">
        <f>"Unsealed Spellbook"</f>
        <v>Unsealed Spellbook</v>
      </c>
      <c r="S2" s="413">
        <f>IF(AND(IF(Interface!$E$18=Q2,1,0),IF(Interface!$E$16=Q$1,1,0)),1,0)</f>
        <v>0</v>
      </c>
      <c r="T2" s="414">
        <f>0</f>
        <v>0</v>
      </c>
      <c r="U2" s="415" t="str">
        <f>"Shard 1"</f>
        <v>Shard 1</v>
      </c>
      <c r="V2" s="416" t="str">
        <f>"Adaptive Force"</f>
        <v>Adaptive Force</v>
      </c>
      <c r="W2" s="417">
        <f>IF(Interface!$E$34=V2,1,0)</f>
        <v>0</v>
      </c>
      <c r="X2" s="418">
        <f>IF(W2,9,0)</f>
        <v>0</v>
      </c>
      <c r="Y2" s="419" t="str">
        <f>"ADAPT"</f>
        <v>ADAPT</v>
      </c>
      <c r="Z2" s="419">
        <f>X2+X8+L16+H14+H15+H16+L22+L21+D5</f>
        <v>0</v>
      </c>
    </row>
    <row r="3" spans="1:26" ht="13.2">
      <c r="A3" s="420" t="str">
        <f>"Rune 2"</f>
        <v>Rune 2</v>
      </c>
      <c r="B3" s="421" t="str">
        <f>"Lethal Temp"</f>
        <v>Lethal Temp</v>
      </c>
      <c r="C3" s="422">
        <f>IF(AND(IF(Interface!$E$18=A3,1,0),IF(Interface!$E$16=A$1,1,0)),1,0)</f>
        <v>0</v>
      </c>
      <c r="D3" s="423">
        <f>IF(AND(C3, Steroid_Runes),IF(VLOOKUP(Name,Champs!A2:AE190,31,FALSE),0.6 + 0.3 * MIN(1, (Self_Level - 1) / 15), 0.24 + 0.3 * Sc_Lin), 0)</f>
        <v>0</v>
      </c>
      <c r="E3" s="424" t="str">
        <f>"Rune 2"</f>
        <v>Rune 2</v>
      </c>
      <c r="F3" s="425" t="str">
        <f>"Predator"</f>
        <v>Predator</v>
      </c>
      <c r="G3" s="426">
        <f>IF(AND(IF(Interface!$E$18=E3,1,0),IF(Interface!$E$16=E$1,1,0)),1,0)</f>
        <v>0</v>
      </c>
      <c r="H3" s="427">
        <f>IF(G3, ROUND(20 + 160 * Sc_Lin + 0.25 * Self_BoAD + 0.15 * Self_AP,0) * IF(ForceBit, MOD_Phys, MOD_Magic), 0)</f>
        <v>0</v>
      </c>
      <c r="I3" s="428" t="str">
        <f>"Rune 2"</f>
        <v>Rune 2</v>
      </c>
      <c r="J3" s="429" t="str">
        <f>"Arcane Comet"</f>
        <v>Arcane Comet</v>
      </c>
      <c r="K3" s="430">
        <f>IF(AND(IF(Interface!$E$18=I3,1,0),IF(Interface!$E$16=I$1,1,0)),1,0)</f>
        <v>0</v>
      </c>
      <c r="L3" s="431">
        <f>IF(K3,ROUND(30+70*Sc_Lin+0.35*Self_BoAD+0.2*Self_AP,0)*IF(ForceBit,MOD_Phys,MOD_Magic),0)</f>
        <v>0</v>
      </c>
      <c r="M3" s="432" t="str">
        <f>"Rune 2"</f>
        <v>Rune 2</v>
      </c>
      <c r="N3" s="433" t="str">
        <f>"Aftershock"</f>
        <v>Aftershock</v>
      </c>
      <c r="O3" s="434">
        <f>IF(AND(IF(Interface!$E$18=M3,1,0),IF(Interface!$E$16=M$1,1,0)),1,0)</f>
        <v>0</v>
      </c>
      <c r="P3" s="435">
        <f>IF(O3,ROUND(25+95*Sc_Lin+0.08*Self_BoHP,0)*MOD_Magic,0)</f>
        <v>0</v>
      </c>
      <c r="Q3" s="436" t="str">
        <f>"Rune 2"</f>
        <v>Rune 2</v>
      </c>
      <c r="R3" s="437" t="str">
        <f>"Glacial Augment"</f>
        <v>Glacial Augment</v>
      </c>
      <c r="S3" s="438">
        <f>IF(AND(IF(Interface!$E$18=Q3,1,0),IF(Interface!$E$16=Q$1,1,0)),1,0)</f>
        <v>0</v>
      </c>
      <c r="T3" s="439">
        <f>IF(S3,0.3 + 0.0003 * Self_AP + 0.0004 * Self_BoAD + (MOD_Heal - 1) * 0.9,0)</f>
        <v>0</v>
      </c>
      <c r="U3" s="440" t="str">
        <f>"Shard 2"</f>
        <v>Shard 2</v>
      </c>
      <c r="V3" s="441" t="str">
        <f>"Attack Speed"</f>
        <v>Attack Speed</v>
      </c>
      <c r="W3" s="441">
        <f>IF(Interface!$E$34=V3,1,0)</f>
        <v>0</v>
      </c>
      <c r="X3" s="442">
        <f>IF(W3,0.1,0)</f>
        <v>0</v>
      </c>
      <c r="Y3" s="443" t="str">
        <f>"AS"</f>
        <v>AS</v>
      </c>
      <c r="Z3" s="444">
        <f>X3+D14+D3+H5</f>
        <v>0</v>
      </c>
    </row>
    <row r="4" spans="1:26" ht="13.2">
      <c r="A4" s="445" t="str">
        <f>"Rune 3"</f>
        <v>Rune 3</v>
      </c>
      <c r="B4" s="446" t="str">
        <f>"Fleet Foot"</f>
        <v>Fleet Foot</v>
      </c>
      <c r="C4" s="397">
        <f>IF(AND(IF(Interface!$E$18=A4,1,0),IF(Interface!$E$16=A$1,1,0)),1,0)</f>
        <v>0</v>
      </c>
      <c r="D4" s="398">
        <f>IF(C4, ROUND(10 + 90 * Sc_Lin + 0.3 * Self_BoAD + 0.2 * Self_AP,0), 0)</f>
        <v>0</v>
      </c>
      <c r="E4" s="447" t="str">
        <f>"Rune 3"</f>
        <v>Rune 3</v>
      </c>
      <c r="F4" s="448" t="str">
        <f>"Dark Harvest"</f>
        <v>Dark Harvest</v>
      </c>
      <c r="G4" s="401">
        <f>IF(AND(IF(Interface!$E$18=E4,1,0),IF(Interface!$E$16=E$1,1,0)),1,0)</f>
        <v>0</v>
      </c>
      <c r="H4" s="402">
        <f>IF(G4,ROUND(20+40*Sc_Lin+0.25*Self_BoAD+0.15*Self_AP+S_Harvest*5,0)*IF(ForceBit,MOD_Phys,MOD_Magic),0)</f>
        <v>0</v>
      </c>
      <c r="I4" s="449" t="str">
        <f>"Rune 3"</f>
        <v>Rune 3</v>
      </c>
      <c r="J4" s="450" t="str">
        <f>"Phase Rush"</f>
        <v>Phase Rush</v>
      </c>
      <c r="K4" s="405">
        <f>IF(AND(IF(Interface!$E$18=I4,1,0),IF(Interface!$E$16=I$1,1,0)),1,0)</f>
        <v>0</v>
      </c>
      <c r="L4" s="451">
        <f>IF(AND(K4, Steroid_Runes), IF(VLOOKUP(Name,Champs!A2:AJ190,31,FALSE), 0.3 + 0.3 * Sc_Lin, 0.15 + 0.25 * Sc_Lin), 0)</f>
        <v>0</v>
      </c>
      <c r="M4" s="452" t="str">
        <f>"Rune 3"</f>
        <v>Rune 3</v>
      </c>
      <c r="N4" s="453" t="str">
        <f>"Guardian"</f>
        <v>Guardian</v>
      </c>
      <c r="O4" s="409">
        <f>IF(AND(IF(Interface!$E$18=M4,1,0),IF(Interface!$E$16=M$1,1,0)),1,0)</f>
        <v>0</v>
      </c>
      <c r="P4" s="410">
        <f>IF(O4,ROUND(45 + 75 * Sc_Lin + 0.125 * Self_AP + 0.08 * Self_BoHP,0) * MOD_Heal,0)</f>
        <v>0</v>
      </c>
      <c r="Q4" s="454" t="str">
        <f>"Rune 3"</f>
        <v>Rune 3</v>
      </c>
      <c r="R4" s="455" t="str">
        <f>"First Strike"</f>
        <v>First Strike</v>
      </c>
      <c r="S4" s="413">
        <f>IF(AND(IF(Interface!$E$18=Q4,1,0),IF(Interface!$E$16=Q$1,1,0)),1,0)</f>
        <v>0</v>
      </c>
      <c r="T4" s="456">
        <f>IF(AND(Steroid_Runes,S4), 1.09, 1)</f>
        <v>1</v>
      </c>
      <c r="U4" s="457" t="str">
        <f>"Shard 3"</f>
        <v>Shard 3</v>
      </c>
      <c r="V4" s="417" t="str">
        <f>"Ability Haste"</f>
        <v>Ability Haste</v>
      </c>
      <c r="W4" s="417">
        <f>IF(Interface!$E$34=V4,1,0)</f>
        <v>0</v>
      </c>
      <c r="X4" s="458">
        <f>IF(W4,0.08,0)</f>
        <v>0</v>
      </c>
      <c r="Y4" s="419" t="str">
        <f>"HP"</f>
        <v>HP</v>
      </c>
      <c r="Z4" s="419">
        <f>IF(O2, IF(VLOOKUP(Name, Champs!A2:AE190, 31, FALSE), 1, 0.6) * 7 * S_Harvest, 0) + P20 + X14 + IF(D16 = 5.25%, 85, 0)</f>
        <v>0</v>
      </c>
    </row>
    <row r="5" spans="1:26" ht="13.2">
      <c r="A5" s="420" t="str">
        <f>"Rune 4"</f>
        <v>Rune 4</v>
      </c>
      <c r="B5" s="421" t="str">
        <f>"Conqueror"</f>
        <v>Conqueror</v>
      </c>
      <c r="C5" s="422">
        <f>IF(AND(IF(Interface!$E$18=A5,1,0),IF(Interface!$E$16=A$1,1,0)),1,0)</f>
        <v>0</v>
      </c>
      <c r="D5" s="459">
        <f>IF(C5,ROUND((2 + 2.5 * Sc_Lin) * IF(Steroid_Runes, 12, S_Conq),0),0)</f>
        <v>0</v>
      </c>
      <c r="E5" s="424" t="str">
        <f>"Rune 4"</f>
        <v>Rune 4</v>
      </c>
      <c r="F5" s="425" t="str">
        <f>"Hail of Blades"</f>
        <v>Hail of Blades</v>
      </c>
      <c r="G5" s="426">
        <f>IF(AND(IF(Interface!$E$18=E5,1,0),IF(Interface!$E$16=E$1,1,0)),1,0)</f>
        <v>0</v>
      </c>
      <c r="H5" s="460">
        <f>IF(AND(G5, Steroid_Runes),1.1,0)</f>
        <v>0</v>
      </c>
      <c r="I5" s="428" t="str">
        <f>"Rune 4"</f>
        <v>Rune 4</v>
      </c>
      <c r="J5" s="429"/>
      <c r="K5" s="430">
        <f>IF(AND(IF(Interface!$E$18=I5,1,0),IF(Interface!$E$16=I$1,1,0)),1,0)</f>
        <v>0</v>
      </c>
      <c r="L5" s="461"/>
      <c r="M5" s="432" t="str">
        <f>"Rune 4"</f>
        <v>Rune 4</v>
      </c>
      <c r="N5" s="433"/>
      <c r="O5" s="434">
        <f>IF(AND(IF(Interface!$E$18=M5,1,0),IF(Interface!$E$16=M$1,1,0)),1,0)</f>
        <v>0</v>
      </c>
      <c r="P5" s="462"/>
      <c r="Q5" s="436" t="str">
        <f>"Rune 4"</f>
        <v>Rune 4</v>
      </c>
      <c r="R5" s="437"/>
      <c r="S5" s="438">
        <f>IF(AND(IF(Interface!$E$18=Q5,1,0),IF(Interface!$E$16=Q$1,1,0)),1,0)</f>
        <v>0</v>
      </c>
      <c r="T5" s="439"/>
      <c r="U5" s="440" t="str">
        <f>"Shard 4"</f>
        <v>Shard 4</v>
      </c>
      <c r="V5" s="441"/>
      <c r="W5" s="441"/>
      <c r="X5" s="463"/>
      <c r="Y5" s="443" t="str">
        <f>"MP"</f>
        <v>MP</v>
      </c>
      <c r="Z5" s="443">
        <f>T16+L9</f>
        <v>0</v>
      </c>
    </row>
    <row r="6" spans="1:26" ht="13.2">
      <c r="A6" s="445" t="str">
        <f>"Rune 5"</f>
        <v>Rune 5</v>
      </c>
      <c r="B6" s="446"/>
      <c r="C6" s="397">
        <f>IF(AND(IF(Interface!$E$18=A6,1,0),IF(Interface!$E$16=A$1,1,0)),1,0)</f>
        <v>0</v>
      </c>
      <c r="D6" s="464"/>
      <c r="E6" s="447" t="str">
        <f>"Rune 5"</f>
        <v>Rune 5</v>
      </c>
      <c r="F6" s="448"/>
      <c r="G6" s="401">
        <f>IF(AND(IF(Interface!$E$18=E6,1,0),IF(Interface!$E$16=E$1,1,0)),1,0)</f>
        <v>0</v>
      </c>
      <c r="H6" s="465"/>
      <c r="I6" s="449" t="str">
        <f>"Rune 5"</f>
        <v>Rune 5</v>
      </c>
      <c r="J6" s="450"/>
      <c r="K6" s="405">
        <f>IF(AND(IF(Interface!$E$18=I6,1,0),IF(Interface!$E$16=I$1,1,0)),1,0)</f>
        <v>0</v>
      </c>
      <c r="L6" s="466"/>
      <c r="M6" s="452" t="str">
        <f>"Rune 5"</f>
        <v>Rune 5</v>
      </c>
      <c r="N6" s="453"/>
      <c r="O6" s="409">
        <f>IF(AND(IF(Interface!$E$18=M6,1,0),IF(Interface!$E$16=M$1,1,0)),1,0)</f>
        <v>0</v>
      </c>
      <c r="P6" s="467"/>
      <c r="Q6" s="454" t="str">
        <f>"Rune 5"</f>
        <v>Rune 5</v>
      </c>
      <c r="R6" s="455"/>
      <c r="S6" s="413">
        <f>IF(AND(IF(Interface!$E$18=Q6,1,0),IF(Interface!$E$16=Q$1,1,0)),1,0)</f>
        <v>0</v>
      </c>
      <c r="T6" s="456"/>
      <c r="U6" s="457" t="str">
        <f>"Shard 5"</f>
        <v>Shard 5</v>
      </c>
      <c r="V6" s="417"/>
      <c r="W6" s="417"/>
      <c r="X6" s="418"/>
      <c r="Y6" s="419" t="str">
        <f>"AR"</f>
        <v>AR</v>
      </c>
      <c r="Z6" s="419">
        <f>X9+X15+P14+IF(AND(O10,Self_Shield&gt;0),1+9*Sc_Lin,0)</f>
        <v>0</v>
      </c>
    </row>
    <row r="7" spans="1:26" ht="13.2">
      <c r="A7" s="468" t="str">
        <f>"Rune 6"</f>
        <v>Rune 6</v>
      </c>
      <c r="B7" s="469"/>
      <c r="C7" s="470">
        <f>IF(AND(IF(Interface!$E$18=A7,1,0),IF(Interface!$E$16=A$1,1,0)),1,0)</f>
        <v>0</v>
      </c>
      <c r="D7" s="471"/>
      <c r="E7" s="472" t="str">
        <f>"Rune 6"</f>
        <v>Rune 6</v>
      </c>
      <c r="F7" s="473"/>
      <c r="G7" s="474">
        <f>IF(AND(IF(Interface!$E$18=E7,1,0),IF(Interface!$E$16=E$1,1,0)),1,0)</f>
        <v>0</v>
      </c>
      <c r="H7" s="475"/>
      <c r="I7" s="476" t="str">
        <f>"Rune 6"</f>
        <v>Rune 6</v>
      </c>
      <c r="J7" s="477"/>
      <c r="K7" s="478">
        <f>IF(AND(IF(Interface!$E$18=I7,1,0),IF(Interface!$E$16=I$1,1,0)),1,0)</f>
        <v>0</v>
      </c>
      <c r="L7" s="479"/>
      <c r="M7" s="480" t="str">
        <f>"Rune 6"</f>
        <v>Rune 6</v>
      </c>
      <c r="N7" s="481"/>
      <c r="O7" s="482">
        <f>IF(AND(IF(Interface!$E$18=M7,1,0),IF(Interface!$E$16=M$1,1,0)),1,0)</f>
        <v>0</v>
      </c>
      <c r="P7" s="483"/>
      <c r="Q7" s="484" t="str">
        <f>"Rune 6"</f>
        <v>Rune 6</v>
      </c>
      <c r="R7" s="485"/>
      <c r="S7" s="486">
        <f>IF(AND(IF(Interface!$E$18=Q7,1,0),IF(Interface!$E$16=Q$1,1,0)),1,0)</f>
        <v>0</v>
      </c>
      <c r="T7" s="487"/>
      <c r="U7" s="488" t="str">
        <f>"Shard 6"</f>
        <v>Shard 6</v>
      </c>
      <c r="V7" s="489" t="str">
        <f>"-"</f>
        <v>-</v>
      </c>
      <c r="W7" s="489"/>
      <c r="X7" s="490">
        <f>0</f>
        <v>0</v>
      </c>
      <c r="Y7" s="443" t="str">
        <f>"MR"</f>
        <v>MR</v>
      </c>
      <c r="Z7" s="443">
        <f>X10+X16+P14+IF(AND(O10,Self_Shield&gt;0),1+9*Sc_Lin,0)</f>
        <v>0</v>
      </c>
    </row>
    <row r="8" spans="1:26" ht="13.2">
      <c r="A8" s="395" t="str">
        <f>"Rune 1"</f>
        <v>Rune 1</v>
      </c>
      <c r="B8" s="396" t="str">
        <f>"Overheal"</f>
        <v>Overheal</v>
      </c>
      <c r="C8" s="491">
        <f>IF(OR(AND(IF(Interface!$E$20=A8,1,0),IF(Interface!$E$16=A$1,1,0)),AND(IF(Interface!$E$27=A8,1,0),IF(Interface!$E$25=A$1,1,0))),1,0)</f>
        <v>0</v>
      </c>
      <c r="D8" s="492">
        <f>IF(C8,ROUND(0.11 * Self_MHP,0),0)</f>
        <v>0</v>
      </c>
      <c r="E8" s="399" t="str">
        <f>"Rune 1"</f>
        <v>Rune 1</v>
      </c>
      <c r="F8" s="400" t="str">
        <f>"Cheap Shot"</f>
        <v>Cheap Shot</v>
      </c>
      <c r="G8" s="493">
        <f>IF(OR(AND(IF(Interface!$E$20=E8,1,0),IF(Interface!$E$16=E$1,1,0)),AND(IF(Interface!$E$27=E8,1,0),IF(Interface!$E$25=E$1,1,0))),1,0)</f>
        <v>0</v>
      </c>
      <c r="H8" s="494">
        <f>IF(G8,ROUND(10+35*Sc_Lin,0),0)*Calc!O10</f>
        <v>0</v>
      </c>
      <c r="I8" s="403" t="str">
        <f>"Rune 1"</f>
        <v>Rune 1</v>
      </c>
      <c r="J8" s="404" t="str">
        <f>"Nullifying Orb"</f>
        <v>Nullifying Orb</v>
      </c>
      <c r="K8" s="495">
        <f>IF(OR(AND(IF(Interface!$E$20=I8,1,0),IF(Interface!$E$16=I$1,1,0)),AND(IF(Interface!$E$27=I8,1,0),IF(Interface!$E$25=I$1,1,0))),1,0)</f>
        <v>0</v>
      </c>
      <c r="L8" s="496">
        <f>IF(K8,ROUND(35+75*Sc_Lin+0.09*Self_AP+0.14*Self_BoAD,0),0)</f>
        <v>0</v>
      </c>
      <c r="M8" s="407" t="str">
        <f>"Rune 1"</f>
        <v>Rune 1</v>
      </c>
      <c r="N8" s="408" t="str">
        <f>"Demolish"</f>
        <v>Demolish</v>
      </c>
      <c r="O8" s="497">
        <f>IF(OR(AND(IF(Interface!$E$20=M8,1,0),IF(Interface!$E$16=M$1,1,0)),AND(IF(Interface!$E$27=M8,1,0),IF(Interface!$E$25=M$1,1,0))),1,0)</f>
        <v>0</v>
      </c>
      <c r="P8" s="498">
        <f>IF(O8,ROUND(100+0.35*Self_MHP,0),0)</f>
        <v>0</v>
      </c>
      <c r="Q8" s="411" t="str">
        <f>"Rune 1"</f>
        <v>Rune 1</v>
      </c>
      <c r="R8" s="412" t="str">
        <f>"Hextech Flashtrap"</f>
        <v>Hextech Flashtrap</v>
      </c>
      <c r="S8" s="499">
        <f>IF(OR(AND(IF(Interface!$E$20=Q8,1,0),IF(Interface!$E$16=Q$1,1,0)),AND(IF(Interface!$E$27=Q8,1,0),IF(Interface!$E$25=Q$1,1,0))),1,0)</f>
        <v>0</v>
      </c>
      <c r="T8" s="500">
        <f>20</f>
        <v>20</v>
      </c>
      <c r="U8" s="415" t="str">
        <f>"Shard 1"</f>
        <v>Shard 1</v>
      </c>
      <c r="V8" s="416" t="str">
        <f>"Adaptive Force"</f>
        <v>Adaptive Force</v>
      </c>
      <c r="W8" s="416">
        <f>IF(Interface!$E$36=V8,1,0)</f>
        <v>0</v>
      </c>
      <c r="X8" s="501">
        <f>IF(W8,9,0)</f>
        <v>0</v>
      </c>
      <c r="Y8" s="419" t="str">
        <f>"AH"</f>
        <v>AH</v>
      </c>
      <c r="Z8" s="419">
        <f>X4+L14</f>
        <v>0</v>
      </c>
    </row>
    <row r="9" spans="1:26" ht="13.2">
      <c r="A9" s="420" t="str">
        <f>"Rune 2"</f>
        <v>Rune 2</v>
      </c>
      <c r="B9" s="421" t="str">
        <f>"Triumph"</f>
        <v>Triumph</v>
      </c>
      <c r="C9" s="422">
        <f>IF(OR(AND(IF(Interface!$E$20=A9,1,0),IF(Interface!$E$16=A$1,1,0)),AND(IF(Interface!$E$27=A9,1,0),IF(Interface!$E$25=A$1,1,0))),1,0)</f>
        <v>0</v>
      </c>
      <c r="D9" s="502">
        <f>IF(C9,ROUND((Self_MHP - (Self_MHP * (Self_CHPP/100))) * 0.05 + 0.025 * Self_MHP,0),0)</f>
        <v>0</v>
      </c>
      <c r="E9" s="424" t="str">
        <f>"Rune 2"</f>
        <v>Rune 2</v>
      </c>
      <c r="F9" s="425" t="str">
        <f>"Taste of Blood"</f>
        <v>Taste of Blood</v>
      </c>
      <c r="G9" s="426">
        <f>IF(OR(AND(IF(Interface!$E$20=E9,1,0),IF(Interface!$E$16=E$1,1,0)),AND(IF(Interface!$E$27=E9,1,0),IF(Interface!$E$25=E$1,1,0))),1,0)</f>
        <v>0</v>
      </c>
      <c r="H9" s="503">
        <f>IF(G9,ROUND(0.15 * Self_BoAD + 0.08 * Self_AP + 16 + 14 * Sc_Lin,0),0)</f>
        <v>0</v>
      </c>
      <c r="I9" s="428" t="str">
        <f>"Rune 2"</f>
        <v>Rune 2</v>
      </c>
      <c r="J9" s="429" t="str">
        <f>"Manaflow Band"</f>
        <v>Manaflow Band</v>
      </c>
      <c r="K9" s="430">
        <f>IF(OR(AND(IF(Interface!$E$20=I9,1,0),IF(Interface!$E$16=I$1,1,0)),AND(IF(Interface!$E$27=I9,1,0),IF(Interface!$E$25=I$1,1,0))),1,0)</f>
        <v>0</v>
      </c>
      <c r="L9" s="461">
        <f>IF(K9,250,0)</f>
        <v>0</v>
      </c>
      <c r="M9" s="432" t="str">
        <f>"Rune 2"</f>
        <v>Rune 2</v>
      </c>
      <c r="N9" s="433" t="str">
        <f>"Font of Life"</f>
        <v>Font of Life</v>
      </c>
      <c r="O9" s="434">
        <f>IF(OR(AND(IF(Interface!$E$20=M9,1,0),IF(Interface!$E$16=M$1,1,0)),AND(IF(Interface!$E$27=M9,1,0),IF(Interface!$E$25=M$1,1,0))),1,0)</f>
        <v>0</v>
      </c>
      <c r="P9" s="462">
        <f>IF(O9,ROUND(5+0.009*Self_MHP,0),0)</f>
        <v>0</v>
      </c>
      <c r="Q9" s="436" t="str">
        <f>"Rune 2"</f>
        <v>Rune 2</v>
      </c>
      <c r="R9" s="437" t="str">
        <f>"Magical Footwear"</f>
        <v>Magical Footwear</v>
      </c>
      <c r="S9" s="438">
        <f>IF(OR(AND(IF(Interface!$E$20=Q9,1,0),IF(Interface!$E$16=Q$1,1,0)),AND(IF(Interface!$E$27=Q9,1,0),IF(Interface!$E$25=Q$1,1,0))),1,0)</f>
        <v>0</v>
      </c>
      <c r="T9" s="439">
        <f>IF(S9,10,0)</f>
        <v>0</v>
      </c>
      <c r="U9" s="440" t="str">
        <f>"Shard 2"</f>
        <v>Shard 2</v>
      </c>
      <c r="V9" s="441" t="str">
        <f>"Armor"</f>
        <v>Armor</v>
      </c>
      <c r="W9" s="441">
        <f>IF(Interface!$E$36=V9,1,0)</f>
        <v>0</v>
      </c>
      <c r="X9" s="463">
        <f>IF(W9,6,0)</f>
        <v>0</v>
      </c>
      <c r="Y9" s="443" t="str">
        <f>"MS"</f>
        <v>MS</v>
      </c>
      <c r="Z9" s="443">
        <f>L15+L4+L10</f>
        <v>0</v>
      </c>
    </row>
    <row r="10" spans="1:26" ht="13.2">
      <c r="A10" s="445" t="str">
        <f>"Rune 3"</f>
        <v>Rune 3</v>
      </c>
      <c r="B10" s="446" t="str">
        <f>"Presence of Mind"</f>
        <v>Presence of Mind</v>
      </c>
      <c r="C10" s="397">
        <f>IF(OR(AND(IF(Interface!$E$20=A10,1,0),IF(Interface!$E$16=A$1,1,0)),AND(IF(Interface!$E$27=A10,1,0),IF(Interface!$E$25=A$1,1,0))),1,0)</f>
        <v>0</v>
      </c>
      <c r="D10" s="464">
        <f>IF(AND(C10,Steroid_Runes),IF(VLOOKUP(Name,Champs!A2:AJ190,35,FALSE),1.5,IF(VLOOKUP(Name,Champs!A2:AJ190,36,FALSE),0,1.5+9.5*Sc_Lin)),0)</f>
        <v>0</v>
      </c>
      <c r="E10" s="447" t="str">
        <f>"Rune 3"</f>
        <v>Rune 3</v>
      </c>
      <c r="F10" s="448" t="str">
        <f>"Sudden Impact"</f>
        <v>Sudden Impact</v>
      </c>
      <c r="G10" s="401">
        <f>IF(OR(AND(IF(Interface!$E$20=E10,1,0),IF(Interface!$E$16=E$1,1,0)),AND(IF(Interface!$E$27=E10,1,0),IF(Interface!$E$25=E$1,1,0))),1,0)</f>
        <v>0</v>
      </c>
      <c r="H10" s="504">
        <f>IF(G10,9,0)</f>
        <v>0</v>
      </c>
      <c r="I10" s="449" t="str">
        <f>"Rune 3"</f>
        <v>Rune 3</v>
      </c>
      <c r="J10" s="450" t="str">
        <f>"Nimbus Cloak"</f>
        <v>Nimbus Cloak</v>
      </c>
      <c r="K10" s="405">
        <f>IF(OR(AND(IF(Interface!$E$20=I10,1,0),IF(Interface!$E$16=I$1,1,0)),AND(IF(Interface!$E$27=I10,1,0),IF(Interface!$E$25=I$1,1,0))),1,0)</f>
        <v>0</v>
      </c>
      <c r="L10" s="505">
        <f>IF(AND(K10,Steroid_Runes),0.2,0)</f>
        <v>0</v>
      </c>
      <c r="M10" s="452" t="str">
        <f>"Rune 3"</f>
        <v>Rune 3</v>
      </c>
      <c r="N10" s="453" t="str">
        <f>"Shield Bash"</f>
        <v>Shield Bash</v>
      </c>
      <c r="O10" s="409">
        <f>IF(OR(AND(IF(Interface!$E$20=M10,1,0),IF(Interface!$E$16=M$1,1,0)),AND(IF(Interface!$E$27=M10,1,0),IF(Interface!$E$25=M$1,1,0))),1,0)</f>
        <v>0</v>
      </c>
      <c r="P10" s="467">
        <f>IF(O10,(5+25*Sc_Lin+0.085*Self_Shield+0.015*Self_BoHP)*IF(ForceBit,MOD_Phys,MOD_Magic),0)</f>
        <v>0</v>
      </c>
      <c r="Q10" s="454" t="str">
        <f>"Rune 3"</f>
        <v>Rune 3</v>
      </c>
      <c r="R10" s="455" t="str">
        <f>"Perfect Timing"</f>
        <v>Perfect Timing</v>
      </c>
      <c r="S10" s="413">
        <f>IF(OR(AND(IF(Interface!$E$20=Q10,1,0),IF(Interface!$E$16=Q$1,1,0)),AND(IF(Interface!$E$27=Q10,1,0),IF(Interface!$E$25=Q$1,1,0))),1,0)</f>
        <v>0</v>
      </c>
      <c r="T10" s="456" t="str">
        <f>IF(AND(Gametime&gt;=14,S10),"Can use","Not useable")</f>
        <v>Not useable</v>
      </c>
      <c r="U10" s="457" t="str">
        <f>"Shard 3"</f>
        <v>Shard 3</v>
      </c>
      <c r="V10" s="417" t="str">
        <f>"Magic Resist"</f>
        <v>Magic Resist</v>
      </c>
      <c r="W10" s="417">
        <f>IF(Interface!$E$36=V10,1,0)</f>
        <v>0</v>
      </c>
      <c r="X10" s="418">
        <f>IF(W10,8,0)</f>
        <v>0</v>
      </c>
      <c r="Y10" s="419" t="str">
        <f>"MOD"</f>
        <v>MOD</v>
      </c>
      <c r="Z10" s="506">
        <f>D22*D21*D20*T4</f>
        <v>1</v>
      </c>
    </row>
    <row r="11" spans="1:26" ht="13.2">
      <c r="A11" s="420" t="str">
        <f>"Rune 4"</f>
        <v>Rune 4</v>
      </c>
      <c r="B11" s="421"/>
      <c r="C11" s="422">
        <f>IF(OR(AND(IF(Interface!$E$20=A11,1,0),IF(Interface!$E$16=A$1,1,0)),AND(IF(Interface!$E$27=A11,1,0),IF(Interface!$E$25=A$1,1,0))),1,0)</f>
        <v>0</v>
      </c>
      <c r="D11" s="502"/>
      <c r="E11" s="424" t="str">
        <f>"Rune 4"</f>
        <v>Rune 4</v>
      </c>
      <c r="F11" s="425"/>
      <c r="G11" s="426">
        <f>IF(OR(AND(IF(Interface!$E$20=E11,1,0),IF(Interface!$E$16=E$1,1,0)),AND(IF(Interface!$E$27=E11,1,0),IF(Interface!$E$25=E$1,1,0))),1,0)</f>
        <v>0</v>
      </c>
      <c r="H11" s="507"/>
      <c r="I11" s="428" t="str">
        <f>"Rune 4"</f>
        <v>Rune 4</v>
      </c>
      <c r="J11" s="429"/>
      <c r="K11" s="430">
        <f>IF(OR(AND(IF(Interface!$E$20=I11,1,0),IF(Interface!$E$16=I$1,1,0)),AND(IF(Interface!$E$27=I11,1,0),IF(Interface!$E$25=I$1,1,0))),1,0)</f>
        <v>0</v>
      </c>
      <c r="L11" s="461"/>
      <c r="M11" s="432" t="str">
        <f>"Rune 4"</f>
        <v>Rune 4</v>
      </c>
      <c r="N11" s="433"/>
      <c r="O11" s="434">
        <f>IF(OR(AND(IF(Interface!$E$20=M11,1,0),IF(Interface!$E$16=M$1,1,0)),AND(IF(Interface!$E$27=M11,1,0),IF(Interface!$E$25=M$1,1,0))),1,0)</f>
        <v>0</v>
      </c>
      <c r="P11" s="462"/>
      <c r="Q11" s="436" t="str">
        <f>"Rune 4"</f>
        <v>Rune 4</v>
      </c>
      <c r="R11" s="437"/>
      <c r="S11" s="438">
        <f>IF(OR(AND(IF(Interface!$E$20=Q11,1,0),IF(Interface!$E$16=Q$1,1,0)),AND(IF(Interface!$E$27=Q11,1,0),IF(Interface!$E$25=Q$1,1,0))),1,0)</f>
        <v>0</v>
      </c>
      <c r="T11" s="439"/>
      <c r="U11" s="440" t="str">
        <f>"Shard 4"</f>
        <v>Shard 4</v>
      </c>
      <c r="V11" s="441"/>
      <c r="W11" s="441"/>
      <c r="X11" s="463"/>
      <c r="Y11" s="443" t="str">
        <f>"PTAM"</f>
        <v>PTAM</v>
      </c>
      <c r="Z11" s="444">
        <f>IF(AND(C2,Steroid_Runes),1.08+0.04*Sc_Lin,1)</f>
        <v>1</v>
      </c>
    </row>
    <row r="12" spans="1:26" ht="13.2">
      <c r="A12" s="445" t="str">
        <f>"Rune 5"</f>
        <v>Rune 5</v>
      </c>
      <c r="B12" s="446"/>
      <c r="C12" s="397">
        <f>IF(OR(AND(IF(Interface!$E$20=A12,1,0),IF(Interface!$E$16=A$1,1,0)),AND(IF(Interface!$E$27=A12,1,0),IF(Interface!$E$25=A$1,1,0))),1,0)</f>
        <v>0</v>
      </c>
      <c r="D12" s="464"/>
      <c r="E12" s="447" t="str">
        <f>"Rune 5"</f>
        <v>Rune 5</v>
      </c>
      <c r="F12" s="448"/>
      <c r="G12" s="401">
        <f>IF(OR(AND(IF(Interface!$E$20=E12,1,0),IF(Interface!$E$16=E$1,1,0)),AND(IF(Interface!$E$27=E12,1,0),IF(Interface!$E$25=E$1,1,0))),1,0)</f>
        <v>0</v>
      </c>
      <c r="H12" s="465"/>
      <c r="I12" s="449" t="str">
        <f>"Rune 5"</f>
        <v>Rune 5</v>
      </c>
      <c r="J12" s="450"/>
      <c r="K12" s="405">
        <f>IF(OR(AND(IF(Interface!$E$20=I12,1,0),IF(Interface!$E$16=I$1,1,0)),AND(IF(Interface!$E$27=I12,1,0),IF(Interface!$E$25=I$1,1,0))),1,0)</f>
        <v>0</v>
      </c>
      <c r="L12" s="466"/>
      <c r="M12" s="452" t="str">
        <f>"Rune 5"</f>
        <v>Rune 5</v>
      </c>
      <c r="N12" s="453"/>
      <c r="O12" s="409">
        <f>IF(OR(AND(IF(Interface!$E$20=M12,1,0),IF(Interface!$E$16=M$1,1,0)),AND(IF(Interface!$E$27=M12,1,0),IF(Interface!$E$25=M$1,1,0))),1,0)</f>
        <v>0</v>
      </c>
      <c r="P12" s="467"/>
      <c r="Q12" s="454" t="str">
        <f>"Rune 5"</f>
        <v>Rune 5</v>
      </c>
      <c r="R12" s="455"/>
      <c r="S12" s="413">
        <f>IF(OR(AND(IF(Interface!$E$20=Q12,1,0),IF(Interface!$E$16=Q$1,1,0)),AND(IF(Interface!$E$27=Q12,1,0),IF(Interface!$E$25=Q$1,1,0))),1,0)</f>
        <v>0</v>
      </c>
      <c r="T12" s="456"/>
      <c r="U12" s="457" t="str">
        <f>"Shard 5"</f>
        <v>Shard 5</v>
      </c>
      <c r="V12" s="417"/>
      <c r="W12" s="417"/>
      <c r="X12" s="418"/>
      <c r="Y12" s="419"/>
      <c r="Z12" s="419"/>
    </row>
    <row r="13" spans="1:26" ht="13.2">
      <c r="A13" s="468" t="str">
        <f>"Rune 6"</f>
        <v>Rune 6</v>
      </c>
      <c r="B13" s="469"/>
      <c r="C13" s="470">
        <f>IF(OR(AND(IF(Interface!$E$20=A13,1,0),IF(Interface!$E$16=A$1,1,0)),AND(IF(Interface!$E$27=A13,1,0),IF(Interface!$E$25=A$1,1,0))),1,0)</f>
        <v>0</v>
      </c>
      <c r="D13" s="471"/>
      <c r="E13" s="472" t="str">
        <f>"Rune 6"</f>
        <v>Rune 6</v>
      </c>
      <c r="F13" s="473"/>
      <c r="G13" s="474">
        <f>IF(OR(AND(IF(Interface!$E$20=E13,1,0),IF(Interface!$E$16=E$1,1,0)),AND(IF(Interface!$E$27=E13,1,0),IF(Interface!$E$25=E$1,1,0))),1,0)</f>
        <v>0</v>
      </c>
      <c r="H13" s="475"/>
      <c r="I13" s="476" t="str">
        <f>"Rune 6"</f>
        <v>Rune 6</v>
      </c>
      <c r="J13" s="477"/>
      <c r="K13" s="478">
        <f>IF(OR(AND(IF(Interface!$E$20=I13,1,0),IF(Interface!$E$16=I$1,1,0)),AND(IF(Interface!$E$27=I13,1,0),IF(Interface!$E$25=I$1,1,0))),1,0)</f>
        <v>0</v>
      </c>
      <c r="L13" s="479"/>
      <c r="M13" s="480" t="str">
        <f>"Rune 6"</f>
        <v>Rune 6</v>
      </c>
      <c r="N13" s="481"/>
      <c r="O13" s="482">
        <f>IF(OR(AND(IF(Interface!$E$20=M13,1,0),IF(Interface!$E$16=M$1,1,0)),AND(IF(Interface!$E$27=M13,1,0),IF(Interface!$E$25=M$1,1,0))),1,0)</f>
        <v>0</v>
      </c>
      <c r="P13" s="483"/>
      <c r="Q13" s="484" t="str">
        <f>"Rune 6"</f>
        <v>Rune 6</v>
      </c>
      <c r="R13" s="485"/>
      <c r="S13" s="486">
        <f>IF(OR(AND(IF(Interface!$E$20=Q13,1,0),IF(Interface!$E$16=Q$1,1,0)),AND(IF(Interface!$E$27=Q13,1,0),IF(Interface!$E$25=Q$1,1,0))),1,0)</f>
        <v>0</v>
      </c>
      <c r="T13" s="487"/>
      <c r="U13" s="488" t="str">
        <f>"Shard 6"</f>
        <v>Shard 6</v>
      </c>
      <c r="V13" s="489" t="str">
        <f>"-"</f>
        <v>-</v>
      </c>
      <c r="W13" s="489"/>
      <c r="X13" s="490">
        <f>0</f>
        <v>0</v>
      </c>
      <c r="Y13" s="443"/>
      <c r="Z13" s="443"/>
    </row>
    <row r="14" spans="1:26" ht="13.2">
      <c r="A14" s="395" t="str">
        <f>"Rune 1"</f>
        <v>Rune 1</v>
      </c>
      <c r="B14" s="396" t="str">
        <f>"Alacrity"</f>
        <v>Alacrity</v>
      </c>
      <c r="C14" s="491">
        <f>IF(OR(AND(IF(Interface!$E$22=A14,1,0),IF(Interface!$E$16=A$1,1,0)),AND(IF(Interface!$E$29=A14,1,0),IF(Interface!$E$25=A$1,1,0))),1,0)</f>
        <v>0</v>
      </c>
      <c r="D14" s="508">
        <f>IF(C14,(0.03+0.015*S_Legend),0)</f>
        <v>0</v>
      </c>
      <c r="E14" s="399" t="str">
        <f>"Rune 1"</f>
        <v>Rune 1</v>
      </c>
      <c r="F14" s="400" t="str">
        <f>"Zombie Ward"</f>
        <v>Zombie Ward</v>
      </c>
      <c r="G14" s="493">
        <f>IF(OR(AND(IF(Interface!$E$22=E14,1,0),IF(Interface!$E$16=E$1,1,0)),AND(IF(Interface!$E$29=E14,1,0),IF(Interface!$E$25=E$1,1,0))),1,0)</f>
        <v>0</v>
      </c>
      <c r="H14" s="509">
        <f>IF(G14,IF(S_Legend&gt;=10,15,S_Legend)*2,0)</f>
        <v>0</v>
      </c>
      <c r="I14" s="403" t="str">
        <f>"Rune 1"</f>
        <v>Rune 1</v>
      </c>
      <c r="J14" s="404" t="str">
        <f>"Transcendence"</f>
        <v>Transcendence</v>
      </c>
      <c r="K14" s="495">
        <f>IF(OR(AND(IF(Interface!$E$22=I14,1,0),IF(Interface!$E$16=I$1,1,0)),AND(IF(Interface!$E$29=I14,1,0),IF(Interface!$E$25=I$1,1,0))),1,0)</f>
        <v>0</v>
      </c>
      <c r="L14" s="510">
        <f>IF(K14,IF(Self_Level&gt;7,0.1,IF(Self_Level&gt;4,0.05,0)),0)</f>
        <v>0</v>
      </c>
      <c r="M14" s="407" t="str">
        <f>"Rune 1"</f>
        <v>Rune 1</v>
      </c>
      <c r="N14" s="408" t="str">
        <f>"Conditioning"</f>
        <v>Conditioning</v>
      </c>
      <c r="O14" s="497">
        <f>IF(OR(AND(IF(Interface!$E$22=M14,1,0),IF(Interface!$E$16=M$1,1,0)),AND(IF(Interface!$E$29=M14,1,0),IF(Interface!$E$25=M$1,1,0))),1,0)</f>
        <v>0</v>
      </c>
      <c r="P14" s="498">
        <f>IF(AND(Gametime&gt;=12,O14),8,0)</f>
        <v>0</v>
      </c>
      <c r="Q14" s="411" t="str">
        <f>"Rune 1"</f>
        <v>Rune 1</v>
      </c>
      <c r="R14" s="455" t="str">
        <f>"Futures Market"</f>
        <v>Futures Market</v>
      </c>
      <c r="S14" s="413">
        <f>IF(OR(AND(IF(Interface!$E$22=Q14,1,0),IF(Interface!$E$16=Q$1,1,0)),AND(IF(Interface!$E$29=Q14,1,0),IF(Interface!$E$25=Q$1,1,0))),1,0)</f>
        <v>0</v>
      </c>
      <c r="T14" s="456">
        <f>IF(S14,150+5*Gametime,0)</f>
        <v>0</v>
      </c>
      <c r="U14" s="415" t="str">
        <f>"Shard 1"</f>
        <v>Shard 1</v>
      </c>
      <c r="V14" s="416" t="str">
        <f>"Health"</f>
        <v>Health</v>
      </c>
      <c r="W14" s="416">
        <f>IF(Interface!$E$38=V14,1,0)</f>
        <v>0</v>
      </c>
      <c r="X14" s="501">
        <f>IF(W14, 15 + 125 * Sc_Lin, 0)</f>
        <v>0</v>
      </c>
      <c r="Y14" s="419"/>
      <c r="Z14" s="419"/>
    </row>
    <row r="15" spans="1:26" ht="13.2">
      <c r="A15" s="420" t="str">
        <f>"Rune 2"</f>
        <v>Rune 2</v>
      </c>
      <c r="B15" s="421" t="str">
        <f>"Tenacity"</f>
        <v>Tenacity</v>
      </c>
      <c r="C15" s="422">
        <f>IF(OR(AND(IF(Interface!$E$22=A15,1,0),IF(Interface!$E$16=A$1,1,0)),AND(IF(Interface!$E$29=A15,1,0),IF(Interface!$E$25=A$1,1,0))),1,0)</f>
        <v>0</v>
      </c>
      <c r="D15" s="511">
        <f>IF(C15,(0.05+0.015*S_Legend),0)</f>
        <v>0</v>
      </c>
      <c r="E15" s="424" t="str">
        <f>"Rune 2"</f>
        <v>Rune 2</v>
      </c>
      <c r="F15" s="425" t="str">
        <f>"Ghost Poro"</f>
        <v>Ghost Poro</v>
      </c>
      <c r="G15" s="426">
        <f>IF(OR(AND(IF(Interface!$E$22=E15,1,0),IF(Interface!$E$16=E$1,1,0)),AND(IF(Interface!$E$29=E15,1,0),IF(Interface!$E$25=E$1,1,0))),1,0)</f>
        <v>0</v>
      </c>
      <c r="H15" s="507">
        <f>IF(G15,IF(S_Legend&gt;=10,15,S_Legend)*2,0)</f>
        <v>0</v>
      </c>
      <c r="I15" s="428" t="str">
        <f>"Rune 2"</f>
        <v>Rune 2</v>
      </c>
      <c r="J15" s="429" t="str">
        <f>"Celerity"</f>
        <v>Celerity</v>
      </c>
      <c r="K15" s="430">
        <f>IF(OR(AND(IF(Interface!$E$22=I15,1,0),IF(Interface!$E$16=I$1,1,0)),AND(IF(Interface!$E$29=I15,1,0),IF(Interface!$E$25=I$1,1,0))),1,0)</f>
        <v>0</v>
      </c>
      <c r="L15" s="512">
        <f>IF(K15,0.01,0)</f>
        <v>0</v>
      </c>
      <c r="M15" s="432" t="str">
        <f>"Rune 2"</f>
        <v>Rune 2</v>
      </c>
      <c r="N15" s="433" t="str">
        <f>"Second Wind"</f>
        <v>Second Wind</v>
      </c>
      <c r="O15" s="434">
        <f>IF(OR(AND(IF(Interface!$E$22=M15,1,0),IF(Interface!$E$16=M$1,1,0)),AND(IF(Interface!$E$29=M15,1,0),IF(Interface!$E$25=M$1,1,0))),1,0)</f>
        <v>0</v>
      </c>
      <c r="P15" s="462">
        <f>IF(O15,(3+(Self_MHP*(1-(Self_CHPP/100)))*0.04)*IF(Calc!C52,1.25,1),0)</f>
        <v>0</v>
      </c>
      <c r="Q15" s="436" t="str">
        <f>"Rune 2"</f>
        <v>Rune 2</v>
      </c>
      <c r="R15" s="437" t="str">
        <f>"Minion Dematerializer"</f>
        <v>Minion Dematerializer</v>
      </c>
      <c r="S15" s="438">
        <f>IF(OR(AND(IF(Interface!$E$22=Q15,1,0),IF(Interface!$E$16=Q$1,1,0)),AND(IF(Interface!$E$29=Q15,1,0),IF(Interface!$E$25=Q$1,1,0))),1,0)</f>
        <v>0</v>
      </c>
      <c r="T15" s="513">
        <f>1.12</f>
        <v>1.1200000000000001</v>
      </c>
      <c r="U15" s="440" t="str">
        <f>"Shard 2"</f>
        <v>Shard 2</v>
      </c>
      <c r="V15" s="441" t="str">
        <f>"Armor"</f>
        <v>Armor</v>
      </c>
      <c r="W15" s="441">
        <f>IF(Interface!$E$38=V15,1,0)</f>
        <v>0</v>
      </c>
      <c r="X15" s="463">
        <f>IF(W15,6,0)</f>
        <v>0</v>
      </c>
      <c r="Y15" s="443"/>
      <c r="Z15" s="443"/>
    </row>
    <row r="16" spans="1:26" ht="13.2">
      <c r="A16" s="445" t="str">
        <f>"Rune 3"</f>
        <v>Rune 3</v>
      </c>
      <c r="B16" s="446" t="str">
        <f>"Bloodline"</f>
        <v>Bloodline</v>
      </c>
      <c r="C16" s="397">
        <f>IF(OR(AND(IF(Interface!$E$22=A16,1,0),IF(Interface!$E$16=A$1,1,0)),AND(IF(Interface!$E$29=A16,1,0),IF(Interface!$E$25=A$1,1,0))),1,0)</f>
        <v>0</v>
      </c>
      <c r="D16" s="514">
        <f>IF(C16,(0.0035*S_Legend) + IF(S_Legend = 10, 1.75%, 0),0)</f>
        <v>0</v>
      </c>
      <c r="E16" s="447" t="str">
        <f>"Rune 3"</f>
        <v>Rune 3</v>
      </c>
      <c r="F16" s="448" t="str">
        <f>"Eyeball Collection"</f>
        <v>Eyeball Collection</v>
      </c>
      <c r="G16" s="401">
        <f>IF(OR(AND(IF(Interface!$E$22=E16,1,0),IF(Interface!$E$16=E$1,1,0)),AND(IF(Interface!$E$29=E16,1,0),IF(Interface!$E$25=E$1,1,0))),1,0)</f>
        <v>0</v>
      </c>
      <c r="H16" s="465">
        <f>IF(G16,IF(S_Legend&gt;=10,15,S_Legend)*2,0)</f>
        <v>0</v>
      </c>
      <c r="I16" s="449" t="str">
        <f>"Rune 3"</f>
        <v>Rune 3</v>
      </c>
      <c r="J16" s="450" t="str">
        <f>"Absolute Focus"</f>
        <v>Absolute Focus</v>
      </c>
      <c r="K16" s="405">
        <f>IF(OR(AND(IF(Interface!$E$22=I16,1,0),IF(Interface!$E$16=I$1,1,0)),AND(IF(Interface!$E$29=I16,1,0),IF(Interface!$E$25=I$1,1,0))),1,0)</f>
        <v>0</v>
      </c>
      <c r="L16" s="515">
        <f>IF(K16,3+27*Sc_Lin,0)</f>
        <v>0</v>
      </c>
      <c r="M16" s="452" t="str">
        <f>"Rune 3"</f>
        <v>Rune 3</v>
      </c>
      <c r="N16" s="453" t="str">
        <f>"Bone Plating"</f>
        <v>Bone Plating</v>
      </c>
      <c r="O16" s="409">
        <f>IF(OR(AND(IF(Interface!$E$22=M16,1,0),IF(Interface!$E$16=M$1,1,0)),AND(IF(Interface!$E$29=M16,1,0),IF(Interface!$E$25=M$1,1,0))),1,0)</f>
        <v>0</v>
      </c>
      <c r="P16" s="467">
        <f>IF(O16,30+30*Sc_Lin,0)</f>
        <v>0</v>
      </c>
      <c r="Q16" s="454" t="str">
        <f>"Rune 3"</f>
        <v>Rune 3</v>
      </c>
      <c r="R16" s="516" t="str">
        <f>"Biscuit Delivery"</f>
        <v>Biscuit Delivery</v>
      </c>
      <c r="S16" s="413">
        <f>IF(OR(AND(IF(Interface!$E$22=Q16,1,0),IF(Interface!$E$16=Q$1,1,0)),AND(IF(Interface!$E$29=Q16,1,0),IF(Interface!$E$25=Q$1,1,0))),1,0)</f>
        <v>0</v>
      </c>
      <c r="T16" s="517">
        <v>0</v>
      </c>
      <c r="U16" s="457" t="str">
        <f>"Shard 3"</f>
        <v>Shard 3</v>
      </c>
      <c r="V16" s="417" t="str">
        <f>"Magic Resist"</f>
        <v>Magic Resist</v>
      </c>
      <c r="W16" s="417">
        <f>IF(Interface!$E$38=V16,1,0)</f>
        <v>0</v>
      </c>
      <c r="X16" s="418">
        <f>IF(W16,8,0)</f>
        <v>0</v>
      </c>
      <c r="Y16" s="419"/>
      <c r="Z16" s="419"/>
    </row>
    <row r="17" spans="1:26" ht="13.2">
      <c r="A17" s="420" t="str">
        <f>"Rune 4"</f>
        <v>Rune 4</v>
      </c>
      <c r="B17" s="421"/>
      <c r="C17" s="422">
        <f>IF(OR(AND(IF(Interface!$E$22=A17,1,0),IF(Interface!$E$16=A$1,1,0)),AND(IF(Interface!$E$29=A17,1,0),IF(Interface!$E$25=A$1,1,0))),1,0)</f>
        <v>0</v>
      </c>
      <c r="D17" s="502"/>
      <c r="E17" s="424" t="str">
        <f>"Rune 4"</f>
        <v>Rune 4</v>
      </c>
      <c r="F17" s="425"/>
      <c r="G17" s="426">
        <f>IF(OR(AND(IF(Interface!$E$22=E17,1,0),IF(Interface!$E$16=E$1,1,0)),AND(IF(Interface!$E$29=E17,1,0),IF(Interface!$E$25=E$1,1,0))),1,0)</f>
        <v>0</v>
      </c>
      <c r="H17" s="507"/>
      <c r="I17" s="428" t="str">
        <f>"Rune 4"</f>
        <v>Rune 4</v>
      </c>
      <c r="J17" s="429"/>
      <c r="K17" s="430">
        <f>IF(OR(AND(IF(Interface!$E$22=I17,1,0),IF(Interface!$E$16=I$1,1,0)),AND(IF(Interface!$E$29=I17,1,0),IF(Interface!$E$25=I$1,1,0))),1,0)</f>
        <v>0</v>
      </c>
      <c r="L17" s="461"/>
      <c r="M17" s="432" t="str">
        <f>"Rune 4"</f>
        <v>Rune 4</v>
      </c>
      <c r="N17" s="433"/>
      <c r="O17" s="434">
        <f>IF(OR(AND(IF(Interface!$E$22=M17,1,0),IF(Interface!$E$16=M$1,1,0)),AND(IF(Interface!$E$29=M17,1,0),IF(Interface!$E$25=M$1,1,0))),1,0)</f>
        <v>0</v>
      </c>
      <c r="P17" s="462"/>
      <c r="Q17" s="436" t="str">
        <f>"Rune 4"</f>
        <v>Rune 4</v>
      </c>
      <c r="R17" s="518"/>
      <c r="S17" s="438">
        <f>IF(OR(AND(IF(Interface!$E$22=Q17,1,0),IF(Interface!$E$16=Q$1,1,0)),AND(IF(Interface!$E$29=Q17,1,0),IF(Interface!$E$25=Q$1,1,0))),1,0)</f>
        <v>0</v>
      </c>
      <c r="T17" s="519"/>
      <c r="U17" s="440" t="str">
        <f>"Shard 4"</f>
        <v>Shard 4</v>
      </c>
      <c r="V17" s="441"/>
      <c r="W17" s="441"/>
      <c r="X17" s="463"/>
      <c r="Y17" s="443"/>
      <c r="Z17" s="443"/>
    </row>
    <row r="18" spans="1:26" ht="13.2">
      <c r="A18" s="445" t="str">
        <f>"Rune 5"</f>
        <v>Rune 5</v>
      </c>
      <c r="B18" s="446"/>
      <c r="C18" s="397">
        <f>IF(OR(AND(IF(Interface!$E$22=A18,1,0),IF(Interface!$E$16=A$1,1,0)),AND(IF(Interface!$E$29=A18,1,0),IF(Interface!$E$25=A$1,1,0))),1,0)</f>
        <v>0</v>
      </c>
      <c r="D18" s="464"/>
      <c r="E18" s="447" t="str">
        <f>"Rune 5"</f>
        <v>Rune 5</v>
      </c>
      <c r="F18" s="448"/>
      <c r="G18" s="401">
        <f>IF(OR(AND(IF(Interface!$E$22=E18,1,0),IF(Interface!$E$16=E$1,1,0)),AND(IF(Interface!$E$29=E18,1,0),IF(Interface!$E$25=E$1,1,0))),1,0)</f>
        <v>0</v>
      </c>
      <c r="H18" s="465"/>
      <c r="I18" s="449" t="str">
        <f>"Rune 5"</f>
        <v>Rune 5</v>
      </c>
      <c r="J18" s="450"/>
      <c r="K18" s="405">
        <f>IF(OR(AND(IF(Interface!$E$22=I18,1,0),IF(Interface!$E$16=I$1,1,0)),AND(IF(Interface!$E$29=I18,1,0),IF(Interface!$E$25=I$1,1,0))),1,0)</f>
        <v>0</v>
      </c>
      <c r="L18" s="466"/>
      <c r="M18" s="452" t="str">
        <f>"Rune 5"</f>
        <v>Rune 5</v>
      </c>
      <c r="N18" s="453"/>
      <c r="O18" s="409">
        <f>IF(OR(AND(IF(Interface!$E$22=M18,1,0),IF(Interface!$E$16=M$1,1,0)),AND(IF(Interface!$E$29=M18,1,0),IF(Interface!$E$25=M$1,1,0))),1,0)</f>
        <v>0</v>
      </c>
      <c r="P18" s="467"/>
      <c r="Q18" s="454" t="str">
        <f>"Rune 5"</f>
        <v>Rune 5</v>
      </c>
      <c r="R18" s="520"/>
      <c r="S18" s="413">
        <f>IF(OR(AND(IF(Interface!$E$22=Q18,1,0),IF(Interface!$E$16=Q$1,1,0)),AND(IF(Interface!$E$29=Q18,1,0),IF(Interface!$E$25=Q$1,1,0))),1,0)</f>
        <v>0</v>
      </c>
      <c r="T18" s="521"/>
      <c r="U18" s="457" t="str">
        <f>"Shard 5"</f>
        <v>Shard 5</v>
      </c>
      <c r="V18" s="417"/>
      <c r="W18" s="417"/>
      <c r="X18" s="418"/>
      <c r="Y18" s="419"/>
      <c r="Z18" s="419"/>
    </row>
    <row r="19" spans="1:26" ht="13.2">
      <c r="A19" s="468" t="str">
        <f>"Rune 6"</f>
        <v>Rune 6</v>
      </c>
      <c r="B19" s="469"/>
      <c r="C19" s="470">
        <f>IF(OR(AND(IF(Interface!$E$22=A19,1,0),IF(Interface!$E$16=A$1,1,0)),AND(IF(Interface!$E$29=A19,1,0),IF(Interface!$E$25=A$1,1,0))),1,0)</f>
        <v>0</v>
      </c>
      <c r="D19" s="471"/>
      <c r="E19" s="472" t="str">
        <f>"Rune 6"</f>
        <v>Rune 6</v>
      </c>
      <c r="F19" s="473"/>
      <c r="G19" s="474">
        <f>IF(OR(AND(IF(Interface!$E$22=E19,1,0),IF(Interface!$E$16=E$1,1,0)),AND(IF(Interface!$E$29=E19,1,0),IF(Interface!$E$25=E$1,1,0))),1,0)</f>
        <v>0</v>
      </c>
      <c r="H19" s="475"/>
      <c r="I19" s="476" t="str">
        <f>"Rune 6"</f>
        <v>Rune 6</v>
      </c>
      <c r="J19" s="477"/>
      <c r="K19" s="478">
        <f>IF(OR(AND(IF(Interface!$E$22=I19,1,0),IF(Interface!$E$16=I$1,1,0)),AND(IF(Interface!$E$29=I19,1,0),IF(Interface!$E$25=I$1,1,0))),1,0)</f>
        <v>0</v>
      </c>
      <c r="L19" s="479"/>
      <c r="M19" s="480" t="str">
        <f>"Rune 6"</f>
        <v>Rune 6</v>
      </c>
      <c r="N19" s="481"/>
      <c r="O19" s="482">
        <f>IF(OR(AND(IF(Interface!$E$22=M19,1,0),IF(Interface!$E$16=M$1,1,0)),AND(IF(Interface!$E$29=M19,1,0),IF(Interface!$E$25=M$1,1,0))),1,0)</f>
        <v>0</v>
      </c>
      <c r="P19" s="483"/>
      <c r="Q19" s="484" t="str">
        <f>"Rune 6"</f>
        <v>Rune 6</v>
      </c>
      <c r="R19" s="485"/>
      <c r="S19" s="486">
        <f>IF(OR(AND(IF(Interface!$E$22=Q19,1,0),IF(Interface!$E$16=Q$1,1,0)),AND(IF(Interface!$E$29=Q19,1,0),IF(Interface!$E$25=Q$1,1,0))),1,0)</f>
        <v>0</v>
      </c>
      <c r="T19" s="487"/>
      <c r="U19" s="488" t="str">
        <f>"Shard 6"</f>
        <v>Shard 6</v>
      </c>
      <c r="V19" s="489" t="str">
        <f>"-"</f>
        <v>-</v>
      </c>
      <c r="W19" s="489"/>
      <c r="X19" s="490">
        <f>0</f>
        <v>0</v>
      </c>
      <c r="Y19" s="443"/>
      <c r="Z19" s="443"/>
    </row>
    <row r="20" spans="1:26" ht="13.2">
      <c r="A20" s="395" t="str">
        <f>"Rune 1"</f>
        <v>Rune 1</v>
      </c>
      <c r="B20" s="396" t="str">
        <f>"Coup de Grace"</f>
        <v>Coup de Grace</v>
      </c>
      <c r="C20" s="491">
        <f>IF(OR(AND(IF(Interface!$E$24=A20,1,0),IF(Interface!$E$16=A$1,1,0)),AND(IF(Interface!$E$31=A20,1,0),IF(Interface!$E$25=A$1,1,0))),1,0)</f>
        <v>0</v>
      </c>
      <c r="D20" s="508">
        <f>IF(AND(C20,E_CHP&lt;=40),1.08,1)</f>
        <v>1</v>
      </c>
      <c r="E20" s="399" t="str">
        <f>"Rune 1"</f>
        <v>Rune 1</v>
      </c>
      <c r="F20" s="400" t="str">
        <f>"Treasure Hunter"</f>
        <v>Treasure Hunter</v>
      </c>
      <c r="G20" s="493">
        <f>IF(OR(AND(IF(Interface!$E$24=E20,1,0),IF(Interface!$E$16=E$1,1,0)),AND(IF(Interface!$E$31=E20,1,0),IF(Interface!$E$25=E$1,1,0))),1,0)</f>
        <v>0</v>
      </c>
      <c r="H20" s="522">
        <f>IF(G20,((S_Bounty*S_Bounty*20)/2+40*S_Bounty), 0)</f>
        <v>0</v>
      </c>
      <c r="I20" s="403" t="str">
        <f>"Rune 1"</f>
        <v>Rune 1</v>
      </c>
      <c r="J20" s="404" t="str">
        <f>"Scorch"</f>
        <v>Scorch</v>
      </c>
      <c r="K20" s="495">
        <f>IF(OR(AND(IF(Interface!$E$24=I20,1,0),IF(Interface!$E$16=I$1,1,0)),AND(IF(Interface!$E$31=I20,1,0),IF(Interface!$E$25=I$1,1,0))),1,0)</f>
        <v>0</v>
      </c>
      <c r="L20" s="523">
        <f>IF(K20,ROUND(20+20*Sc_Lin,0)*MOD_Magic,0)</f>
        <v>0</v>
      </c>
      <c r="M20" s="407" t="str">
        <f>"Rune 1"</f>
        <v>Rune 1</v>
      </c>
      <c r="N20" s="408" t="str">
        <f>"Overgrowth"</f>
        <v>Overgrowth</v>
      </c>
      <c r="O20" s="497">
        <f>IF(OR(AND(IF(Interface!$E$24=M20,1,0),IF(Interface!$E$16=M$1,1,0)),AND(IF(Interface!$E$31=M20,1,0),IF(Interface!$E$25=M$1,1,0))),1,0)</f>
        <v>0</v>
      </c>
      <c r="P20" s="498">
        <v>0</v>
      </c>
      <c r="Q20" s="411" t="str">
        <f>"Rune 1"</f>
        <v>Rune 1</v>
      </c>
      <c r="R20" s="412" t="str">
        <f>"Cosmic Insight"</f>
        <v>Cosmic Insight</v>
      </c>
      <c r="S20" s="499">
        <f>IF(OR(AND(IF(Interface!$E$24=Q20,1,0),IF(Interface!$E$16=Q$1,1,0)),AND(IF(Interface!$E$31=Q20,1,0),IF(Interface!$E$25=Q$1,1,0))),1,0)</f>
        <v>0</v>
      </c>
      <c r="T20" s="524">
        <f>IF(S20,0.15,0)</f>
        <v>0</v>
      </c>
      <c r="U20" s="415" t="str">
        <f>"Shard 1"</f>
        <v>Shard 1</v>
      </c>
      <c r="V20" s="416"/>
      <c r="W20" s="416"/>
      <c r="X20" s="501"/>
      <c r="Y20" s="419"/>
      <c r="Z20" s="419"/>
    </row>
    <row r="21" spans="1:26" ht="13.2">
      <c r="A21" s="420" t="str">
        <f>"Rune 2"</f>
        <v>Rune 2</v>
      </c>
      <c r="B21" s="421" t="str">
        <f>"Cut Down"</f>
        <v>Cut Down</v>
      </c>
      <c r="C21" s="422">
        <f>IF(OR(AND(IF(Interface!$E$24=A21,1,0),IF(Interface!$E$16=A$1,1,0)),AND(IF(Interface!$E$31=A21,1,0),IF(Interface!$E$25=A$1,1,0))),1,0)</f>
        <v>0</v>
      </c>
      <c r="D21" s="525">
        <f>IF(C21,MIN(1.15,IF(E_MHP&gt;Self_MHP*1.1,1.05+0.1*(E_MHP/(Self_MHP+1)-1),1)),1)</f>
        <v>1</v>
      </c>
      <c r="E21" s="424" t="str">
        <f>"Rune 2"</f>
        <v>Rune 2</v>
      </c>
      <c r="F21" s="425" t="str">
        <f>"Ingenious Hunter"</f>
        <v>Ingenious Hunter</v>
      </c>
      <c r="G21" s="426">
        <f>IF(OR(AND(IF(Interface!$E$24=E21,1,0),IF(Interface!$E$16=E$1,1,0)),AND(IF(Interface!$E$31=E21,1,0),IF(Interface!$E$25=E$1,1,0))),1,0)</f>
        <v>0</v>
      </c>
      <c r="H21" s="526">
        <f>IF(G21, 0.2 + 0.06 * S_Bounty, 0)</f>
        <v>0</v>
      </c>
      <c r="I21" s="428" t="str">
        <f>"Rune 2"</f>
        <v>Rune 2</v>
      </c>
      <c r="J21" s="429" t="str">
        <f>"Waterwalking"</f>
        <v>Waterwalking</v>
      </c>
      <c r="K21" s="430">
        <f>IF(OR(AND(IF(Interface!$E$24=I21,1,0),IF(Interface!$E$16=I$1,1,0)),AND(IF(Interface!$E$31=I21,1,0),IF(Interface!$E$25=I$1,1,0))),1,0)</f>
        <v>0</v>
      </c>
      <c r="L21" s="527">
        <f>IF(K21,ROUND(5+25*Sc_Lin,0),0)</f>
        <v>0</v>
      </c>
      <c r="M21" s="432" t="str">
        <f>"Rune 2"</f>
        <v>Rune 2</v>
      </c>
      <c r="N21" s="433" t="str">
        <f>"Revitalize"</f>
        <v>Revitalize</v>
      </c>
      <c r="O21" s="434">
        <f>IF(OR(AND(IF(Interface!$E$24=M21,1,0),IF(Interface!$E$16=M$1,1,0)),AND(IF(Interface!$E$31=M21,1,0),IF(Interface!$E$25=M$1,1,0))),1,0)</f>
        <v>0</v>
      </c>
      <c r="P21" s="462">
        <f>IF(O21,0.05+IF(Self_CHPP&lt;=40,0.1,0),0)</f>
        <v>0</v>
      </c>
      <c r="Q21" s="436" t="str">
        <f>"Rune 2"</f>
        <v>Rune 2</v>
      </c>
      <c r="R21" s="437" t="str">
        <f>"Approach Velocity"</f>
        <v>Approach Velocity</v>
      </c>
      <c r="S21" s="438">
        <f>IF(OR(AND(IF(Interface!$E$24=Q21,1,0),IF(Interface!$E$16=Q$1,1,0)),AND(IF(Interface!$E$31=Q21,1,0),IF(Interface!$E$25=Q$1,1,0))),1,0)</f>
        <v>0</v>
      </c>
      <c r="T21" s="513">
        <f>IF(S21,0.075,0)</f>
        <v>0</v>
      </c>
      <c r="U21" s="440" t="str">
        <f>"Shard 2"</f>
        <v>Shard 2</v>
      </c>
      <c r="V21" s="441"/>
      <c r="W21" s="441"/>
      <c r="X21" s="463"/>
      <c r="Y21" s="443"/>
      <c r="Z21" s="443"/>
    </row>
    <row r="22" spans="1:26" ht="13.2">
      <c r="A22" s="445" t="str">
        <f>"Rune 3"</f>
        <v>Rune 3</v>
      </c>
      <c r="B22" s="446" t="str">
        <f>"Last Stand"</f>
        <v>Last Stand</v>
      </c>
      <c r="C22" s="397">
        <f>IF(OR(AND(IF(Interface!$E$24=A22,1,0),IF(Interface!$E$16=A$1,1,0)),AND(IF(Interface!$E$31=A22,1,0),IF(Interface!$E$25=A$1,1,0))),1,0)</f>
        <v>0</v>
      </c>
      <c r="D22" s="528">
        <f>IF(C22,MIN(1.11,IF(Self_CHPP&lt;=60,1.05+(60-Self_CHPP)*0.002,1)),1)</f>
        <v>1</v>
      </c>
      <c r="E22" s="447" t="str">
        <f>"Rune 3"</f>
        <v>Rune 3</v>
      </c>
      <c r="F22" s="448" t="str">
        <f>"Relentless Hunter"</f>
        <v>Relentless Hunter</v>
      </c>
      <c r="G22" s="401">
        <f>IF(OR(AND(IF(Interface!$E$24=E22,1,0),IF(Interface!$E$16=E$1,1,0)),AND(IF(Interface!$E$31=E22,1,0),IF(Interface!$E$25=E$1,1,0))),1,0)</f>
        <v>0</v>
      </c>
      <c r="H22" s="504">
        <f>IF(G22,5+8*S_Bounty,0)</f>
        <v>0</v>
      </c>
      <c r="I22" s="449" t="str">
        <f>"Rune 3"</f>
        <v>Rune 3</v>
      </c>
      <c r="J22" s="450" t="str">
        <f>"Gathering Storm"</f>
        <v>Gathering Storm</v>
      </c>
      <c r="K22" s="405">
        <f>IF(OR(AND(IF(Interface!$E$24=I22,1,0),IF(Interface!$E$16=I$1,1,0)),AND(IF(Interface!$E$31=I22,1,0),IF(Interface!$E$25=I$1,1,0))),1,0)</f>
        <v>0</v>
      </c>
      <c r="L22" s="406">
        <f>IF(K22,((ROUNDDOWN(Gametime/10,0)*(ROUNDDOWN(Gametime/10,0)*8)+8*(ROUNDDOWN(Gametime/10,0)))/2),0)</f>
        <v>0</v>
      </c>
      <c r="M22" s="452" t="str">
        <f>"Rune 3"</f>
        <v>Rune 3</v>
      </c>
      <c r="N22" s="453" t="str">
        <f>"Unflinching"</f>
        <v>Unflinching</v>
      </c>
      <c r="O22" s="409">
        <f>IF(OR(AND(IF(Interface!$E$24=M22,1,0),IF(Interface!$E$16=M$1,1,0)),AND(IF(Interface!$E$31=M22,1,0),IF(Interface!$E$25=M$1,1,0))),1,0)</f>
        <v>0</v>
      </c>
      <c r="P22" s="529">
        <f>IF(O22,(0.05+(IF(Self_CHPP&lt;=30,0.2,IF(Self_CHPP&lt;=100,(100-Self_CHPP)*(0.2/70),0)))),0)</f>
        <v>0</v>
      </c>
      <c r="Q22" s="454" t="str">
        <f>"Rune 3"</f>
        <v>Rune 3</v>
      </c>
      <c r="R22" s="455" t="str">
        <f>"Time Warp Tonic"</f>
        <v>Time Warp Tonic</v>
      </c>
      <c r="S22" s="413">
        <f>IF(OR(AND(IF(Interface!$E$24=Q22,1,0),IF(Interface!$E$16=Q$1,1,0)),AND(IF(Interface!$E$31=Q22,1,0),IF(Interface!$E$25=Q$1,1,0))),1,0)</f>
        <v>0</v>
      </c>
      <c r="T22" s="456">
        <f>IF(S22,0.02,0)</f>
        <v>0</v>
      </c>
      <c r="U22" s="457" t="str">
        <f>"Shard 3"</f>
        <v>Shard 3</v>
      </c>
      <c r="V22" s="417"/>
      <c r="W22" s="417"/>
      <c r="X22" s="418"/>
      <c r="Y22" s="419"/>
      <c r="Z22" s="419"/>
    </row>
    <row r="23" spans="1:26" ht="13.2">
      <c r="A23" s="420" t="str">
        <f>"Rune 4"</f>
        <v>Rune 4</v>
      </c>
      <c r="B23" s="421"/>
      <c r="C23" s="422">
        <f>IF(OR(AND(IF(Interface!$E$24=A23,1,0),IF(Interface!$E$16=A$1,1,0)),AND(IF(Interface!$E$31=A23,1,0),IF(Interface!$E$25=A$1,1,0))),1,0)</f>
        <v>0</v>
      </c>
      <c r="D23" s="502"/>
      <c r="E23" s="424" t="str">
        <f>"Rune 4"</f>
        <v>Rune 4</v>
      </c>
      <c r="F23" s="425" t="str">
        <f>"Ultimate Hunter"</f>
        <v>Ultimate Hunter</v>
      </c>
      <c r="G23" s="426">
        <f>IF(OR(AND(IF(Interface!$E$24=E23,1,0),IF(Interface!$E$16=E$1,1,0)),AND(IF(Interface!$E$31=E23,1,0),IF(Interface!$E$25=E$1,1,0))),1,0)</f>
        <v>0</v>
      </c>
      <c r="H23" s="530">
        <f>IF(G23,0.06 + 0.05 * S_Bounty,0)</f>
        <v>0</v>
      </c>
      <c r="I23" s="428" t="str">
        <f>"Rune 4"</f>
        <v>Rune 4</v>
      </c>
      <c r="J23" s="429"/>
      <c r="K23" s="430">
        <f>IF(OR(AND(IF(Interface!$E$24=I23,1,0),IF(Interface!$E$16=I$1,1,0)),AND(IF(Interface!$E$31=I23,1,0),IF(Interface!$E$25=I$1,1,0))),1,0)</f>
        <v>0</v>
      </c>
      <c r="L23" s="461"/>
      <c r="M23" s="432" t="str">
        <f>"Rune 4"</f>
        <v>Rune 4</v>
      </c>
      <c r="N23" s="433"/>
      <c r="O23" s="434">
        <f>IF(OR(AND(IF(Interface!$E$24=M23,1,0),IF(Interface!$E$16=M$1,1,0)),AND(IF(Interface!$E$31=M23,1,0),IF(Interface!$E$25=M$1,1,0))),1,0)</f>
        <v>0</v>
      </c>
      <c r="P23" s="462"/>
      <c r="Q23" s="436" t="str">
        <f>"Rune 4"</f>
        <v>Rune 4</v>
      </c>
      <c r="R23" s="437"/>
      <c r="S23" s="438">
        <f>IF(OR(AND(IF(Interface!$E$24=Q23,1,0),IF(Interface!$E$16=Q$1,1,0)),AND(IF(Interface!$E$31=Q23,1,0),IF(Interface!$E$25=Q$1,1,0))),1,0)</f>
        <v>0</v>
      </c>
      <c r="T23" s="439"/>
      <c r="U23" s="440" t="str">
        <f>"Shard 4"</f>
        <v>Shard 4</v>
      </c>
      <c r="V23" s="441"/>
      <c r="W23" s="441"/>
      <c r="X23" s="463"/>
      <c r="Y23" s="443"/>
      <c r="Z23" s="443"/>
    </row>
    <row r="24" spans="1:26" ht="13.2">
      <c r="A24" s="445" t="str">
        <f>"Rune 5"</f>
        <v>Rune 5</v>
      </c>
      <c r="B24" s="446"/>
      <c r="C24" s="397">
        <f>IF(OR(AND(IF(Interface!$E$24=A24,1,0),IF(Interface!$E$16=A$1,1,0)),AND(IF(Interface!$E$31=A24,1,0),IF(Interface!$E$25=A$1,1,0))),1,0)</f>
        <v>0</v>
      </c>
      <c r="D24" s="464"/>
      <c r="E24" s="447" t="str">
        <f>"Rune 5"</f>
        <v>Rune 5</v>
      </c>
      <c r="F24" s="448"/>
      <c r="G24" s="401">
        <f>IF(OR(AND(IF(Interface!$E$24=E24,1,0),IF(Interface!$E$16=E$1,1,0)),AND(IF(Interface!$E$31=E24,1,0),IF(Interface!$E$25=E$1,1,0))),1,0)</f>
        <v>0</v>
      </c>
      <c r="H24" s="465"/>
      <c r="I24" s="449" t="str">
        <f>"Rune 5"</f>
        <v>Rune 5</v>
      </c>
      <c r="J24" s="450"/>
      <c r="K24" s="405">
        <f>IF(OR(AND(IF(Interface!$E$24=I24,1,0),IF(Interface!$E$16=I$1,1,0)),AND(IF(Interface!$E$31=I24,1,0),IF(Interface!$E$25=I$1,1,0))),1,0)</f>
        <v>0</v>
      </c>
      <c r="L24" s="466"/>
      <c r="M24" s="452" t="str">
        <f>"Rune 5"</f>
        <v>Rune 5</v>
      </c>
      <c r="N24" s="453"/>
      <c r="O24" s="409">
        <f>IF(OR(AND(IF(Interface!$E$24=M24,1,0),IF(Interface!$E$16=M$1,1,0)),AND(IF(Interface!$E$31=M24,1,0),IF(Interface!$E$25=M$1,1,0))),1,0)</f>
        <v>0</v>
      </c>
      <c r="P24" s="531"/>
      <c r="Q24" s="454" t="str">
        <f>"Rune 5"</f>
        <v>Rune 5</v>
      </c>
      <c r="R24" s="455"/>
      <c r="S24" s="413">
        <f>IF(OR(AND(IF(Interface!$E$24=Q24,1,0),IF(Interface!$E$16=Q$1,1,0)),AND(IF(Interface!$E$31=Q24,1,0),IF(Interface!$E$25=Q$1,1,0))),1,0)</f>
        <v>0</v>
      </c>
      <c r="T24" s="456"/>
      <c r="U24" s="457" t="str">
        <f>"Shard 5"</f>
        <v>Shard 5</v>
      </c>
      <c r="V24" s="417"/>
      <c r="W24" s="417"/>
      <c r="X24" s="418"/>
      <c r="Y24" s="419"/>
      <c r="Z24" s="419"/>
    </row>
    <row r="25" spans="1:26" ht="13.2">
      <c r="A25" s="532" t="str">
        <f>"Rune 6"</f>
        <v>Rune 6</v>
      </c>
      <c r="B25" s="533"/>
      <c r="C25" s="534">
        <f>IF(OR(AND(IF(Interface!$E$24=A25,1,0),IF(Interface!$E$16=A$1,1,0)),AND(IF(Interface!$E$31=A25,1,0),IF(Interface!$E$25=A$1,1,0))),1,0)</f>
        <v>0</v>
      </c>
      <c r="D25" s="535"/>
      <c r="E25" s="536" t="str">
        <f>"Rune 6"</f>
        <v>Rune 6</v>
      </c>
      <c r="F25" s="537"/>
      <c r="G25" s="538">
        <f>IF(OR(AND(IF(Interface!$E$24=E25,1,0),IF(Interface!$E$16=E$1,1,0)),AND(IF(Interface!$E$31=E25,1,0),IF(Interface!$E$25=E$1,1,0))),1,0)</f>
        <v>0</v>
      </c>
      <c r="H25" s="539"/>
      <c r="I25" s="540" t="str">
        <f>"Rune 6"</f>
        <v>Rune 6</v>
      </c>
      <c r="J25" s="541"/>
      <c r="K25" s="542">
        <f>IF(OR(AND(IF(Interface!$E$24=I25,1,0),IF(Interface!$E$16=I$1,1,0)),AND(IF(Interface!$E$31=I25,1,0),IF(Interface!$E$25=I$1,1,0))),1,0)</f>
        <v>0</v>
      </c>
      <c r="L25" s="543"/>
      <c r="M25" s="544" t="str">
        <f>"Rune 6"</f>
        <v>Rune 6</v>
      </c>
      <c r="N25" s="545"/>
      <c r="O25" s="546">
        <f>IF(OR(AND(IF(Interface!$E$24=M25,1,0),IF(Interface!$E$16=M$1,1,0)),AND(IF(Interface!$E$31=M25,1,0),IF(Interface!$E$25=M$1,1,0))),1,0)</f>
        <v>0</v>
      </c>
      <c r="P25" s="547"/>
      <c r="Q25" s="548" t="str">
        <f>"Rune 6"</f>
        <v>Rune 6</v>
      </c>
      <c r="R25" s="549"/>
      <c r="S25" s="550">
        <f>IF(OR(AND(IF(Interface!$E$24=Q25,1,0),IF(Interface!$E$16=Q$1,1,0)),AND(IF(Interface!$E$31=Q25,1,0),IF(Interface!$E$25=Q$1,1,0))),1,0)</f>
        <v>0</v>
      </c>
      <c r="T25" s="551"/>
      <c r="U25" s="552" t="str">
        <f>"Shard 6"</f>
        <v>Shard 6</v>
      </c>
      <c r="V25" s="553"/>
      <c r="W25" s="553"/>
      <c r="X25" s="554"/>
      <c r="Y25" s="443"/>
      <c r="Z25" s="443"/>
    </row>
  </sheetData>
  <mergeCells count="7">
    <mergeCell ref="U1:V1"/>
    <mergeCell ref="Y1:Z1"/>
    <mergeCell ref="A1:B1"/>
    <mergeCell ref="E1:F1"/>
    <mergeCell ref="I1:J1"/>
    <mergeCell ref="M1:N1"/>
    <mergeCell ref="Q1:R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E69138"/>
    <outlinePr summaryBelow="0" summaryRight="0"/>
  </sheetPr>
  <dimension ref="A1:K9"/>
  <sheetViews>
    <sheetView showGridLines="0" workbookViewId="0"/>
  </sheetViews>
  <sheetFormatPr baseColWidth="10" defaultColWidth="12.6640625" defaultRowHeight="15" customHeight="1"/>
  <cols>
    <col min="1" max="1" width="13.109375" customWidth="1"/>
    <col min="2" max="2" width="16.6640625" customWidth="1"/>
    <col min="3" max="3" width="35.33203125" customWidth="1"/>
    <col min="4" max="4" width="16.6640625" customWidth="1"/>
    <col min="5" max="5" width="29.33203125" customWidth="1"/>
    <col min="6" max="6" width="16.6640625" customWidth="1"/>
    <col min="7" max="7" width="49.33203125" customWidth="1"/>
    <col min="8" max="8" width="18.77734375" customWidth="1"/>
    <col min="9" max="9" width="33.88671875" customWidth="1"/>
    <col min="10" max="10" width="18.77734375" customWidth="1"/>
    <col min="11" max="11" width="49.33203125" customWidth="1"/>
  </cols>
  <sheetData>
    <row r="1" spans="1:11" ht="15" customHeight="1">
      <c r="A1" s="555">
        <f>IF(Interface!$U$11="Season 13",B1,IF(Interface!$U$11="Season 12",D1,IF(Interface!$U$11="Season 11",F1,IF(Interface!$U$11="Season 10",H1,IF(Interface!$U$11="Season 9",J1,0)))))</f>
        <v>0</v>
      </c>
      <c r="B1" s="556"/>
      <c r="C1" s="555"/>
      <c r="D1" s="557"/>
      <c r="E1" s="558"/>
      <c r="F1" s="557"/>
      <c r="G1" s="555"/>
      <c r="H1" s="557"/>
      <c r="I1" s="558"/>
      <c r="J1" s="557" t="s">
        <v>752</v>
      </c>
      <c r="K1" s="555" t="s">
        <v>753</v>
      </c>
    </row>
    <row r="2" spans="1:11" ht="15" customHeight="1">
      <c r="A2" s="555">
        <f>IF(Interface!$U$11="Season 13",B2,IF(Interface!$U$11="Season 12",D2,IF(Interface!$U$11="Season 11",F2,IF(Interface!$U$11="Season 10",H2,IF(Interface!$U$11="Season 9",J2,0)))))</f>
        <v>0</v>
      </c>
      <c r="B2" s="556"/>
      <c r="C2" s="555"/>
      <c r="D2" s="557"/>
      <c r="E2" s="558"/>
      <c r="F2" s="557"/>
      <c r="G2" s="555"/>
      <c r="H2" s="557" t="s">
        <v>754</v>
      </c>
      <c r="I2" s="558" t="s">
        <v>755</v>
      </c>
      <c r="J2" s="557" t="s">
        <v>756</v>
      </c>
      <c r="K2" s="555" t="s">
        <v>757</v>
      </c>
    </row>
    <row r="3" spans="1:11" ht="15" customHeight="1">
      <c r="A3" s="555">
        <f>IF(Interface!$U$11="Season 13",B3,IF(Interface!$U$11="Season 12",D3,IF(Interface!$U$11="Season 11",F3,IF(Interface!$U$11="Season 10",H3,IF(Interface!$U$11="Season 9",J3,0)))))</f>
        <v>0</v>
      </c>
      <c r="B3" s="556"/>
      <c r="C3" s="555"/>
      <c r="D3" s="557" t="s">
        <v>758</v>
      </c>
      <c r="E3" s="558" t="s">
        <v>759</v>
      </c>
      <c r="F3" s="557"/>
      <c r="G3" s="555"/>
      <c r="H3" s="557" t="s">
        <v>760</v>
      </c>
      <c r="I3" s="558" t="s">
        <v>761</v>
      </c>
      <c r="J3" s="557" t="s">
        <v>762</v>
      </c>
      <c r="K3" s="555" t="s">
        <v>763</v>
      </c>
    </row>
    <row r="4" spans="1:11" ht="15" customHeight="1">
      <c r="A4" s="555">
        <f>IF(Interface!$U$11="Season 13",B4,IF(Interface!$U$11="Season 12",D4,IF(Interface!$U$11="Season 11",F4,IF(Interface!$U$11="Season 10",H4,IF(Interface!$U$11="Season 9",J4,0)))))</f>
        <v>0</v>
      </c>
      <c r="B4" s="556"/>
      <c r="C4" s="555"/>
      <c r="D4" s="557" t="s">
        <v>764</v>
      </c>
      <c r="E4" s="558" t="s">
        <v>765</v>
      </c>
      <c r="F4" s="557" t="s">
        <v>766</v>
      </c>
      <c r="G4" s="555" t="s">
        <v>767</v>
      </c>
      <c r="H4" s="557" t="s">
        <v>768</v>
      </c>
      <c r="I4" s="558" t="s">
        <v>769</v>
      </c>
      <c r="J4" s="557" t="s">
        <v>770</v>
      </c>
      <c r="K4" s="555" t="s">
        <v>771</v>
      </c>
    </row>
    <row r="5" spans="1:11" ht="15" customHeight="1">
      <c r="A5" s="555">
        <f>IF(Interface!$U$11="Season 13",B5,IF(Interface!$U$11="Season 12",D5,IF(Interface!$U$11="Season 11",F5,IF(Interface!$U$11="Season 10",H5,IF(Interface!$U$11="Season 9",J5,0)))))</f>
        <v>0</v>
      </c>
      <c r="B5" s="556"/>
      <c r="C5" s="555"/>
      <c r="D5" s="557" t="s">
        <v>772</v>
      </c>
      <c r="E5" s="558" t="s">
        <v>773</v>
      </c>
      <c r="F5" s="557" t="s">
        <v>774</v>
      </c>
      <c r="G5" s="555" t="s">
        <v>775</v>
      </c>
      <c r="H5" s="557" t="s">
        <v>776</v>
      </c>
      <c r="I5" s="558" t="s">
        <v>777</v>
      </c>
      <c r="J5" s="557" t="s">
        <v>778</v>
      </c>
      <c r="K5" s="555" t="s">
        <v>779</v>
      </c>
    </row>
    <row r="6" spans="1:11" ht="15" customHeight="1">
      <c r="A6" s="555">
        <f>IF(Interface!$U$11="Season 13",B6,IF(Interface!$U$11="Season 12",D6,IF(Interface!$U$11="Season 11",F6,IF(Interface!$U$11="Season 10",H6,IF(Interface!$U$11="Season 9",J6,0)))))</f>
        <v>0</v>
      </c>
      <c r="B6" s="556"/>
      <c r="C6" s="555"/>
      <c r="D6" s="557" t="s">
        <v>780</v>
      </c>
      <c r="E6" s="558" t="s">
        <v>781</v>
      </c>
      <c r="F6" s="557" t="s">
        <v>782</v>
      </c>
      <c r="G6" s="555" t="s">
        <v>783</v>
      </c>
      <c r="H6" s="557" t="s">
        <v>784</v>
      </c>
      <c r="I6" s="558" t="s">
        <v>785</v>
      </c>
      <c r="J6" s="557" t="s">
        <v>786</v>
      </c>
      <c r="K6" s="559" t="s">
        <v>787</v>
      </c>
    </row>
    <row r="7" spans="1:11" ht="15" customHeight="1">
      <c r="A7" s="555" t="str">
        <f>IF(Interface!$U$11="Season 13",B7,IF(Interface!$U$11="Season 12",D7,IF(Interface!$U$11="Season 11",F7,IF(Interface!$U$11="Season 10",H7,IF(Interface!$U$11="Season 9",J7,0)))))</f>
        <v>v. 13.12</v>
      </c>
      <c r="B7" s="556" t="s">
        <v>47</v>
      </c>
      <c r="C7" s="555" t="s">
        <v>788</v>
      </c>
      <c r="D7" s="557" t="s">
        <v>789</v>
      </c>
      <c r="E7" s="558" t="s">
        <v>790</v>
      </c>
      <c r="F7" s="557" t="s">
        <v>791</v>
      </c>
      <c r="G7" s="555" t="s">
        <v>792</v>
      </c>
      <c r="H7" s="557" t="s">
        <v>793</v>
      </c>
      <c r="I7" s="558" t="s">
        <v>794</v>
      </c>
      <c r="J7" s="557" t="s">
        <v>795</v>
      </c>
      <c r="K7" s="559" t="s">
        <v>796</v>
      </c>
    </row>
    <row r="8" spans="1:11" ht="15" customHeight="1">
      <c r="A8" s="555" t="str">
        <f>IF(Interface!$U$11="Season 13",B8,IF(Interface!$U$11="Season 12",D8,IF(Interface!$U$11="Season 11",F8,IF(Interface!$U$11="Season 10",H8,IF(Interface!$U$11="Season 9",J8,0)))))</f>
        <v>v. 13.9</v>
      </c>
      <c r="B8" s="556" t="s">
        <v>797</v>
      </c>
      <c r="C8" s="555" t="s">
        <v>798</v>
      </c>
      <c r="D8" s="557" t="s">
        <v>799</v>
      </c>
      <c r="E8" s="558" t="s">
        <v>800</v>
      </c>
      <c r="F8" s="557" t="s">
        <v>801</v>
      </c>
      <c r="G8" s="555" t="s">
        <v>802</v>
      </c>
      <c r="H8" s="557" t="s">
        <v>803</v>
      </c>
      <c r="I8" s="558" t="s">
        <v>804</v>
      </c>
      <c r="J8" s="557" t="s">
        <v>805</v>
      </c>
      <c r="K8" s="559" t="s">
        <v>806</v>
      </c>
    </row>
    <row r="9" spans="1:11" ht="15" customHeight="1">
      <c r="A9" s="555" t="str">
        <f>IF(Interface!$U$11="Season 13",B9,IF(Interface!$U$11="Season 12",D9,IF(Interface!$U$11="Season 11",F9,IF(Interface!$U$11="Season 10",H9,IF(Interface!$U$11="Season 9",J9,0)))))</f>
        <v>v. 13.4</v>
      </c>
      <c r="B9" s="556" t="s">
        <v>807</v>
      </c>
      <c r="C9" s="555" t="s">
        <v>808</v>
      </c>
      <c r="D9" s="557" t="s">
        <v>809</v>
      </c>
      <c r="E9" s="558" t="s">
        <v>810</v>
      </c>
      <c r="F9" s="557" t="s">
        <v>811</v>
      </c>
      <c r="G9" s="555" t="s">
        <v>812</v>
      </c>
      <c r="H9" s="557" t="s">
        <v>813</v>
      </c>
      <c r="I9" s="558" t="s">
        <v>814</v>
      </c>
      <c r="J9" s="557" t="s">
        <v>815</v>
      </c>
      <c r="K9" s="559" t="s">
        <v>816</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outlinePr summaryBelow="0" summaryRight="0"/>
  </sheetPr>
  <dimension ref="A1:J30"/>
  <sheetViews>
    <sheetView workbookViewId="0"/>
  </sheetViews>
  <sheetFormatPr baseColWidth="10" defaultColWidth="12.6640625" defaultRowHeight="15" customHeight="1"/>
  <cols>
    <col min="1" max="1" width="10.44140625" customWidth="1"/>
    <col min="2" max="2" width="8.33203125" customWidth="1"/>
    <col min="3" max="3" width="6" customWidth="1"/>
    <col min="4" max="4" width="6.6640625" customWidth="1"/>
    <col min="5" max="5" width="7.77734375" customWidth="1"/>
    <col min="6" max="6" width="10.44140625" customWidth="1"/>
    <col min="7" max="7" width="11.33203125" customWidth="1"/>
    <col min="8" max="10" width="11.44140625" customWidth="1"/>
  </cols>
  <sheetData>
    <row r="1" spans="1:10" ht="15" customHeight="1">
      <c r="A1" s="560" t="s">
        <v>817</v>
      </c>
      <c r="B1" s="560" t="s">
        <v>818</v>
      </c>
      <c r="C1" s="560" t="s">
        <v>819</v>
      </c>
      <c r="D1" s="560" t="s">
        <v>820</v>
      </c>
      <c r="E1" s="560" t="s">
        <v>821</v>
      </c>
      <c r="F1" s="561" t="s">
        <v>822</v>
      </c>
      <c r="G1" s="561" t="s">
        <v>823</v>
      </c>
      <c r="H1" s="561" t="s">
        <v>824</v>
      </c>
      <c r="I1" s="561" t="s">
        <v>825</v>
      </c>
      <c r="J1" s="561" t="s">
        <v>826</v>
      </c>
    </row>
    <row r="2" spans="1:10" ht="15" customHeight="1">
      <c r="A2" s="562">
        <v>0</v>
      </c>
      <c r="B2" s="563" t="s">
        <v>827</v>
      </c>
      <c r="C2" s="563" t="s">
        <v>828</v>
      </c>
      <c r="D2" s="563" t="s">
        <v>829</v>
      </c>
      <c r="E2" s="563"/>
      <c r="F2" s="562">
        <v>0</v>
      </c>
      <c r="G2" s="562">
        <v>500</v>
      </c>
      <c r="H2" s="562">
        <f t="shared" ref="H2:H29" si="0">F2+G2</f>
        <v>500</v>
      </c>
      <c r="I2" s="562">
        <f>Minion*I30+G30+300*Kills + Runes!H20</f>
        <v>500</v>
      </c>
      <c r="J2" s="564">
        <f>IF(Interface!O36,0.56,0.93)</f>
        <v>0.93</v>
      </c>
    </row>
    <row r="3" spans="1:10" ht="15" customHeight="1">
      <c r="A3" s="562">
        <v>1</v>
      </c>
      <c r="B3" s="563" t="s">
        <v>827</v>
      </c>
      <c r="C3" s="563" t="s">
        <v>828</v>
      </c>
      <c r="D3" s="563" t="s">
        <v>829</v>
      </c>
      <c r="E3" s="563"/>
      <c r="F3" s="562">
        <v>0</v>
      </c>
      <c r="G3" s="562">
        <v>500</v>
      </c>
      <c r="H3" s="562">
        <f t="shared" si="0"/>
        <v>500</v>
      </c>
      <c r="I3" s="564">
        <f>AVERAGE(I4:I15)</f>
        <v>19.56576753476449</v>
      </c>
      <c r="J3" s="565" t="s">
        <v>830</v>
      </c>
    </row>
    <row r="4" spans="1:10" ht="15" customHeight="1">
      <c r="A4" s="562">
        <v>2</v>
      </c>
      <c r="B4" s="563">
        <f>6+IF(E4&gt;0,1,0)</f>
        <v>6</v>
      </c>
      <c r="C4" s="563" t="s">
        <v>828</v>
      </c>
      <c r="D4" s="563" t="s">
        <v>829</v>
      </c>
      <c r="E4" s="563"/>
      <c r="F4" s="562">
        <f>C4*3+D4*3+E4</f>
        <v>105</v>
      </c>
      <c r="G4" s="562">
        <v>500</v>
      </c>
      <c r="H4" s="562">
        <f t="shared" si="0"/>
        <v>605</v>
      </c>
      <c r="I4" s="566">
        <f t="shared" ref="I4:I29" si="1">F4/B4</f>
        <v>17.5</v>
      </c>
      <c r="J4" s="566">
        <v>65</v>
      </c>
    </row>
    <row r="5" spans="1:10" ht="15" customHeight="1">
      <c r="A5" s="567">
        <f t="shared" ref="A5:A29" si="2">A4+1</f>
        <v>3</v>
      </c>
      <c r="B5" s="563">
        <f t="shared" ref="B5:B28" si="3">12+IF(E5&gt;0,1,0)+B4</f>
        <v>19</v>
      </c>
      <c r="C5" s="568" t="s">
        <v>828</v>
      </c>
      <c r="D5" s="568" t="s">
        <v>829</v>
      </c>
      <c r="E5" s="568" t="s">
        <v>831</v>
      </c>
      <c r="F5" s="562">
        <f t="shared" ref="F5:F28" si="4">C5*6+D5*6+E5+F4</f>
        <v>375</v>
      </c>
      <c r="G5" s="567">
        <f>112.2+G4</f>
        <v>612.20000000000005</v>
      </c>
      <c r="H5" s="562">
        <f t="shared" si="0"/>
        <v>987.2</v>
      </c>
      <c r="I5" s="566">
        <f t="shared" si="1"/>
        <v>19.736842105263158</v>
      </c>
      <c r="J5" s="566" t="s">
        <v>832</v>
      </c>
    </row>
    <row r="6" spans="1:10" ht="15" customHeight="1">
      <c r="A6" s="567">
        <f t="shared" si="2"/>
        <v>4</v>
      </c>
      <c r="B6" s="563">
        <f t="shared" si="3"/>
        <v>31</v>
      </c>
      <c r="C6" s="563" t="s">
        <v>828</v>
      </c>
      <c r="D6" s="563" t="s">
        <v>829</v>
      </c>
      <c r="E6" s="563"/>
      <c r="F6" s="562">
        <f t="shared" si="4"/>
        <v>585</v>
      </c>
      <c r="G6" s="567">
        <f t="shared" ref="G6:G29" si="5">122.4+G5</f>
        <v>734.6</v>
      </c>
      <c r="H6" s="562">
        <f t="shared" si="0"/>
        <v>1319.6</v>
      </c>
      <c r="I6" s="566">
        <f t="shared" si="1"/>
        <v>18.870967741935484</v>
      </c>
      <c r="J6" s="566">
        <v>32</v>
      </c>
    </row>
    <row r="7" spans="1:10" ht="15" customHeight="1">
      <c r="A7" s="567">
        <f t="shared" si="2"/>
        <v>5</v>
      </c>
      <c r="B7" s="563">
        <f t="shared" si="3"/>
        <v>44</v>
      </c>
      <c r="C7" s="568" t="s">
        <v>828</v>
      </c>
      <c r="D7" s="568" t="s">
        <v>829</v>
      </c>
      <c r="E7" s="568" t="s">
        <v>833</v>
      </c>
      <c r="F7" s="562">
        <f t="shared" si="4"/>
        <v>858</v>
      </c>
      <c r="G7" s="567">
        <f t="shared" si="5"/>
        <v>857</v>
      </c>
      <c r="H7" s="562">
        <f t="shared" si="0"/>
        <v>1715</v>
      </c>
      <c r="I7" s="566">
        <f t="shared" si="1"/>
        <v>19.5</v>
      </c>
      <c r="J7" s="566" t="s">
        <v>834</v>
      </c>
    </row>
    <row r="8" spans="1:10" ht="15" customHeight="1">
      <c r="A8" s="567">
        <f t="shared" si="2"/>
        <v>6</v>
      </c>
      <c r="B8" s="563">
        <f t="shared" si="3"/>
        <v>57</v>
      </c>
      <c r="C8" s="563" t="s">
        <v>828</v>
      </c>
      <c r="D8" s="563" t="s">
        <v>829</v>
      </c>
      <c r="E8" s="563" t="s">
        <v>835</v>
      </c>
      <c r="F8" s="562">
        <f t="shared" si="4"/>
        <v>1134</v>
      </c>
      <c r="G8" s="567">
        <f t="shared" si="5"/>
        <v>979.4</v>
      </c>
      <c r="H8" s="562">
        <f t="shared" si="0"/>
        <v>2113.4</v>
      </c>
      <c r="I8" s="566">
        <f t="shared" si="1"/>
        <v>19.894736842105264</v>
      </c>
      <c r="J8" s="566">
        <v>100</v>
      </c>
    </row>
    <row r="9" spans="1:10" ht="15" customHeight="1">
      <c r="A9" s="567">
        <f t="shared" si="2"/>
        <v>7</v>
      </c>
      <c r="B9" s="563">
        <f t="shared" si="3"/>
        <v>69</v>
      </c>
      <c r="C9" s="568" t="s">
        <v>828</v>
      </c>
      <c r="D9" s="568" t="s">
        <v>829</v>
      </c>
      <c r="E9" s="568"/>
      <c r="F9" s="562">
        <f t="shared" si="4"/>
        <v>1344</v>
      </c>
      <c r="G9" s="567">
        <f t="shared" si="5"/>
        <v>1101.8</v>
      </c>
      <c r="H9" s="562">
        <f t="shared" si="0"/>
        <v>2445.8000000000002</v>
      </c>
      <c r="I9" s="566">
        <f t="shared" si="1"/>
        <v>19.478260869565219</v>
      </c>
      <c r="J9" s="566" t="s">
        <v>836</v>
      </c>
    </row>
    <row r="10" spans="1:10" ht="15" customHeight="1">
      <c r="A10" s="567">
        <f t="shared" si="2"/>
        <v>8</v>
      </c>
      <c r="B10" s="563">
        <f t="shared" si="3"/>
        <v>82</v>
      </c>
      <c r="C10" s="563" t="s">
        <v>828</v>
      </c>
      <c r="D10" s="563" t="s">
        <v>829</v>
      </c>
      <c r="E10" s="563" t="s">
        <v>837</v>
      </c>
      <c r="F10" s="562">
        <f t="shared" si="4"/>
        <v>1623</v>
      </c>
      <c r="G10" s="567">
        <f t="shared" si="5"/>
        <v>1224.2</v>
      </c>
      <c r="H10" s="562">
        <f t="shared" si="0"/>
        <v>2847.2</v>
      </c>
      <c r="I10" s="566">
        <f t="shared" si="1"/>
        <v>19.792682926829269</v>
      </c>
      <c r="J10" s="566">
        <f>(J4*9+J6*9+1.5*J8)/19.5</f>
        <v>52.46153846153846</v>
      </c>
    </row>
    <row r="11" spans="1:10" ht="15" customHeight="1">
      <c r="A11" s="567">
        <f t="shared" si="2"/>
        <v>9</v>
      </c>
      <c r="B11" s="563">
        <f t="shared" si="3"/>
        <v>95</v>
      </c>
      <c r="C11" s="568" t="s">
        <v>828</v>
      </c>
      <c r="D11" s="568" t="s">
        <v>829</v>
      </c>
      <c r="E11" s="568" t="s">
        <v>838</v>
      </c>
      <c r="F11" s="562">
        <f t="shared" si="4"/>
        <v>1905</v>
      </c>
      <c r="G11" s="567">
        <f t="shared" si="5"/>
        <v>1346.6000000000001</v>
      </c>
      <c r="H11" s="562">
        <f t="shared" si="0"/>
        <v>3251.6000000000004</v>
      </c>
      <c r="I11" s="566">
        <f t="shared" si="1"/>
        <v>20.05263157894737</v>
      </c>
      <c r="J11" s="566"/>
    </row>
    <row r="12" spans="1:10" ht="15" customHeight="1">
      <c r="A12" s="567">
        <f t="shared" si="2"/>
        <v>10</v>
      </c>
      <c r="B12" s="563">
        <f t="shared" si="3"/>
        <v>107</v>
      </c>
      <c r="C12" s="563" t="s">
        <v>828</v>
      </c>
      <c r="D12" s="563" t="s">
        <v>829</v>
      </c>
      <c r="E12" s="563"/>
      <c r="F12" s="562">
        <f t="shared" si="4"/>
        <v>2115</v>
      </c>
      <c r="G12" s="567">
        <f t="shared" si="5"/>
        <v>1469.0000000000002</v>
      </c>
      <c r="H12" s="562">
        <f t="shared" si="0"/>
        <v>3584</v>
      </c>
      <c r="I12" s="566">
        <f t="shared" si="1"/>
        <v>19.766355140186917</v>
      </c>
      <c r="J12" s="566"/>
    </row>
    <row r="13" spans="1:10" ht="15" customHeight="1">
      <c r="A13" s="567">
        <f t="shared" si="2"/>
        <v>11</v>
      </c>
      <c r="B13" s="563">
        <f t="shared" si="3"/>
        <v>120</v>
      </c>
      <c r="C13" s="568" t="s">
        <v>828</v>
      </c>
      <c r="D13" s="568" t="s">
        <v>829</v>
      </c>
      <c r="E13" s="568" t="s">
        <v>839</v>
      </c>
      <c r="F13" s="562">
        <f t="shared" si="4"/>
        <v>2400</v>
      </c>
      <c r="G13" s="567">
        <f t="shared" si="5"/>
        <v>1591.4000000000003</v>
      </c>
      <c r="H13" s="562">
        <f t="shared" si="0"/>
        <v>3991.4000000000005</v>
      </c>
      <c r="I13" s="566">
        <f t="shared" si="1"/>
        <v>20</v>
      </c>
      <c r="J13" s="566"/>
    </row>
    <row r="14" spans="1:10" ht="15" customHeight="1">
      <c r="A14" s="567">
        <f t="shared" si="2"/>
        <v>12</v>
      </c>
      <c r="B14" s="563">
        <f t="shared" si="3"/>
        <v>133</v>
      </c>
      <c r="C14" s="563" t="s">
        <v>828</v>
      </c>
      <c r="D14" s="563" t="s">
        <v>829</v>
      </c>
      <c r="E14" s="563" t="s">
        <v>840</v>
      </c>
      <c r="F14" s="562">
        <f t="shared" si="4"/>
        <v>2688</v>
      </c>
      <c r="G14" s="567">
        <f t="shared" si="5"/>
        <v>1713.8000000000004</v>
      </c>
      <c r="H14" s="562">
        <f t="shared" si="0"/>
        <v>4401.8</v>
      </c>
      <c r="I14" s="566">
        <f t="shared" si="1"/>
        <v>20.210526315789473</v>
      </c>
      <c r="J14" s="566"/>
    </row>
    <row r="15" spans="1:10" ht="15" customHeight="1">
      <c r="A15" s="567">
        <f t="shared" si="2"/>
        <v>13</v>
      </c>
      <c r="B15" s="563">
        <f t="shared" si="3"/>
        <v>145</v>
      </c>
      <c r="C15" s="568" t="s">
        <v>828</v>
      </c>
      <c r="D15" s="568" t="s">
        <v>829</v>
      </c>
      <c r="E15" s="568"/>
      <c r="F15" s="562">
        <f t="shared" si="4"/>
        <v>2898</v>
      </c>
      <c r="G15" s="567">
        <f t="shared" si="5"/>
        <v>1836.2000000000005</v>
      </c>
      <c r="H15" s="562">
        <f t="shared" si="0"/>
        <v>4734.2000000000007</v>
      </c>
      <c r="I15" s="566">
        <f t="shared" si="1"/>
        <v>19.986206896551725</v>
      </c>
      <c r="J15" s="566"/>
    </row>
    <row r="16" spans="1:10" ht="15" customHeight="1">
      <c r="A16" s="567">
        <f t="shared" si="2"/>
        <v>14</v>
      </c>
      <c r="B16" s="563">
        <f t="shared" si="3"/>
        <v>158</v>
      </c>
      <c r="C16" s="563" t="s">
        <v>828</v>
      </c>
      <c r="D16" s="563" t="s">
        <v>829</v>
      </c>
      <c r="E16" s="563" t="s">
        <v>841</v>
      </c>
      <c r="F16" s="562">
        <f t="shared" si="4"/>
        <v>3189</v>
      </c>
      <c r="G16" s="567">
        <f t="shared" si="5"/>
        <v>1958.6000000000006</v>
      </c>
      <c r="H16" s="562">
        <f t="shared" si="0"/>
        <v>5147.6000000000004</v>
      </c>
      <c r="I16" s="566">
        <f t="shared" si="1"/>
        <v>20.183544303797468</v>
      </c>
      <c r="J16" s="566"/>
    </row>
    <row r="17" spans="1:10" ht="15" customHeight="1">
      <c r="A17" s="567">
        <f t="shared" si="2"/>
        <v>15</v>
      </c>
      <c r="B17" s="563">
        <f t="shared" si="3"/>
        <v>171</v>
      </c>
      <c r="C17" s="568" t="s">
        <v>828</v>
      </c>
      <c r="D17" s="568" t="s">
        <v>829</v>
      </c>
      <c r="E17" s="568" t="s">
        <v>842</v>
      </c>
      <c r="F17" s="562">
        <f t="shared" si="4"/>
        <v>3483</v>
      </c>
      <c r="G17" s="567">
        <f t="shared" si="5"/>
        <v>2081.0000000000005</v>
      </c>
      <c r="H17" s="562">
        <f t="shared" si="0"/>
        <v>5564</v>
      </c>
      <c r="I17" s="566">
        <f t="shared" si="1"/>
        <v>20.368421052631579</v>
      </c>
      <c r="J17" s="566"/>
    </row>
    <row r="18" spans="1:10" ht="13.2">
      <c r="A18" s="567">
        <f t="shared" si="2"/>
        <v>16</v>
      </c>
      <c r="B18" s="563">
        <f t="shared" si="3"/>
        <v>184</v>
      </c>
      <c r="C18" s="563" t="s">
        <v>828</v>
      </c>
      <c r="D18" s="563" t="s">
        <v>829</v>
      </c>
      <c r="E18" s="563" t="s">
        <v>843</v>
      </c>
      <c r="F18" s="562">
        <f t="shared" si="4"/>
        <v>3780</v>
      </c>
      <c r="G18" s="567">
        <f t="shared" si="5"/>
        <v>2203.4000000000005</v>
      </c>
      <c r="H18" s="562">
        <f t="shared" si="0"/>
        <v>5983.4000000000005</v>
      </c>
      <c r="I18" s="566">
        <f t="shared" si="1"/>
        <v>20.543478260869566</v>
      </c>
      <c r="J18" s="566"/>
    </row>
    <row r="19" spans="1:10" ht="13.2">
      <c r="A19" s="567">
        <f t="shared" si="2"/>
        <v>17</v>
      </c>
      <c r="B19" s="563">
        <f t="shared" si="3"/>
        <v>197</v>
      </c>
      <c r="C19" s="568" t="s">
        <v>828</v>
      </c>
      <c r="D19" s="568" t="s">
        <v>829</v>
      </c>
      <c r="E19" s="568" t="s">
        <v>844</v>
      </c>
      <c r="F19" s="562">
        <f t="shared" si="4"/>
        <v>4080</v>
      </c>
      <c r="G19" s="567">
        <f t="shared" si="5"/>
        <v>2325.8000000000006</v>
      </c>
      <c r="H19" s="562">
        <f t="shared" si="0"/>
        <v>6405.8000000000011</v>
      </c>
      <c r="I19" s="566">
        <f t="shared" si="1"/>
        <v>20.710659898477157</v>
      </c>
      <c r="J19" s="566"/>
    </row>
    <row r="20" spans="1:10" ht="13.2">
      <c r="A20" s="567">
        <f t="shared" si="2"/>
        <v>18</v>
      </c>
      <c r="B20" s="563">
        <f t="shared" si="3"/>
        <v>210</v>
      </c>
      <c r="C20" s="563" t="s">
        <v>828</v>
      </c>
      <c r="D20" s="563" t="s">
        <v>829</v>
      </c>
      <c r="E20" s="568" t="s">
        <v>844</v>
      </c>
      <c r="F20" s="562">
        <f t="shared" si="4"/>
        <v>4380</v>
      </c>
      <c r="G20" s="567">
        <f t="shared" si="5"/>
        <v>2448.2000000000007</v>
      </c>
      <c r="H20" s="562">
        <f t="shared" si="0"/>
        <v>6828.2000000000007</v>
      </c>
      <c r="I20" s="566">
        <f t="shared" si="1"/>
        <v>20.857142857142858</v>
      </c>
      <c r="J20" s="566"/>
    </row>
    <row r="21" spans="1:10" ht="13.2">
      <c r="A21" s="567">
        <f t="shared" si="2"/>
        <v>19</v>
      </c>
      <c r="B21" s="563">
        <f t="shared" si="3"/>
        <v>223</v>
      </c>
      <c r="C21" s="568" t="s">
        <v>828</v>
      </c>
      <c r="D21" s="568" t="s">
        <v>829</v>
      </c>
      <c r="E21" s="568" t="s">
        <v>844</v>
      </c>
      <c r="F21" s="562">
        <f t="shared" si="4"/>
        <v>4680</v>
      </c>
      <c r="G21" s="567">
        <f t="shared" si="5"/>
        <v>2570.6000000000008</v>
      </c>
      <c r="H21" s="562">
        <f t="shared" si="0"/>
        <v>7250.6</v>
      </c>
      <c r="I21" s="566">
        <f t="shared" si="1"/>
        <v>20.986547085201792</v>
      </c>
      <c r="J21" s="566"/>
    </row>
    <row r="22" spans="1:10" ht="13.2">
      <c r="A22" s="567">
        <f t="shared" si="2"/>
        <v>20</v>
      </c>
      <c r="B22" s="563">
        <f t="shared" si="3"/>
        <v>236</v>
      </c>
      <c r="C22" s="563" t="s">
        <v>828</v>
      </c>
      <c r="D22" s="563" t="s">
        <v>829</v>
      </c>
      <c r="E22" s="568" t="s">
        <v>844</v>
      </c>
      <c r="F22" s="562">
        <f t="shared" si="4"/>
        <v>4980</v>
      </c>
      <c r="G22" s="567">
        <f t="shared" si="5"/>
        <v>2693.0000000000009</v>
      </c>
      <c r="H22" s="562">
        <f t="shared" si="0"/>
        <v>7673.0000000000009</v>
      </c>
      <c r="I22" s="566">
        <f t="shared" si="1"/>
        <v>21.101694915254239</v>
      </c>
      <c r="J22" s="566"/>
    </row>
    <row r="23" spans="1:10" ht="13.2">
      <c r="A23" s="567">
        <f t="shared" si="2"/>
        <v>21</v>
      </c>
      <c r="B23" s="563">
        <f t="shared" si="3"/>
        <v>249</v>
      </c>
      <c r="C23" s="568" t="s">
        <v>828</v>
      </c>
      <c r="D23" s="568" t="s">
        <v>829</v>
      </c>
      <c r="E23" s="568" t="s">
        <v>844</v>
      </c>
      <c r="F23" s="562">
        <f t="shared" si="4"/>
        <v>5280</v>
      </c>
      <c r="G23" s="567">
        <f t="shared" si="5"/>
        <v>2815.400000000001</v>
      </c>
      <c r="H23" s="562">
        <f t="shared" si="0"/>
        <v>8095.4000000000015</v>
      </c>
      <c r="I23" s="566">
        <f t="shared" si="1"/>
        <v>21.204819277108435</v>
      </c>
      <c r="J23" s="566"/>
    </row>
    <row r="24" spans="1:10" ht="13.2">
      <c r="A24" s="567">
        <f t="shared" si="2"/>
        <v>22</v>
      </c>
      <c r="B24" s="563">
        <f t="shared" si="3"/>
        <v>262</v>
      </c>
      <c r="C24" s="563" t="s">
        <v>828</v>
      </c>
      <c r="D24" s="563" t="s">
        <v>829</v>
      </c>
      <c r="E24" s="568" t="s">
        <v>844</v>
      </c>
      <c r="F24" s="562">
        <f t="shared" si="4"/>
        <v>5580</v>
      </c>
      <c r="G24" s="567">
        <f t="shared" si="5"/>
        <v>2937.8000000000011</v>
      </c>
      <c r="H24" s="562">
        <f t="shared" si="0"/>
        <v>8517.8000000000011</v>
      </c>
      <c r="I24" s="566">
        <f t="shared" si="1"/>
        <v>21.297709923664122</v>
      </c>
      <c r="J24" s="566"/>
    </row>
    <row r="25" spans="1:10" ht="13.2">
      <c r="A25" s="567">
        <f t="shared" si="2"/>
        <v>23</v>
      </c>
      <c r="B25" s="563">
        <f t="shared" si="3"/>
        <v>275</v>
      </c>
      <c r="C25" s="568" t="s">
        <v>828</v>
      </c>
      <c r="D25" s="568" t="s">
        <v>829</v>
      </c>
      <c r="E25" s="568" t="s">
        <v>844</v>
      </c>
      <c r="F25" s="562">
        <f t="shared" si="4"/>
        <v>5880</v>
      </c>
      <c r="G25" s="567">
        <f t="shared" si="5"/>
        <v>3060.2000000000012</v>
      </c>
      <c r="H25" s="562">
        <f t="shared" si="0"/>
        <v>8940.2000000000007</v>
      </c>
      <c r="I25" s="566">
        <f t="shared" si="1"/>
        <v>21.381818181818183</v>
      </c>
      <c r="J25" s="566"/>
    </row>
    <row r="26" spans="1:10" ht="13.2">
      <c r="A26" s="567">
        <f t="shared" si="2"/>
        <v>24</v>
      </c>
      <c r="B26" s="563">
        <f t="shared" si="3"/>
        <v>288</v>
      </c>
      <c r="C26" s="563" t="s">
        <v>828</v>
      </c>
      <c r="D26" s="563" t="s">
        <v>829</v>
      </c>
      <c r="E26" s="568" t="s">
        <v>844</v>
      </c>
      <c r="F26" s="562">
        <f t="shared" si="4"/>
        <v>6180</v>
      </c>
      <c r="G26" s="567">
        <f t="shared" si="5"/>
        <v>3182.6000000000013</v>
      </c>
      <c r="H26" s="562">
        <f t="shared" si="0"/>
        <v>9362.6000000000022</v>
      </c>
      <c r="I26" s="566">
        <f t="shared" si="1"/>
        <v>21.458333333333332</v>
      </c>
      <c r="J26" s="566"/>
    </row>
    <row r="27" spans="1:10" ht="13.2">
      <c r="A27" s="567">
        <f t="shared" si="2"/>
        <v>25</v>
      </c>
      <c r="B27" s="563">
        <f t="shared" si="3"/>
        <v>301</v>
      </c>
      <c r="C27" s="568" t="s">
        <v>828</v>
      </c>
      <c r="D27" s="568" t="s">
        <v>829</v>
      </c>
      <c r="E27" s="568" t="s">
        <v>844</v>
      </c>
      <c r="F27" s="562">
        <f t="shared" si="4"/>
        <v>6480</v>
      </c>
      <c r="G27" s="567">
        <f t="shared" si="5"/>
        <v>3305.0000000000014</v>
      </c>
      <c r="H27" s="562">
        <f t="shared" si="0"/>
        <v>9785.0000000000018</v>
      </c>
      <c r="I27" s="566">
        <f t="shared" si="1"/>
        <v>21.528239202657808</v>
      </c>
      <c r="J27" s="566"/>
    </row>
    <row r="28" spans="1:10" ht="13.2">
      <c r="A28" s="567">
        <f t="shared" si="2"/>
        <v>26</v>
      </c>
      <c r="B28" s="563">
        <f t="shared" si="3"/>
        <v>314</v>
      </c>
      <c r="C28" s="563" t="s">
        <v>828</v>
      </c>
      <c r="D28" s="563" t="s">
        <v>829</v>
      </c>
      <c r="E28" s="563" t="s">
        <v>844</v>
      </c>
      <c r="F28" s="562">
        <f t="shared" si="4"/>
        <v>6780</v>
      </c>
      <c r="G28" s="567">
        <f t="shared" si="5"/>
        <v>3427.4000000000015</v>
      </c>
      <c r="H28" s="562">
        <f t="shared" si="0"/>
        <v>10207.400000000001</v>
      </c>
      <c r="I28" s="566">
        <f t="shared" si="1"/>
        <v>21.592356687898089</v>
      </c>
      <c r="J28" s="566"/>
    </row>
    <row r="29" spans="1:10" ht="13.2">
      <c r="A29" s="567">
        <f t="shared" si="2"/>
        <v>27</v>
      </c>
      <c r="B29" s="563">
        <f>12+IF(E29&gt;0,2,0)+B28</f>
        <v>328</v>
      </c>
      <c r="C29" s="568" t="s">
        <v>828</v>
      </c>
      <c r="D29" s="568" t="s">
        <v>829</v>
      </c>
      <c r="E29" s="568" t="s">
        <v>844</v>
      </c>
      <c r="F29" s="562">
        <f>C29*6+D29*6+2*E29+F28</f>
        <v>7170</v>
      </c>
      <c r="G29" s="567">
        <f t="shared" si="5"/>
        <v>3549.8000000000015</v>
      </c>
      <c r="H29" s="562">
        <f t="shared" si="0"/>
        <v>10719.800000000001</v>
      </c>
      <c r="I29" s="566">
        <f t="shared" si="1"/>
        <v>21.859756097560975</v>
      </c>
      <c r="J29" s="566"/>
    </row>
    <row r="30" spans="1:10" ht="13.2">
      <c r="A30" s="567">
        <f>Gametime</f>
        <v>0</v>
      </c>
      <c r="B30" s="562" t="str">
        <f>IF(Gametime&gt;27,14*(A30-27)+B29,VLOOKUP(Gametime,A2:B29,2,FALSE))</f>
        <v>0</v>
      </c>
      <c r="C30" s="568" t="s">
        <v>828</v>
      </c>
      <c r="D30" s="568" t="s">
        <v>829</v>
      </c>
      <c r="E30" s="568" t="s">
        <v>844</v>
      </c>
      <c r="F30" s="562">
        <f>IF(Gametime&gt;27,(Gametime-27)*(C30*6+D30*6+2*E30)+F29,VLOOKUP(Gametime,A2:F29,6,FALSE))</f>
        <v>0</v>
      </c>
      <c r="G30" s="567">
        <f>IF(Gametime&gt;27,(Gametime-27)*122.4+G29,VLOOKUP(Gametime,A2:G29,7,FALSE))</f>
        <v>500</v>
      </c>
      <c r="H30" s="562">
        <f>F30+G30+300*Kills + Runes!H20</f>
        <v>500</v>
      </c>
      <c r="I30" s="566">
        <f>IF(Gametime&lt;=13,I3,IF(AND(Gametime&gt;13,Gametime&lt;=27),VLOOKUP(Gametime,A6:I29,9,FALSE),IFERROR(F30/B30,0)))</f>
        <v>19.56576753476449</v>
      </c>
      <c r="J30" s="566"/>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R81"/>
  <sheetViews>
    <sheetView workbookViewId="0"/>
  </sheetViews>
  <sheetFormatPr baseColWidth="10" defaultColWidth="12.6640625" defaultRowHeight="15" customHeight="1"/>
  <cols>
    <col min="1" max="1" width="2.88671875" customWidth="1"/>
    <col min="2" max="2" width="20.88671875" customWidth="1"/>
    <col min="3" max="3" width="6.33203125" customWidth="1"/>
    <col min="4" max="4" width="20.88671875" customWidth="1"/>
    <col min="5" max="5" width="6.33203125" customWidth="1"/>
    <col min="6" max="6" width="20.88671875" customWidth="1"/>
    <col min="7" max="7" width="6.33203125" customWidth="1"/>
    <col min="8" max="8" width="20.88671875" customWidth="1"/>
    <col min="9" max="9" width="6.33203125" customWidth="1"/>
    <col min="10" max="10" width="20.88671875" customWidth="1"/>
    <col min="11" max="11" width="6.33203125" customWidth="1"/>
    <col min="12" max="12" width="20.88671875" customWidth="1"/>
    <col min="13" max="13" width="6.33203125" customWidth="1"/>
    <col min="14" max="14" width="20.88671875" customWidth="1"/>
    <col min="15" max="15" width="6.33203125" customWidth="1"/>
    <col min="16" max="16" width="20.88671875" customWidth="1"/>
    <col min="17" max="17" width="6.33203125" customWidth="1"/>
    <col min="18" max="18" width="2.88671875" customWidth="1"/>
  </cols>
  <sheetData>
    <row r="1" spans="1:18" ht="15" customHeight="1">
      <c r="A1" s="569"/>
      <c r="B1" s="569"/>
      <c r="C1" s="569"/>
      <c r="D1" s="569"/>
      <c r="E1" s="569"/>
      <c r="F1" s="569"/>
      <c r="G1" s="569"/>
      <c r="H1" s="569"/>
      <c r="I1" s="569"/>
      <c r="J1" s="569"/>
      <c r="K1" s="569"/>
      <c r="L1" s="569"/>
      <c r="M1" s="570"/>
      <c r="N1" s="569"/>
      <c r="O1" s="571"/>
      <c r="P1" s="569"/>
      <c r="Q1" s="569"/>
      <c r="R1" s="569"/>
    </row>
    <row r="2" spans="1:18" ht="15" customHeight="1">
      <c r="A2" s="569"/>
      <c r="B2" s="733" t="str">
        <f ca="1">IFERROR(__xludf.DUMMYFUNCTION("IMPORTRANGE(""19QEmeWlm_IOMUgVC5P_7ofY_CkEZ4ULFNEedQ8mho9M"",""DatasourceCalc!B2:Q81"")"),"=""// Attack Damage //""")</f>
        <v>="// Attack Damage //"</v>
      </c>
      <c r="C2" s="657"/>
      <c r="D2" s="732" t="str">
        <f ca="1">IFERROR(__xludf.DUMMYFUNCTION("""COMPUTED_VALUE"""),"=""// Ability Power //""")</f>
        <v>="// Ability Power //"</v>
      </c>
      <c r="E2" s="657"/>
      <c r="F2" s="733" t="str">
        <f ca="1">IFERROR(__xludf.DUMMYFUNCTION("""COMPUTED_VALUE"""),"=""// Health //""")</f>
        <v>="// Health //"</v>
      </c>
      <c r="G2" s="657"/>
      <c r="H2" s="732" t="str">
        <f ca="1">IFERROR(__xludf.DUMMYFUNCTION("""COMPUTED_VALUE"""),"=""// Mana //""")</f>
        <v>="// Mana //"</v>
      </c>
      <c r="I2" s="657"/>
      <c r="J2" s="733" t="str">
        <f ca="1">IFERROR(__xludf.DUMMYFUNCTION("""COMPUTED_VALUE"""),"=""// Armor //""")</f>
        <v>="// Armor //"</v>
      </c>
      <c r="K2" s="657"/>
      <c r="L2" s="732" t="str">
        <f ca="1">IFERROR(__xludf.DUMMYFUNCTION("""COMPUTED_VALUE"""),"=""// Enemy Armor //""")</f>
        <v>="// Enemy Armor //"</v>
      </c>
      <c r="M2" s="657"/>
      <c r="N2" s="733" t="str">
        <f ca="1">IFERROR(__xludf.DUMMYFUNCTION("""COMPUTED_VALUE"""),"=""// Other Mods //""")</f>
        <v>="// Other Mods //"</v>
      </c>
      <c r="O2" s="657"/>
      <c r="P2" s="732" t="str">
        <f ca="1">IFERROR(__xludf.DUMMYFUNCTION("""COMPUTED_VALUE"""),"=""// Scalings //""")</f>
        <v>="// Scalings //"</v>
      </c>
      <c r="Q2" s="657"/>
      <c r="R2" s="569"/>
    </row>
    <row r="3" spans="1:18" ht="15" customHeight="1">
      <c r="A3" s="569"/>
      <c r="B3" s="215" t="str">
        <f ca="1">IFERROR(__xludf.DUMMYFUNCTION("""COMPUTED_VALUE"""),"=""Items""")</f>
        <v>="Items"</v>
      </c>
      <c r="C3" s="214" t="str">
        <f ca="1">IFERROR(__xludf.DUMMYFUNCTION("""COMPUTED_VALUE"""),"=IT_AD")</f>
        <v>=IT_AD</v>
      </c>
      <c r="D3" s="215" t="str">
        <f ca="1">IFERROR(__xludf.DUMMYFUNCTION("""COMPUTED_VALUE"""),"=""Items""")</f>
        <v>="Items"</v>
      </c>
      <c r="E3" s="214" t="str">
        <f ca="1">IFERROR(__xludf.DUMMYFUNCTION("""COMPUTED_VALUE"""),"=IT_AP")</f>
        <v>=IT_AP</v>
      </c>
      <c r="F3" s="215" t="str">
        <f ca="1">IFERROR(__xludf.DUMMYFUNCTION("""COMPUTED_VALUE"""),"=""Items""")</f>
        <v>="Items"</v>
      </c>
      <c r="G3" s="214" t="str">
        <f ca="1">IFERROR(__xludf.DUMMYFUNCTION("""COMPUTED_VALUE"""),"=IT_HP")</f>
        <v>=IT_HP</v>
      </c>
      <c r="H3" s="215" t="str">
        <f ca="1">IFERROR(__xludf.DUMMYFUNCTION("""COMPUTED_VALUE"""),"=""Items""")</f>
        <v>="Items"</v>
      </c>
      <c r="I3" s="214" t="str">
        <f ca="1">IFERROR(__xludf.DUMMYFUNCTION("""COMPUTED_VALUE"""),"=IT_MP")</f>
        <v>=IT_MP</v>
      </c>
      <c r="J3" s="215" t="str">
        <f ca="1">IFERROR(__xludf.DUMMYFUNCTION("""COMPUTED_VALUE"""),"=""Items""")</f>
        <v>="Items"</v>
      </c>
      <c r="K3" s="219" t="str">
        <f ca="1">IFERROR(__xludf.DUMMYFUNCTION("""COMPUTED_VALUE"""),"=IT_AR")</f>
        <v>=IT_AR</v>
      </c>
      <c r="L3" s="215" t="str">
        <f ca="1">IFERROR(__xludf.DUMMYFUNCTION("""COMPUTED_VALUE"""),"=""Enemy armor""")</f>
        <v>="Enemy armor"</v>
      </c>
      <c r="M3" s="219" t="str">
        <f ca="1">IFERROR(__xludf.DUMMYFUNCTION("""COMPUTED_VALUE"""),"=VLOOKUP(E_Name;Champs!A2:R200;15;False)+VLOOKUP(E_Name;Champs!A2:R200;16;False)*Q4+(E_IT_AR+E_BoAR)")</f>
        <v>=VLOOKUP(E_Name;Champs!A2:R200;15;False)+VLOOKUP(E_Name;Champs!A2:R200;16;False)*Q4+(E_IT_AR+E_BoAR)</v>
      </c>
      <c r="N3" s="128" t="str">
        <f ca="1">IFERROR(__xludf.DUMMYFUNCTION("""COMPUTED_VALUE"""),"=""Onhit Mod""")</f>
        <v>="Onhit Mod"</v>
      </c>
      <c r="O3" s="572" t="str">
        <f ca="1">IFERROR(__xludf.DUMMYFUNCTION("""COMPUTED_VALUE"""),"=IF(C47; (4 / 3); 1)")</f>
        <v>=IF(C47; (4 / 3); 1)</v>
      </c>
      <c r="P3" s="215" t="str">
        <f ca="1">IFERROR(__xludf.DUMMYFUNCTION("""COMPUTED_VALUE"""),"=""Level scaling""")</f>
        <v>="Level scaling"</v>
      </c>
      <c r="Q3" s="573" t="str">
        <f ca="1">IFERROR(__xludf.DUMMYFUNCTION("""COMPUTED_VALUE"""),"=(Self_Level-1)*(0,685+0,0175*Self_Level)")</f>
        <v>=(Self_Level-1)*(0,685+0,0175*Self_Level)</v>
      </c>
      <c r="R3" s="569"/>
    </row>
    <row r="4" spans="1:18" ht="15" customHeight="1">
      <c r="A4" s="569"/>
      <c r="B4" s="574" t="str">
        <f ca="1">IFERROR(__xludf.DUMMYFUNCTION("""COMPUTED_VALUE"""),"=""Runes""")</f>
        <v>="Runes"</v>
      </c>
      <c r="C4" s="221" t="str">
        <f ca="1">IFERROR(__xludf.DUMMYFUNCTION("""COMPUTED_VALUE"""),"=IF(C14; E14; 0)")</f>
        <v>=IF(C14; E14; 0)</v>
      </c>
      <c r="D4" s="574" t="str">
        <f ca="1">IFERROR(__xludf.DUMMYFUNCTION("""COMPUTED_VALUE"""),"=""Runes""")</f>
        <v>="Runes"</v>
      </c>
      <c r="E4" s="575" t="str">
        <f ca="1">IFERROR(__xludf.DUMMYFUNCTION("""COMPUTED_VALUE"""),"=IF(C14;0;E14)")</f>
        <v>=IF(C14;0;E14)</v>
      </c>
      <c r="F4" s="574" t="str">
        <f ca="1">IFERROR(__xludf.DUMMYFUNCTION("""COMPUTED_VALUE"""),"=""Runes""")</f>
        <v>="Runes"</v>
      </c>
      <c r="G4" s="217" t="str">
        <f ca="1">IFERROR(__xludf.DUMMYFUNCTION("""COMPUTED_VALUE"""),"=R_HP")</f>
        <v>=R_HP</v>
      </c>
      <c r="H4" s="574" t="str">
        <f ca="1">IFERROR(__xludf.DUMMYFUNCTION("""COMPUTED_VALUE"""),"=""Runes""")</f>
        <v>="Runes"</v>
      </c>
      <c r="I4" s="217" t="str">
        <f ca="1">IFERROR(__xludf.DUMMYFUNCTION("""COMPUTED_VALUE"""),"=R_MP")</f>
        <v>=R_MP</v>
      </c>
      <c r="J4" s="574" t="str">
        <f ca="1">IFERROR(__xludf.DUMMYFUNCTION("""COMPUTED_VALUE"""),"=""Runes""")</f>
        <v>="Runes"</v>
      </c>
      <c r="K4" s="217" t="str">
        <f ca="1">IFERROR(__xludf.DUMMYFUNCTION("""COMPUTED_VALUE"""),"=R_AR")</f>
        <v>=R_AR</v>
      </c>
      <c r="L4" s="574" t="str">
        <f ca="1">IFERROR(__xludf.DUMMYFUNCTION("""COMPUTED_VALUE"""),"=""1. Reduce: Reduction""")</f>
        <v>="1. Reduce: Reduction"</v>
      </c>
      <c r="M4" s="217" t="str">
        <f ca="1">IFERROR(__xludf.DUMMYFUNCTION("""COMPUTED_VALUE"""),"=((1 - 0,05 * S_BC * C54) * (1 - IF(AND(Name = ""Kayle""; Steroid_Q; P_Q &gt; 0); 0,15; 0) - IF(AND(Name = ""Kog'Maw""; Steroid_Q; P_Q &gt; 0); 0,21 + 0,02 * P_Q; 0))) * M3")</f>
        <v>=((1 - 0,05 * S_BC * C54) * (1 - IF(AND(Name = "Kayle"; Steroid_Q; P_Q &gt; 0); 0,15; 0) - IF(AND(Name = "Kog'Maw"; Steroid_Q; P_Q &gt; 0); 0,21 + 0,02 * P_Q; 0))) * M3</v>
      </c>
      <c r="N4" s="218" t="str">
        <f ca="1">IFERROR(__xludf.DUMMYFUNCTION("""COMPUTED_VALUE"""),"=""Precision Mod""")</f>
        <v>="Precision Mod"</v>
      </c>
      <c r="O4" s="576" t="str">
        <f ca="1">IFERROR(__xludf.DUMMYFUNCTION("""COMPUTED_VALUE"""),"=R_MOD*R_PTAMOD")</f>
        <v>=R_MOD*R_PTAMOD</v>
      </c>
      <c r="P4" s="574" t="str">
        <f ca="1">IFERROR(__xludf.DUMMYFUNCTION("""COMPUTED_VALUE"""),"=""Enemy level scaling""")</f>
        <v>="Enemy level scaling"</v>
      </c>
      <c r="Q4" s="577" t="str">
        <f ca="1">IFERROR(__xludf.DUMMYFUNCTION("""COMPUTED_VALUE"""),"=(E_Level-1)*(0,685+0,0175*E_Level)")</f>
        <v>=(E_Level-1)*(0,685+0,0175*E_Level)</v>
      </c>
      <c r="R4" s="569"/>
    </row>
    <row r="5" spans="1:18" ht="15" customHeight="1">
      <c r="A5" s="569"/>
      <c r="B5" s="215" t="str">
        <f ca="1">IFERROR(__xludf.DUMMYFUNCTION("""COMPUTED_VALUE"""),"=""Base""")</f>
        <v>="Base"</v>
      </c>
      <c r="C5" s="214" t="str">
        <f ca="1">IFERROR(__xludf.DUMMYFUNCTION("""COMPUTED_VALUE"""),"=VLOOKUP(Name; Champs!A2:R200; 10; False)")</f>
        <v>=VLOOKUP(Name; Champs!A2:R200; 10; False)</v>
      </c>
      <c r="D5" s="215"/>
      <c r="E5" s="578"/>
      <c r="F5" s="215" t="str">
        <f ca="1">IFERROR(__xludf.DUMMYFUNCTION("""COMPUTED_VALUE"""),"=""Base""")</f>
        <v>="Base"</v>
      </c>
      <c r="G5" s="219" t="str">
        <f ca="1">IFERROR(__xludf.DUMMYFUNCTION("""COMPUTED_VALUE"""),"=VLOOKUP(Name;Champs!A2:R200;2;False)")</f>
        <v>=VLOOKUP(Name;Champs!A2:R200;2;False)</v>
      </c>
      <c r="H5" s="215" t="str">
        <f ca="1">IFERROR(__xludf.DUMMYFUNCTION("""COMPUTED_VALUE"""),"=""Base""")</f>
        <v>="Base"</v>
      </c>
      <c r="I5" s="579" t="str">
        <f ca="1">IFERROR(__xludf.DUMMYFUNCTION("""COMPUTED_VALUE"""),"=VLOOKUP(Name;Champs!A2:R200;6;False)")</f>
        <v>=VLOOKUP(Name;Champs!A2:R200;6;False)</v>
      </c>
      <c r="J5" s="215" t="str">
        <f ca="1">IFERROR(__xludf.DUMMYFUNCTION("""COMPUTED_VALUE"""),"=""Base""")</f>
        <v>="Base"</v>
      </c>
      <c r="K5" s="219" t="str">
        <f ca="1">IFERROR(__xludf.DUMMYFUNCTION("""COMPUTED_VALUE"""),"=VLOOKUP(Name; Champs!A2:R200; 15; False)")</f>
        <v>=VLOOKUP(Name; Champs!A2:R200; 15; False)</v>
      </c>
      <c r="L5" s="215" t="str">
        <f ca="1">IFERROR(__xludf.DUMMYFUNCTION("""COMPUTED_VALUE"""),"=""2. Reduce: %""")</f>
        <v>="2. Reduce: %"</v>
      </c>
      <c r="M5" s="219" t="str">
        <f ca="1">IFERROR(__xludf.DUMMYFUNCTION("""COMPUTED_VALUE"""),"=(M4 - (E_IT_AR+E_BoAR) * IF(AND(Name = ""Yasuo""; Steroid_R; P_R &gt; 0); (Self_Crit * 0,5); 0)) * (1-C33)")</f>
        <v>=(M4 - (E_IT_AR+E_BoAR) * IF(AND(Name = "Yasuo"; Steroid_R; P_R &gt; 0); (Self_Crit * 0,5); 0)) * (1-C33)</v>
      </c>
      <c r="N5" s="128" t="str">
        <f ca="1">IFERROR(__xludf.DUMMYFUNCTION("""COMPUTED_VALUE"""),"=""Enemy Anthema Mod""")</f>
        <v>="Enemy Anthema Mod"</v>
      </c>
      <c r="O5" s="580" t="str">
        <f ca="1">IFERROR(__xludf.DUMMYFUNCTION("""COMPUTED_VALUE"""),"=IF(Items!AM7;0,7;1)")</f>
        <v>=IF(Items!AM7;0,7;1)</v>
      </c>
      <c r="P5" s="128" t="str">
        <f ca="1">IFERROR(__xludf.DUMMYFUNCTION("""COMPUTED_VALUE"""),"=""Linear level scaling""")</f>
        <v>="Linear level scaling"</v>
      </c>
      <c r="Q5" s="572" t="str">
        <f ca="1">IFERROR(__xludf.DUMMYFUNCTION("""COMPUTED_VALUE"""),"=((Self_Level-1)/17)")</f>
        <v>=((Self_Level-1)/17)</v>
      </c>
      <c r="R5" s="569"/>
    </row>
    <row r="6" spans="1:18" ht="15" customHeight="1">
      <c r="A6" s="569"/>
      <c r="B6" s="574" t="str">
        <f ca="1">IFERROR(__xludf.DUMMYFUNCTION("""COMPUTED_VALUE"""),"=""Growth""")</f>
        <v>="Growth"</v>
      </c>
      <c r="C6" s="221" t="str">
        <f ca="1">IFERROR(__xludf.DUMMYFUNCTION("""COMPUTED_VALUE"""),"=VLOOKUP(Name; Champs!A2:R200; 11; False)")</f>
        <v>=VLOOKUP(Name; Champs!A2:R200; 11; False)</v>
      </c>
      <c r="D6" s="574"/>
      <c r="E6" s="581"/>
      <c r="F6" s="574" t="str">
        <f ca="1">IFERROR(__xludf.DUMMYFUNCTION("""COMPUTED_VALUE"""),"=""Growth""")</f>
        <v>="Growth"</v>
      </c>
      <c r="G6" s="221" t="str">
        <f ca="1">IFERROR(__xludf.DUMMYFUNCTION("""COMPUTED_VALUE"""),"=VLOOKUP(Name;Champs!A2:R200;3;False)")</f>
        <v>=VLOOKUP(Name;Champs!A2:R200;3;False)</v>
      </c>
      <c r="H6" s="574" t="str">
        <f ca="1">IFERROR(__xludf.DUMMYFUNCTION("""COMPUTED_VALUE"""),"=""Growth""")</f>
        <v>="Growth"</v>
      </c>
      <c r="I6" s="582" t="str">
        <f ca="1">IFERROR(__xludf.DUMMYFUNCTION("""COMPUTED_VALUE"""),"=VLOOKUP(Name;Champs!A2:R200;7;False)")</f>
        <v>=VLOOKUP(Name;Champs!A2:R200;7;False)</v>
      </c>
      <c r="J6" s="574" t="str">
        <f ca="1">IFERROR(__xludf.DUMMYFUNCTION("""COMPUTED_VALUE"""),"=""Growth""")</f>
        <v>="Growth"</v>
      </c>
      <c r="K6" s="221" t="str">
        <f ca="1">IFERROR(__xludf.DUMMYFUNCTION("""COMPUTED_VALUE"""),"=VLOOKUP(Name; Champs!A2:R200; 16; False)")</f>
        <v>=VLOOKUP(Name; Champs!A2:R200; 16; False)</v>
      </c>
      <c r="L6" s="574" t="str">
        <f ca="1">IFERROR(__xludf.DUMMYFUNCTION("""COMPUTED_VALUE"""),"=""3. Reduce: Flat""")</f>
        <v>="3. Reduce: Flat"</v>
      </c>
      <c r="M6" s="221" t="str">
        <f ca="1">IFERROR(__xludf.DUMMYFUNCTION("""COMPUTED_VALUE"""),"=IF(M5-Self_APenF&lt;0;0;M5-Self_APenF)")</f>
        <v>=IF(M5-Self_APenF&lt;0;0;M5-Self_APenF)</v>
      </c>
      <c r="N6" s="583" t="str">
        <f ca="1">IFERROR(__xludf.DUMMYFUNCTION("""COMPUTED_VALUE"""),"=""Tenacity""")</f>
        <v>="Tenacity"</v>
      </c>
      <c r="O6" s="584" t="str">
        <f ca="1">IFERROR(__xludf.DUMMYFUNCTION("""COMPUTED_VALUE"""),"=1-IT_TC*(1-Runes!D15)*(1-Runes!P22)*(1-N_Chem * 0,06)*IF(AND(Name=""Dr, Mundo"";Steroid_W;P_W&gt;0);0,7;1)")</f>
        <v>=1-IT_TC*(1-Runes!D15)*(1-Runes!P22)*(1-N_Chem * 0,06)*IF(AND(Name="Dr, Mundo";Steroid_W;P_W&gt;0);0,7;1)</v>
      </c>
      <c r="P6" s="574" t="str">
        <f ca="1">IFERROR(__xludf.DUMMYFUNCTION("""COMPUTED_VALUE"""),"=""Lethality scaling""")</f>
        <v>="Lethality scaling"</v>
      </c>
      <c r="Q6" s="576" t="str">
        <f ca="1">IFERROR(__xludf.DUMMYFUNCTION("""COMPUTED_VALUE"""),"=(0,6 + 0,4 * Sc_Lin)")</f>
        <v>=(0,6 + 0,4 * Sc_Lin)</v>
      </c>
      <c r="R6" s="569"/>
    </row>
    <row r="7" spans="1:18" ht="15" customHeight="1">
      <c r="A7" s="569"/>
      <c r="B7" s="215" t="str">
        <f ca="1">IFERROR(__xludf.DUMMYFUNCTION("""COMPUTED_VALUE"""),"=""Bonus""")</f>
        <v>="Bonus"</v>
      </c>
      <c r="C7" s="585" t="str">
        <f ca="1">IFERROR(__xludf.DUMMYFUNCTION("""COMPUTED_VALUE"""),"= Q29 + IF(C48; 0,02 * Self_BoHP;0) +
IF(AND(C44; NOT(VLOOKUP(Name;Champs!A2:AJ200;35;False))); 0,025 * Self_MP; 0) +
IF(Name = ""Aphelios""; 4,5 * P_Q; 0) +
IF(AND(Name = ""Darius""; Steroid_P); 25 + 5 * Self_Level + IF(Self_Level &gt; 10; 5 * (Self_Level -"&amp;" 10); 0) + IF(Self_Level &gt; 13; 15 * (Self_Level - 13); 0); 0) +
IF(AND(Name = ""Dr, Mundo""; P_E &gt; 0);(0,015 + 0,005 * P_E) * Self_MHP; 0) +
IF(Name = ""Hecarim"";(ROUNDDOWN(Self_Level/3) * 0,02 + 0,12) * (Self_MS - Self_BaMS); 0) +
IF(AND(Name = ""Noctur"&amp;"ne""; Steroid_Q; P_Q &gt; 0); 10 + 10 * P_Q; 0) +
IF(AND(Name = ""Olaf""; P_R &gt; 0; Steroid_R); 10 * P_R; 0) +
IF(Name = ""Pyke""; 0,07143 * Self_BoHP; 0) +
IF(Name = ""Senna""; Minion * 0,75; 0) +
IF(AND(Name = ""Trundle""; P_Q &gt; 0; Steroid_Q); 5 * P_Q + 15;"&amp;" 0) +
IF(AND(Name = ""Tryndamere""; P_Q &gt; 0); 5 + 5 * P_Q + (0,05 + 0,1 * P_Q) * (100 - Self_CHPP); 0) +
IF(AND(Name = ""Twitch""; P_R &gt; 0; Steroid_R); 25 + 15 * P_R; 0) +
IF(AND(Name = ""Vayne""; P_R &gt; 0; Steroid_R); 10 + 15 * P_R; 0) +
IF(OR(Name = ""Ya"&amp;"suo"";Name = ""Yone""); 40 * Q17; 0) + 
IF(Name = ""Zeri""; I36; 0) + 
IF(AND(Name = ""K'Sante""; P_R &gt; 0; Steroid_Form); 5 + 0,325 * (Self_BoAR + Self_BoMR) / 0,35; 0)")</f>
        <v>= Q29 + IF(C48; 0,02 * Self_BoHP;0) +
IF(AND(C44; NOT(VLOOKUP(Name;Champs!A2:AJ200;35;False))); 0,025 * Self_MP; 0) +
IF(Name = "Aphelios"; 4,5 * P_Q; 0) +
IF(AND(Name = "Darius"; Steroid_P); 25 + 5 * Self_Level + IF(Self_Level &gt; 10; 5 * (Self_Level - 10); 0) + IF(Self_Level &gt; 13; 15 * (Self_Level - 13); 0); 0) +
IF(AND(Name = "Dr, Mundo"; P_E &gt; 0);(0,015 + 0,005 * P_E) * Self_MHP; 0) +
IF(Name = "Hecarim";(ROUNDDOWN(Self_Level/3) * 0,02 + 0,12) * (Self_MS - Self_BaMS); 0) +
IF(AND(Name = "Nocturne"; Steroid_Q; P_Q &gt; 0); 10 + 10 * P_Q; 0) +
IF(AND(Name = "Olaf"; P_R &gt; 0; Steroid_R); 10 * P_R; 0) +
IF(Name = "Pyke"; 0,07143 * Self_BoHP; 0) +
IF(Name = "Senna"; Minion * 0,75; 0) +
IF(AND(Name = "Trundle"; P_Q &gt; 0; Steroid_Q); 5 * P_Q + 15; 0) +
IF(AND(Name = "Tryndamere"; P_Q &gt; 0); 5 + 5 * P_Q + (0,05 + 0,1 * P_Q) * (100 - Self_CHPP); 0) +
IF(AND(Name = "Twitch"; P_R &gt; 0; Steroid_R); 25 + 15 * P_R; 0) +
IF(AND(Name = "Vayne"; P_R &gt; 0; Steroid_R); 10 + 15 * P_R; 0) +
IF(OR(Name = "Yasuo";Name = "Yone"); 40 * Q17; 0) + 
IF(Name = "Zeri"; I36; 0) + 
IF(AND(Name = "K'Sante"; P_R &gt; 0; Steroid_Form); 5 + 0,325 * (Self_BoAR + Self_BoMR) / 0,35; 0)</v>
      </c>
      <c r="D7" s="215" t="str">
        <f ca="1">IFERROR(__xludf.DUMMYFUNCTION("""COMPUTED_VALUE"""),"=""Bonus""")</f>
        <v>="Bonus"</v>
      </c>
      <c r="E7" s="586" t="str">
        <f ca="1">IFERROR(__xludf.DUMMYFUNCTION("""COMPUTED_VALUE"""),"= IF(C61; IF(Name = ""Vladimir""; 0,02 * I35; 0,02 * Self_BoHP); 0) + 
IF(C72; 0,025 * Self_BoMP; IF(C73; 0,01 * Self_MP; 0)) +
IF(Name = ""Veigar""; Minion + 5 * Kills; 0) +
IF(Name = ""Vladimir""; 0,03333333 * I30; 0) +
IF(Interface!L29; 30 + 15 * Sc_Li"&amp;"n; 0) +
IF(AND(Name = ""Singed""; Steroid_R; P_R &gt; 0); 35 * P_R - 5; 0) +
IF(Name = ""Thresh""; Minion * 1; 0) +
IF(C45; 5 * S_Mejai; IF(C46; 4 * IF(S_Mejai &gt; 10; 10; S_Mejai);0)) + Q29/0,6")</f>
        <v>= IF(C61; IF(Name = "Vladimir"; 0,02 * I35; 0,02 * Self_BoHP); 0) + 
IF(C72; 0,025 * Self_BoMP; IF(C73; 0,01 * Self_MP; 0)) +
IF(Name = "Veigar"; Minion + 5 * Kills; 0) +
IF(Name = "Vladimir"; 0,03333333 * I30; 0) +
IF(Interface!L29; 30 + 15 * Sc_Lin; 0) +
IF(AND(Name = "Singed"; Steroid_R; P_R &gt; 0); 35 * P_R - 5; 0) +
IF(Name = "Thresh"; Minion * 1; 0) +
IF(C45; 5 * S_Mejai; IF(C46; 4 * IF(S_Mejai &gt; 10; 10; S_Mejai);0)) + Q29/0,6</v>
      </c>
      <c r="F7" s="215" t="str">
        <f ca="1">IFERROR(__xludf.DUMMYFUNCTION("""COMPUTED_VALUE"""),"=""Bonus""")</f>
        <v>="Bonus"</v>
      </c>
      <c r="G7" s="585" t="str">
        <f ca="1">IFERROR(__xludf.DUMMYFUNCTION("""COMPUTED_VALUE"""),"= IF(C60; 0,08 * I12; 0) + 
IF(Name = ""Vladimir"";1,6 * (Self_AP - 0,02 * I35); 0) +
IF(AND(Name = ""Bel'Veth"";P_R &gt; 0; Steroid_Form); I37; 0) +
IF(AND(Steroid_R;P_R&gt;0);
IF(Name=""Renekton"";100+150*P_R;
IF(Name=""Nasus"";150+150*P_R;
IF(Name = ""Dr, Mu"&amp;"ndo"";I29 * (0,05 * P_R + 0,1);
IF(Name=""Volibear"";P_R*200;0))));0)+
IF(AND(Name=""Sion"";P_W&gt;0);4*Minion+15*Kills;0)+
IF(AND(Name=""Cho'Gath"";P_R&gt;0);(40+40*P_R)*Kills;0)+
IF(AND(Name=""Shyvana"";P_R&gt;0;Steroid_Form);50+100*P_R;0)+
IF(AND(Name=""Swain"""&amp;";P_R&gt;0);IF(Steroid_R;12*Minion+50+75*P_R;12*Minion);0)")</f>
        <v>= IF(C60; 0,08 * I12; 0) + 
IF(Name = "Vladimir";1,6 * (Self_AP - 0,02 * I35); 0) +
IF(AND(Name = "Bel'Veth";P_R &gt; 0; Steroid_Form); I37; 0) +
IF(AND(Steroid_R;P_R&gt;0);
IF(Name="Renekton";100+150*P_R;
IF(Name="Nasus";150+150*P_R;
IF(Name = "Dr, Mundo";I29 * (0,05 * P_R + 0,1);
IF(Name="Volibear";P_R*200;0))));0)+
IF(AND(Name="Sion";P_W&gt;0);4*Minion+15*Kills;0)+
IF(AND(Name="Cho'Gath";P_R&gt;0);(40+40*P_R)*Kills;0)+
IF(AND(Name="Shyvana";P_R&gt;0;Steroid_Form);50+100*P_R;0)+
IF(AND(Name="Swain";P_R&gt;0);IF(Steroid_R;12*Minion+50+75*P_R;12*Minion);0)</v>
      </c>
      <c r="H7" s="215" t="str">
        <f ca="1">IFERROR(__xludf.DUMMYFUNCTION("""COMPUTED_VALUE"""),"=""Bonus""")</f>
        <v>="Bonus"</v>
      </c>
      <c r="I7" s="587" t="str">
        <f ca="1">IFERROR(__xludf.DUMMYFUNCTION("""COMPUTED_VALUE"""),"=(I3+I4+I5+I6*Q3)*I8")</f>
        <v>=(I3+I4+I5+I6*Q3)*I8</v>
      </c>
      <c r="J7" s="215" t="str">
        <f ca="1">IFERROR(__xludf.DUMMYFUNCTION("""COMPUTED_VALUE"""),"=""Bonus""")</f>
        <v>="Bonus"</v>
      </c>
      <c r="K7" s="585" t="str">
        <f ca="1">IFERROR(__xludf.DUMMYFUNCTION("""COMPUTED_VALUE"""),"=
IF(AND(Name = ""Braum""; Steroid_W; P_W &gt; 0); P_W * 5 + 15 + 0,36 * (K3 + K4) * K9; 0) +
IF(AND(Name = ""Garen""; P_W &gt; 0); IF(0,2 * Minion &gt; 30; 30; 0,2 * Minion); 0) +
IF(AND(Name = ""Graves""; Steroid_E; P_E &gt; 0); (P_E * 3 + 1) * IF(Steroid_Form; 8; "&amp;"1); 0) +
IF(AND(Name = ""Gwen""; P_W &gt; 0; Steroid_W); 15 + 2 * P_W + 0,07 * Self_AP; 0) +
IF(AND(Name = ""Hecarim""; P_W &gt; 0; Steroid_W); 10 + 5 * P_W; 0) + 
IF(AND(Name = ""Jax""; Steroid_R; P_R &gt; 0); -10 + 25 * P_R + 0,4 * Self_BoAD; 0) +
IF(AND(Name = "&amp;"""Jayce""; Steroid_Form); 5 + 10 * ROUNDDOWN((Self_Level - 1) / 5) + 0,075 * Self_BoAD; 0) +
IF(AND(Name = ""Kennen""; Steroid_R; P_R &gt; 0); P_R * 20; 0) +
IF(AND(Name = ""Leona""; Steroid_W; P_W &gt; 0); 15 + 5 * P_W + 0,2 * (K3 + K4) * K9; 0) +
IF(AND(Name "&amp;"= ""Nasus"";P_R &gt; 0; Steroid_R); 25 + 15 * P_R; 0) +
IF(AND(Name = ""Olaf""; P_R &gt; 0);10 + 10 * P_R; 0) +
IF(AND(Name = ""Orianna""; Steroid_E; P_E &gt; 0); P_E * 6; 0) +
IF(AND(Name = ""Poppy""; P_W &gt; 0); IF(Self_CHPP &lt; 40; 0,04; 0,01) * (K3 + K4 + K5 + K6 "&amp;"* Q3) * K9; 0) +
IF(AND(Name = ""Rammus""; Steroid_W; P_W &gt; 0); 35 + (0,3 + 0,1 * P_W) * (35 + K10 + (K3 + K4) * K9); 0) +
IF(AND(Name = ""Sejuani""; Steroid_P); 10 + (K3 + K4) * 0,5 * K9; 0) +
IF(Name = ""Shyvana""; 5 + 5 * N_Infernal + 5 * N_Ocean + 5 *"&amp;" N_Mountain + 5 * N_Cloud; 0) +
IF(AND(Name = ""Singed""; Steroid_R; P_R &gt; 0); 35 * P_R - 5; 0) +
IF(Name = ""Thresh""; Minion * 1; 0)")</f>
        <v>=
IF(AND(Name = "Braum"; Steroid_W; P_W &gt; 0); P_W * 5 + 15 + 0,36 * (K3 + K4) * K9; 0) +
IF(AND(Name = "Garen"; P_W &gt; 0); IF(0,2 * Minion &gt; 30; 30; 0,2 * Minion); 0) +
IF(AND(Name = "Graves"; Steroid_E; P_E &gt; 0); (P_E * 3 + 1) * IF(Steroid_Form; 8; 1); 0) +
IF(AND(Name = "Gwen"; P_W &gt; 0; Steroid_W); 15 + 2 * P_W + 0,07 * Self_AP; 0) +
IF(AND(Name = "Hecarim"; P_W &gt; 0; Steroid_W); 10 + 5 * P_W; 0) + 
IF(AND(Name = "Jax"; Steroid_R; P_R &gt; 0); -10 + 25 * P_R + 0,4 * Self_BoAD; 0) +
IF(AND(Name = "Jayce"; Steroid_Form); 5 + 10 * ROUNDDOWN((Self_Level - 1) / 5) + 0,075 * Self_BoAD; 0) +
IF(AND(Name = "Kennen"; Steroid_R; P_R &gt; 0); P_R * 20; 0) +
IF(AND(Name = "Leona"; Steroid_W; P_W &gt; 0); 15 + 5 * P_W + 0,2 * (K3 + K4) * K9; 0) +
IF(AND(Name = "Nasus";P_R &gt; 0; Steroid_R); 25 + 15 * P_R; 0) +
IF(AND(Name = "Olaf"; P_R &gt; 0);10 + 10 * P_R; 0) +
IF(AND(Name = "Orianna"; Steroid_E; P_E &gt; 0); P_E * 6; 0) +
IF(AND(Name = "Poppy"; P_W &gt; 0); IF(Self_CHPP &lt; 40; 0,04; 0,01) * (K3 + K4 + K5 + K6 * Q3) * K9; 0) +
IF(AND(Name = "Rammus"; Steroid_W; P_W &gt; 0); 35 + (0,3 + 0,1 * P_W) * (35 + K10 + (K3 + K4) * K9); 0) +
IF(AND(Name = "Sejuani"; Steroid_P); 10 + (K3 + K4) * 0,5 * K9; 0) +
IF(Name = "Shyvana"; 5 + 5 * N_Infernal + 5 * N_Ocean + 5 * N_Mountain + 5 * N_Cloud; 0) +
IF(AND(Name = "Singed"; Steroid_R; P_R &gt; 0); 35 * P_R - 5; 0) +
IF(Name = "Thresh"; Minion * 1; 0)</v>
      </c>
      <c r="L7" s="215" t="str">
        <f ca="1">IFERROR(__xludf.DUMMYFUNCTION("""COMPUTED_VALUE"""),"=""Armor Mod""")</f>
        <v>="Armor Mod"</v>
      </c>
      <c r="M7" s="572" t="str">
        <f ca="1">IFERROR(__xludf.DUMMYFUNCTION("""COMPUTED_VALUE"""),"=1-(M6/(M6+100))")</f>
        <v>=1-(M6/(M6+100))</v>
      </c>
      <c r="N7" s="578"/>
      <c r="O7" s="588"/>
      <c r="P7" s="578"/>
      <c r="Q7" s="589"/>
      <c r="R7" s="569"/>
    </row>
    <row r="8" spans="1:18" ht="15" customHeight="1">
      <c r="A8" s="569"/>
      <c r="B8" s="574" t="str">
        <f ca="1">IFERROR(__xludf.DUMMYFUNCTION("""COMPUTED_VALUE"""),"=""Base multiplier""")</f>
        <v>="Base multiplier"</v>
      </c>
      <c r="C8" s="576" t="str">
        <f ca="1">IFERROR(__xludf.DUMMYFUNCTION("""COMPUTED_VALUE"""),"=1 + IF(AND(Steroid_Items; Calc!C43); 0,2; 0)")</f>
        <v>=1 + IF(AND(Steroid_Items; Calc!C43); 0,2; 0)</v>
      </c>
      <c r="D8" s="574"/>
      <c r="E8" s="590"/>
      <c r="F8" s="574" t="str">
        <f ca="1">IFERROR(__xludf.DUMMYFUNCTION("""COMPUTED_VALUE"""),"=""Base multiplier""")</f>
        <v>="Base multiplier"</v>
      </c>
      <c r="G8" s="576" t="str">
        <f ca="1">IFERROR(__xludf.DUMMYFUNCTION("""COMPUTED_VALUE"""),"=IF(AND(Name = ""Kled""; Steroid_Form); 0; IF(Runes!P20 &gt;= 45; 0,035; 0) + IF(C67; 0,125; 0))")</f>
        <v>=IF(AND(Name = "Kled"; Steroid_Form); 0; IF(Runes!P20 &gt;= 45; 0,035; 0) + IF(C67; 0,125; 0))</v>
      </c>
      <c r="H8" s="574" t="str">
        <f ca="1">IFERROR(__xludf.DUMMYFUNCTION("""COMPUTED_VALUE"""),"=""Base multiplier""")</f>
        <v>="Base multiplier"</v>
      </c>
      <c r="I8" s="591" t="str">
        <f ca="1">IFERROR(__xludf.DUMMYFUNCTION("""COMPUTED_VALUE"""),"=IF(Name=""Ryze"";0,001*Self_AP;0)")</f>
        <v>=IF(Name="Ryze";0,001*Self_AP;0)</v>
      </c>
      <c r="J8" s="574" t="str">
        <f ca="1">IFERROR(__xludf.DUMMYFUNCTION("""COMPUTED_VALUE"""),"=""Base multiplier""")</f>
        <v>="Base multiplier"</v>
      </c>
      <c r="K8" s="576" t="str">
        <f ca="1">IFERROR(__xludf.DUMMYFUNCTION("""COMPUTED_VALUE"""),"=
IF(Runes!P14 &gt; 0; 1,03; 1) *
(1 + 0,08 * N_Mountain) *
IF(AND(Name = ""Malphite""; P_W &gt; 0);1 + (0,05 + 0,05 * P_W) * IF(Steroid_P; 3; 1); 1) *
IF(AND(Name = ""Poppy""; P_W &gt; 0); IF(Self_CHPP &lt; 40; 1,24; 1,12); 1) *
IF(AND(Name = ""Taric""; P_W &gt; 0); 1,"&amp;"075 + 0,025 * P_W; 1) *
IF(AND(Name = ""Rell""; P_W &gt; 0; Steroid_Form); 1,12; 1)")</f>
        <v>=
IF(Runes!P14 &gt; 0; 1,03; 1) *
(1 + 0,08 * N_Mountain) *
IF(AND(Name = "Malphite"; P_W &gt; 0);1 + (0,05 + 0,05 * P_W) * IF(Steroid_P; 3; 1); 1) *
IF(AND(Name = "Poppy"; P_W &gt; 0); IF(Self_CHPP &lt; 40; 1,24; 1,12); 1) *
IF(AND(Name = "Taric"; P_W &gt; 0); 1,075 + 0,025 * P_W; 1) *
IF(AND(Name = "Rell"; P_W &gt; 0; Steroid_Form); 1,12; 1)</v>
      </c>
      <c r="L8" s="574" t="str">
        <f ca="1">IFERROR(__xludf.DUMMYFUNCTION("""COMPUTED_VALUE"""),"=""Skill / Item Phys Mod""")</f>
        <v>="Skill / Item Phys Mod"</v>
      </c>
      <c r="M8" s="576" t="str">
        <f ca="1">IFERROR(__xludf.DUMMYFUNCTION("""COMPUTED_VALUE"""),"=IT_MOD_Phys *
IF(AND(Name = ""Vladimir""; Steroid_R; P_R &gt; 0); 1,1; 1) * 
IF(E_CHPV &gt; (Self_CHPP / 100) * Self_MHP + 340 + 680 * Sc_Lin; 1 + N_Chem * 0,05; 1)")</f>
        <v>=IT_MOD_Phys *
IF(AND(Name = "Vladimir"; Steroid_R; P_R &gt; 0); 1,1; 1) * 
IF(E_CHPV &gt; (Self_CHPP / 100) * Self_MHP + 340 + 680 * Sc_Lin; 1 + N_Chem * 0,05; 1)</v>
      </c>
      <c r="N8" s="581"/>
      <c r="O8" s="590"/>
      <c r="P8" s="581"/>
      <c r="Q8" s="590"/>
      <c r="R8" s="569"/>
    </row>
    <row r="9" spans="1:18" ht="15" customHeight="1">
      <c r="A9" s="569"/>
      <c r="B9" s="215" t="str">
        <f ca="1">IFERROR(__xludf.DUMMYFUNCTION("""COMPUTED_VALUE"""),"=""Bonus multiplier""")</f>
        <v>="Bonus multiplier"</v>
      </c>
      <c r="C9" s="572" t="str">
        <f ca="1">IFERROR(__xludf.DUMMYFUNCTION("""COMPUTED_VALUE"""),"=((1 + (0,05 * N_Infernal) + IF(C56; 0,2; 0) +
IF(Name = ""Jhin""; 0,25 * Self_BoAS + 0,3 * Self_Crit + (0,03 + 0,01 * Self_Level + IF(Self_Level &gt; 9; 0,01 * (Self_Level - 9); 0) + IF(Self_Level &gt; 11; 0,02 * (Self_Level - 11); 0)); 0)))*
IF(AND(Name = ""R"&amp;"iven""; Steroid_R; P_R &gt; 0); 1,2; 1) *
IF(Name = ""Rengar""; 1 + 0,01 * S_Bounty^2; 1) *
IF(AND(Name = ""Olaf""; P_R &gt; 0; Steroid_R); 1,25; 1) *
IF(AND(Name = ""Aatrox""; Steroid_R; P_R &gt; 0); 1,075 + 0,125 * P_R; 1)")</f>
        <v>=((1 + (0,05 * N_Infernal) + IF(C56; 0,2; 0) +
IF(Name = "Jhin"; 0,25 * Self_BoAS + 0,3 * Self_Crit + (0,03 + 0,01 * Self_Level + IF(Self_Level &gt; 9; 0,01 * (Self_Level - 9); 0) + IF(Self_Level &gt; 11; 0,02 * (Self_Level - 11); 0)); 0)))*
IF(AND(Name = "Riven"; Steroid_R; P_R &gt; 0); 1,2; 1) *
IF(Name = "Rengar"; 1 + 0,01 * S_Bounty^2; 1) *
IF(AND(Name = "Olaf"; P_R &gt; 0; Steroid_R); 1,25; 1) *
IF(AND(Name = "Aatrox"; Steroid_R; P_R &gt; 0); 1,075 + 0,125 * P_R; 1)</v>
      </c>
      <c r="D9" s="215" t="str">
        <f ca="1">IFERROR(__xludf.DUMMYFUNCTION("""COMPUTED_VALUE"""),"=""Bonus multiplier""")</f>
        <v>="Bonus multiplier"</v>
      </c>
      <c r="E9" s="572" t="str">
        <f ca="1">IFERROR(__xludf.DUMMYFUNCTION("""COMPUTED_VALUE"""),"=1 + (C50 * 0,4) + (0,06 * N_Infernal) + (C56 * 0,2) + AND(Name = ""Syndra"";Steroid_P) * 0,15")</f>
        <v>=1 + (C50 * 0,4) + (0,06 * N_Infernal) + (C56 * 0,2) + AND(Name = "Syndra";Steroid_P) * 0,15</v>
      </c>
      <c r="F9" s="215" t="str">
        <f ca="1">IFERROR(__xludf.DUMMYFUNCTION("""COMPUTED_VALUE"""),"=""Bonus multiplier""")</f>
        <v>="Bonus multiplier"</v>
      </c>
      <c r="G9" s="572" t="str">
        <f ca="1">IFERROR(__xludf.DUMMYFUNCTION("""COMPUTED_VALUE"""),"=IF(Runes!P20 &gt;= 45; 1,035; 1) *
IF(C67; 1,125; 1) *
IF(C68; 1 + 0,02 * Legendary; 1) *
IF(Name = ""Ornn""; MIN(1,3; 1,1 + IF(Self_Level &gt; 12; (Self_Level - 12) * 0,04)); 1) *
IF(C56; 1,2; 1)")</f>
        <v>=IF(Runes!P20 &gt;= 45; 1,035; 1) *
IF(C67; 1,125; 1) *
IF(C68; 1 + 0,02 * Legendary; 1) *
IF(Name = "Ornn"; MIN(1,3; 1,1 + IF(Self_Level &gt; 12; (Self_Level - 12) * 0,04)); 1) *
IF(C56; 1,2; 1)</v>
      </c>
      <c r="H9" s="215" t="str">
        <f ca="1">IFERROR(__xludf.DUMMYFUNCTION("""COMPUTED_VALUE"""),"=""Bonus multiplier""")</f>
        <v>="Bonus multiplier"</v>
      </c>
      <c r="I9" s="572" t="str">
        <f ca="1">IFERROR(__xludf.DUMMYFUNCTION("""COMPUTED_VALUE"""),"=1")</f>
        <v>=1</v>
      </c>
      <c r="J9" s="215" t="str">
        <f ca="1">IFERROR(__xludf.DUMMYFUNCTION("""COMPUTED_VALUE"""),"=""Bonus multiplier""")</f>
        <v>="Bonus multiplier"</v>
      </c>
      <c r="K9" s="572" t="str">
        <f ca="1">IFERROR(__xludf.DUMMYFUNCTION("""COMPUTED_VALUE"""),"=
IF(Runes!P14 &gt; 0; 1,03; 1) *
(1 + 0,08 * N_Mountain) *
IF(C66; 1,2; 1) *
IF(AND(Steroid_Items;C65); 1,25; 1) *
IF(AND(Name = ""Garen""; P_W &gt; 0; Minion &gt; 150); 1,1; 1) *
IF(AND(Name = ""Malphite""; P_W &gt; 0);1 + (0,05 + 0,05 * P_W) * IF(Steroid_P; 3; 1);"&amp;" 1) *
IF(Name = ""Ornn""; MIN(1,3; 1,1 + IF(Self_Level &gt; 12; (Self_Level - 12) * 0,04)); 1) *
IF(AND(Name = ""Poppy""; P_W &gt; 0); IF(Self_CHPP &lt; 40; 1,24; 1,12); 1) *
IF(AND(Name = ""Taric""; P_W &gt; 0); 1,075 + 0,025 * P_W; 1) * 
IF(AND(Name = ""Rell""; P_W"&amp;" &gt; 0; Steroid_Form); 1,12; 1)")</f>
        <v>=
IF(Runes!P14 &gt; 0; 1,03; 1) *
(1 + 0,08 * N_Mountain) *
IF(C66; 1,2; 1) *
IF(AND(Steroid_Items;C65); 1,25; 1) *
IF(AND(Name = "Garen"; P_W &gt; 0; Minion &gt; 150); 1,1; 1) *
IF(AND(Name = "Malphite"; P_W &gt; 0);1 + (0,05 + 0,05 * P_W) * IF(Steroid_P; 3; 1); 1) *
IF(Name = "Ornn"; MIN(1,3; 1,1 + IF(Self_Level &gt; 12; (Self_Level - 12) * 0,04)); 1) *
IF(AND(Name = "Poppy"; P_W &gt; 0); IF(Self_CHPP &lt; 40; 1,24; 1,12); 1) *
IF(AND(Name = "Taric"; P_W &gt; 0); 1,075 + 0,025 * P_W; 1) * 
IF(AND(Name = "Rell"; P_W &gt; 0; Steroid_Form); 1,12; 1)</v>
      </c>
      <c r="L9" s="583" t="str">
        <f ca="1">IFERROR(__xludf.DUMMYFUNCTION("""COMPUTED_VALUE"""),"=""Physical Dmg Mod""")</f>
        <v>="Physical Dmg Mod"</v>
      </c>
      <c r="M9" s="584" t="str">
        <f ca="1">IFERROR(__xludf.DUMMYFUNCTION("""COMPUTED_VALUE"""),"=((M7*M8*O4)+IF(C55;0,09;0)) * O5 * Q32")</f>
        <v>=((M7*M8*O4)+IF(C55;0,09;0)) * O5 * Q32</v>
      </c>
      <c r="N9" s="578"/>
      <c r="O9" s="578"/>
      <c r="P9" s="578"/>
      <c r="Q9" s="592"/>
      <c r="R9" s="569"/>
    </row>
    <row r="10" spans="1:18" ht="15" customHeight="1">
      <c r="A10" s="569"/>
      <c r="B10" s="574" t="str">
        <f ca="1">IFERROR(__xludf.DUMMYFUNCTION("""COMPUTED_VALUE"""),"=""Total base""")</f>
        <v>="Total base"</v>
      </c>
      <c r="C10" s="575" t="str">
        <f ca="1">IFERROR(__xludf.DUMMYFUNCTION("""COMPUTED_VALUE"""),"=(C5+C6*Q3)*C8")</f>
        <v>=(C5+C6*Q3)*C8</v>
      </c>
      <c r="D10" s="574"/>
      <c r="E10" s="575"/>
      <c r="F10" s="574" t="str">
        <f ca="1">IFERROR(__xludf.DUMMYFUNCTION("""COMPUTED_VALUE"""),"=""Total base""")</f>
        <v>="Total base"</v>
      </c>
      <c r="G10" s="221" t="str">
        <f ca="1">IFERROR(__xludf.DUMMYFUNCTION("""COMPUTED_VALUE"""),"=(G5+G6*Q3)")</f>
        <v>=(G5+G6*Q3)</v>
      </c>
      <c r="H10" s="574" t="str">
        <f ca="1">IFERROR(__xludf.DUMMYFUNCTION("""COMPUTED_VALUE"""),"=""Total base""")</f>
        <v>="Total base"</v>
      </c>
      <c r="I10" s="221" t="str">
        <f ca="1">IFERROR(__xludf.DUMMYFUNCTION("""COMPUTED_VALUE"""),"=I5+I6*Q3")</f>
        <v>=I5+I6*Q3</v>
      </c>
      <c r="J10" s="574" t="str">
        <f ca="1">IFERROR(__xludf.DUMMYFUNCTION("""COMPUTED_VALUE"""),"=""Total base""")</f>
        <v>="Total base"</v>
      </c>
      <c r="K10" s="221" t="str">
        <f ca="1">IFERROR(__xludf.DUMMYFUNCTION("""COMPUTED_VALUE"""),"=K5 + K6 * Q3")</f>
        <v>=K5 + K6 * Q3</v>
      </c>
      <c r="L10" s="574" t="str">
        <f ca="1">IFERROR(__xludf.DUMMYFUNCTION("""COMPUTED_VALUE"""),"=""Skill mod""")</f>
        <v>="Skill mod"</v>
      </c>
      <c r="M10" s="576" t="str">
        <f ca="1">IFERROR(__xludf.DUMMYFUNCTION("""COMPUTED_VALUE"""),"=
IF(AND(Name=""Ashe"";NOT(C49));(1,2+(0,75+IT_CDMG)*Self_Crit);IF(Name=""Ashe"";1,2;1))*IF(AND(Name=""Ashe"";P_Q&gt;0;Steroid_Q);1+0,05*P_Q;1)*
IF(Name=""Graves"";(0,7 + 0,3 * Sc_Lin) * IF(Steroid_P;2;1); 1) *
IF(AND(Name=""Jinx"";Steroid_Q);1,1;1)*
IF(AND("&amp;"Name=""Xayah"";Steroid_W;P_W&gt;0);1,2;1)*
IF(AND(Name=""Aphelios"";C_Aphelios_W1=""Infernum"");1,1;1)*
IF(AND(Name=""Aphelios"";C_Aphelios_W1=""Crescendum"");1+I33;1)")</f>
        <v>=
IF(AND(Name="Ashe";NOT(C49));(1,2+(0,75+IT_CDMG)*Self_Crit);IF(Name="Ashe";1,2;1))*IF(AND(Name="Ashe";P_Q&gt;0;Steroid_Q);1+0,05*P_Q;1)*
IF(Name="Graves";(0,7 + 0,3 * Sc_Lin) * IF(Steroid_P;2;1); 1) *
IF(AND(Name="Jinx";Steroid_Q);1,1;1)*
IF(AND(Name="Xayah";Steroid_W;P_W&gt;0);1,2;1)*
IF(AND(Name="Aphelios";C_Aphelios_W1="Infernum");1,1;1)*
IF(AND(Name="Aphelios";C_Aphelios_W1="Crescendum");1+I33;1)</v>
      </c>
      <c r="N10" s="593" t="str">
        <f ca="1">IFERROR(__xludf.DUMMYFUNCTION("""COMPUTED_VALUE"""),"=""True Damage Mod""")</f>
        <v>="True Damage Mod"</v>
      </c>
      <c r="O10" s="594" t="str">
        <f ca="1">IFERROR(__xludf.DUMMYFUNCTION("""COMPUTED_VALUE"""),"=(1*IT_MOD_Magic+IF(C55;0,09;0)) * O5 * Q32")</f>
        <v>=(1*IT_MOD_Magic+IF(C55;0,09;0)) * O5 * Q32</v>
      </c>
      <c r="P10" s="581"/>
      <c r="Q10" s="590"/>
      <c r="R10" s="569"/>
    </row>
    <row r="11" spans="1:18" ht="15" customHeight="1">
      <c r="A11" s="569"/>
      <c r="B11" s="215" t="str">
        <f ca="1">IFERROR(__xludf.DUMMYFUNCTION("""COMPUTED_VALUE"""),"=""Total bonus""")</f>
        <v>="Total bonus"</v>
      </c>
      <c r="C11" s="219" t="str">
        <f ca="1">IFERROR(__xludf.DUMMYFUNCTION("""COMPUTED_VALUE"""),"=(C3+C4+C7)*C9+C10*(C9-1)")</f>
        <v>=(C3+C4+C7)*C9+C10*(C9-1)</v>
      </c>
      <c r="D11" s="215" t="str">
        <f ca="1">IFERROR(__xludf.DUMMYFUNCTION("""COMPUTED_VALUE"""),"=""Total bonus""")</f>
        <v>="Total bonus"</v>
      </c>
      <c r="E11" s="579" t="str">
        <f ca="1">IFERROR(__xludf.DUMMYFUNCTION("""COMPUTED_VALUE"""),"=(E3+E4+E7)*E9")</f>
        <v>=(E3+E4+E7)*E9</v>
      </c>
      <c r="F11" s="215" t="str">
        <f ca="1">IFERROR(__xludf.DUMMYFUNCTION("""COMPUTED_VALUE"""),"=""Total bonus""")</f>
        <v>="Total bonus"</v>
      </c>
      <c r="G11" s="219" t="str">
        <f ca="1">IFERROR(__xludf.DUMMYFUNCTION("""COMPUTED_VALUE"""),"=IF(AND(Name=""Kled"";Steroid_Form);0;(G3+G4+G7)*G9+G8*G10)")</f>
        <v>=IF(AND(Name="Kled";Steroid_Form);0;(G3+G4+G7)*G9+G8*G10)</v>
      </c>
      <c r="H11" s="215" t="str">
        <f ca="1">IFERROR(__xludf.DUMMYFUNCTION("""COMPUTED_VALUE"""),"=""Total bonus""")</f>
        <v>="Total bonus"</v>
      </c>
      <c r="I11" s="579" t="str">
        <f ca="1">IFERROR(__xludf.DUMMYFUNCTION("""COMPUTED_VALUE"""),"=(I3+I4)*I9")</f>
        <v>=(I3+I4)*I9</v>
      </c>
      <c r="J11" s="215" t="str">
        <f ca="1">IFERROR(__xludf.DUMMYFUNCTION("""COMPUTED_VALUE"""),"=""Total bonus""")</f>
        <v>="Total bonus"</v>
      </c>
      <c r="K11" s="219" t="str">
        <f ca="1">IFERROR(__xludf.DUMMYFUNCTION("""COMPUTED_VALUE"""),"=((K3 + K4 + K7) * K9 + K10 * (K8 - 1)) * IF(AND(Name = ""K'Sante""; P_R &gt; 0; Steroid_Form); 0,15; 1)")</f>
        <v>=((K3 + K4 + K7) * K9 + K10 * (K8 - 1)) * IF(AND(Name = "K'Sante"; P_R &gt; 0; Steroid_Form); 0,15; 1)</v>
      </c>
      <c r="L11" s="128" t="str">
        <f ca="1">IFERROR(__xludf.DUMMYFUNCTION("""COMPUTED_VALUE"""),"=""Ninjatabi""")</f>
        <v>="Ninjatabi"</v>
      </c>
      <c r="M11" s="572" t="str">
        <f ca="1">IFERROR(__xludf.DUMMYFUNCTION("""COMPUTED_VALUE"""),"=IF(Items!AM100;0,88;1)")</f>
        <v>=IF(Items!AM100;0,88;1)</v>
      </c>
      <c r="N11" s="583" t="str">
        <f ca="1">IFERROR(__xludf.DUMMYFUNCTION("""COMPUTED_VALUE"""),"=""Healing mod""")</f>
        <v>="Healing mod"</v>
      </c>
      <c r="O11" s="584" t="str">
        <f ca="1">IFERROR(__xludf.DUMMYFUNCTION("""COMPUTED_VALUE"""),"=1+IT_MOD_Heal+Runes!P21+N_Chem * 0,06")</f>
        <v>=1+IT_MOD_Heal+Runes!P21+N_Chem * 0,06</v>
      </c>
      <c r="P11" s="578"/>
      <c r="Q11" s="592"/>
      <c r="R11" s="569"/>
    </row>
    <row r="12" spans="1:18" ht="15" customHeight="1">
      <c r="A12" s="569"/>
      <c r="B12" s="583" t="str">
        <f ca="1">IFERROR(__xludf.DUMMYFUNCTION("""COMPUTED_VALUE"""),"=""Total""")</f>
        <v>="Total"</v>
      </c>
      <c r="C12" s="595" t="str">
        <f ca="1">IFERROR(__xludf.DUMMYFUNCTION("""COMPUTED_VALUE"""),"=C10+C11")</f>
        <v>=C10+C11</v>
      </c>
      <c r="D12" s="583" t="str">
        <f ca="1">IFERROR(__xludf.DUMMYFUNCTION("""COMPUTED_VALUE"""),"=""Total""")</f>
        <v>="Total"</v>
      </c>
      <c r="E12" s="595" t="str">
        <f ca="1">IFERROR(__xludf.DUMMYFUNCTION("""COMPUTED_VALUE"""),"=E11")</f>
        <v>=E11</v>
      </c>
      <c r="F12" s="583" t="str">
        <f ca="1">IFERROR(__xludf.DUMMYFUNCTION("""COMPUTED_VALUE"""),"=""Total""")</f>
        <v>="Total"</v>
      </c>
      <c r="G12" s="595" t="str">
        <f ca="1">IFERROR(__xludf.DUMMYFUNCTION("""COMPUTED_VALUE"""),"=IF(Name=""Pyke""; G10; G10 + G11) * IF(AND(Name = ""K'Sante""; P_R &gt; 0; Steroid_Form); 0,55; 1)")</f>
        <v>=IF(Name="Pyke"; G10; G10 + G11) * IF(AND(Name = "K'Sante"; P_R &gt; 0; Steroid_Form); 0,55; 1)</v>
      </c>
      <c r="H12" s="583" t="str">
        <f ca="1">IFERROR(__xludf.DUMMYFUNCTION("""COMPUTED_VALUE"""),"=""Total""")</f>
        <v>="Total"</v>
      </c>
      <c r="I12" s="595" t="str">
        <f ca="1">IFERROR(__xludf.DUMMYFUNCTION("""COMPUTED_VALUE"""),"=IF(VLOOKUP(Name;Champs!A2:AJ200;36;False);I5;IF(VLOOKUP(Name;Champs!A2:AJ200;35;False);I5+Runes!D10;I10+I11+I7))")</f>
        <v>=IF(VLOOKUP(Name;Champs!A2:AJ200;36;False);I5;IF(VLOOKUP(Name;Champs!A2:AJ200;35;False);I5+Runes!D10;I10+I11+I7))</v>
      </c>
      <c r="J12" s="583" t="str">
        <f ca="1">IFERROR(__xludf.DUMMYFUNCTION("""COMPUTED_VALUE"""),"=""Total""")</f>
        <v>="Total"</v>
      </c>
      <c r="K12" s="595" t="str">
        <f ca="1">IFERROR(__xludf.DUMMYFUNCTION("""COMPUTED_VALUE"""),"=K10 + K11 + IF(AND(Runes!O3;Steroid_Runes); IF(35 + 0,8 * K11 &gt; 80 + 70 * Sc_Lin;80 + 70 * Sc_Lin; 35 + 0,8 * K11); 0)")</f>
        <v>=K10 + K11 + IF(AND(Runes!O3;Steroid_Runes); IF(35 + 0,8 * K11 &gt; 80 + 70 * Sc_Lin;80 + 70 * Sc_Lin; 35 + 0,8 * K11); 0)</v>
      </c>
      <c r="L12" s="583" t="str">
        <f ca="1">IFERROR(__xludf.DUMMYFUNCTION("""COMPUTED_VALUE"""),"=""Basic Attack Mod""")</f>
        <v>="Basic Attack Mod"</v>
      </c>
      <c r="M12" s="584" t="str">
        <f ca="1">IFERROR(__xludf.DUMMYFUNCTION("""COMPUTED_VALUE"""),"=(M11*M7*M8*O4*M10+IF(C55;0,09;0)) * O5 * Q32 * IF(Name = ""Bel'Veth""; 0,75; 1)")</f>
        <v>=(M11*M7*M8*O4*M10+IF(C55;0,09;0)) * O5 * Q32 * IF(Name = "Bel'Veth"; 0,75; 1)</v>
      </c>
      <c r="N12" s="583" t="str">
        <f ca="1">IFERROR(__xludf.DUMMYFUNCTION("""COMPUTED_VALUE"""),"=""Selfhealing mod""")</f>
        <v>="Selfhealing mod"</v>
      </c>
      <c r="O12" s="584" t="str">
        <f ca="1">IFERROR(__xludf.DUMMYFUNCTION("""COMPUTED_VALUE"""),"=IF(C52; 1,25; 1) *
(1 + Runes!P21 + N_Chem * 0,05) *
IF(AND(Name = ""Trundle""; Steroid_W; P_W &gt; 0); 1,25; 1) *
IF(AND(Name = ""Aatrox""; Steroid_R; P_R &gt; 0); (1,16 + 0,04 * P_E + 0,15 * P_R); 1)")</f>
        <v>=IF(C52; 1,25; 1) *
(1 + Runes!P21 + N_Chem * 0,05) *
IF(AND(Name = "Trundle"; Steroid_W; P_W &gt; 0); 1,25; 1) *
IF(AND(Name = "Aatrox"; Steroid_R; P_R &gt; 0); (1,16 + 0,04 * P_E + 0,15 * P_R); 1)</v>
      </c>
      <c r="P12" s="581"/>
      <c r="Q12" s="590"/>
      <c r="R12" s="569"/>
    </row>
    <row r="13" spans="1:18" ht="15" customHeight="1">
      <c r="A13" s="569"/>
      <c r="B13" s="569"/>
      <c r="C13" s="569"/>
      <c r="D13" s="569"/>
      <c r="E13" s="569"/>
      <c r="F13" s="569"/>
      <c r="G13" s="569"/>
      <c r="H13" s="569"/>
      <c r="I13" s="569"/>
      <c r="J13" s="569"/>
      <c r="K13" s="569"/>
      <c r="L13" s="569"/>
      <c r="M13" s="569"/>
      <c r="N13" s="569"/>
      <c r="O13" s="569"/>
      <c r="P13" s="569"/>
      <c r="Q13" s="569"/>
      <c r="R13" s="569"/>
    </row>
    <row r="14" spans="1:18" ht="15" customHeight="1">
      <c r="A14" s="569"/>
      <c r="B14" s="190" t="str">
        <f ca="1">IFERROR(__xludf.DUMMYFUNCTION("""COMPUTED_VALUE"""),"=""Force bit 1=AD; 0=AP""")</f>
        <v>="Force bit 1=AD; 0=AP"</v>
      </c>
      <c r="C14" s="191" t="str">
        <f ca="1">IFERROR(__xludf.DUMMYFUNCTION("""COMPUTED_VALUE"""),"=IF(C3&gt;=E3;1;0)")</f>
        <v>=IF(C3&gt;=E3;1;0)</v>
      </c>
      <c r="D14" s="190" t="str">
        <f ca="1">IFERROR(__xludf.DUMMYFUNCTION("""COMPUTED_VALUE"""),"=""Adaptive force""")</f>
        <v>="Adaptive force"</v>
      </c>
      <c r="E14" s="191" t="str">
        <f ca="1">IFERROR(__xludf.DUMMYFUNCTION("""COMPUTED_VALUE"""),"=R_Adap / IF(C14; 1 / 0,6; 1)")</f>
        <v>=R_Adap / IF(C14; 1 / 0,6; 1)</v>
      </c>
      <c r="F14" s="192" t="str">
        <f ca="1">IFERROR(__xludf.DUMMYFUNCTION("""COMPUTED_VALUE"""),"=""Missing HP Value""")</f>
        <v>="Missing HP Value"</v>
      </c>
      <c r="G14" s="193" t="str">
        <f ca="1">IFERROR(__xludf.DUMMYFUNCTION("""COMPUTED_VALUE"""),"=(Self_MHP*(1-Self_CHPP/100))")</f>
        <v>=(Self_MHP*(1-Self_CHPP/100))</v>
      </c>
      <c r="H14" s="194" t="str">
        <f ca="1">IFERROR(__xludf.DUMMYFUNCTION("""COMPUTED_VALUE"""),"=""Shield""")</f>
        <v>="Shield"</v>
      </c>
      <c r="I14" s="193" t="str">
        <f ca="1">IFERROR(__xludf.DUMMYFUNCTION("""COMPUTED_VALUE"""),"=(Runes!D8+IT_Shield+
IF(AND(Name=""Viktor"";Steroid_Q;P_Q&gt;0);(27 + 78 * Sc_Lin + 0,18*Self_AP)*IF(1;1,6;1);0)+
IF(Interface!D40=""Barrier"";Q79;0)+
IF(AND(Name=""Jarvan IV"";Steroid_W;P_W&gt;0);25*P_W+35+IF(Steroid_Form;5;2)*(0,0175+0,0025*P_W)*Self_MHP;0)+"&amp;"
IF(AND(Name=""Neeko"";Steroid_R;P_R&gt;0);50+25*P_R+0,75*Self_AP+IF(Steroid_Form;(20+20*P_R)*5;0);0)+
IF(AND(Name=""Sylas"";P_E&gt;0;Steroid_E);(30+30*P_E+0,9*Self_AP)*MOD_Heal;0)+
IF(AND(Name = ""Annie""; P_E &gt; 0; Steroid_E); 40 * P_E + 20 + 0,55 * Self_AP; 0"&amp;") +
IF(AND(Name=""Vi"";Steroid_P);0,15*Self_MHP;0)+
IF(Name=""Shen"";57+3*Self_Level+0,14*Self_BoHP;0)+
IF(AND(Name=""Urgot"";Steroid_E;P_E&gt;0);40+20*P_E+1,5*Self_BoAD+0,15*Self_BoHP;0)+
IF(B_Mountain;180+0,16*Self_BoAD+0,12*Self_AP+0,12*Self_BoHP;0)
)*O12")</f>
        <v>=(Runes!D8+IT_Shield+
IF(AND(Name="Viktor";Steroid_Q;P_Q&gt;0);(27 + 78 * Sc_Lin + 0,18*Self_AP)*IF(1;1,6;1);0)+
IF(Interface!D40="Barrier";Q79;0)+
IF(AND(Name="Jarvan IV";Steroid_W;P_W&gt;0);25*P_W+35+IF(Steroid_Form;5;2)*(0,0175+0,0025*P_W)*Self_MHP;0)+
IF(AND(Name="Neeko";Steroid_R;P_R&gt;0);50+25*P_R+0,75*Self_AP+IF(Steroid_Form;(20+20*P_R)*5;0);0)+
IF(AND(Name="Sylas";P_E&gt;0;Steroid_E);(30+30*P_E+0,9*Self_AP)*MOD_Heal;0)+
IF(AND(Name = "Annie"; P_E &gt; 0; Steroid_E); 40 * P_E + 20 + 0,55 * Self_AP; 0) +
IF(AND(Name="Vi";Steroid_P);0,15*Self_MHP;0)+
IF(Name="Shen";57+3*Self_Level+0,14*Self_BoHP;0)+
IF(AND(Name="Urgot";Steroid_E;P_E&gt;0);40+20*P_E+1,5*Self_BoAD+0,15*Self_BoHP;0)+
IF(B_Mountain;180+0,16*Self_BoAD+0,12*Self_AP+0,12*Self_BoHP;0)
)*O12</v>
      </c>
      <c r="J14" s="195" t="str">
        <f ca="1">IFERROR(__xludf.DUMMYFUNCTION("""COMPUTED_VALUE"""),"=""E: Bonus Health""")</f>
        <v>="E: Bonus Health"</v>
      </c>
      <c r="K14" s="196" t="str">
        <f ca="1">IFERROR(__xludf.DUMMYFUNCTION("""COMPUTED_VALUE"""),"=(E_IT_HP + Interface!O25)")</f>
        <v>=(E_IT_HP + Interface!O25)</v>
      </c>
      <c r="L14" s="197" t="str">
        <f ca="1">IFERROR(__xludf.DUMMYFUNCTION("""COMPUTED_VALUE"""),"=""E: Health""")</f>
        <v>="E: Health"</v>
      </c>
      <c r="M14" s="198" t="str">
        <f ca="1">IFERROR(__xludf.DUMMYFUNCTION("""COMPUTED_VALUE"""),"=round(VLOOKUP(E_Name;Champs!A2:R200;2;False)+VLOOKUP(E_Name;Champs!A2:R200;3;False)*Q4+(E_BoHp))")</f>
        <v>=round(VLOOKUP(E_Name;Champs!A2:R200;2;False)+VLOOKUP(E_Name;Champs!A2:R200;3;False)*Q4+(E_BoHp))</v>
      </c>
      <c r="N14" s="197" t="str">
        <f ca="1">IFERROR(__xludf.DUMMYFUNCTION("""COMPUTED_VALUE"""),"=""E: Current health""")</f>
        <v>="E: Current health"</v>
      </c>
      <c r="O14" s="199" t="str">
        <f ca="1">IFERROR(__xludf.DUMMYFUNCTION("""COMPUTED_VALUE"""),"=MIN(E_CHP;'Very basic Fight Sim'!I6)/100*E_MHP")</f>
        <v>=MIN(E_CHP;'Very basic Fight Sim'!I6)/100*E_MHP</v>
      </c>
      <c r="P14" s="197" t="str">
        <f ca="1">IFERROR(__xludf.DUMMYFUNCTION("""COMPUTED_VALUE"""),"=""E: Missing health""")</f>
        <v>="E: Missing health"</v>
      </c>
      <c r="Q14" s="198" t="str">
        <f ca="1">IFERROR(__xludf.DUMMYFUNCTION("""COMPUTED_VALUE"""),"=M14-O14")</f>
        <v>=M14-O14</v>
      </c>
      <c r="R14" s="569"/>
    </row>
    <row r="15" spans="1:18" ht="15" customHeight="1">
      <c r="A15" s="569"/>
      <c r="B15" s="569"/>
      <c r="C15" s="569"/>
      <c r="D15" s="569"/>
      <c r="E15" s="569"/>
      <c r="F15" s="569"/>
      <c r="G15" s="569"/>
      <c r="H15" s="569"/>
      <c r="I15" s="569"/>
      <c r="J15" s="569"/>
      <c r="K15" s="569"/>
      <c r="L15" s="569"/>
      <c r="M15" s="569"/>
      <c r="N15" s="569"/>
      <c r="O15" s="569"/>
      <c r="P15" s="569"/>
      <c r="Q15" s="569"/>
      <c r="R15" s="569"/>
    </row>
    <row r="16" spans="1:18" ht="15" customHeight="1">
      <c r="A16" s="569"/>
      <c r="B16" s="733" t="str">
        <f ca="1">IFERROR(__xludf.DUMMYFUNCTION("""COMPUTED_VALUE"""),"=""// Attack Speed //""")</f>
        <v>="// Attack Speed //"</v>
      </c>
      <c r="C16" s="657"/>
      <c r="D16" s="732" t="str">
        <f ca="1">IFERROR(__xludf.DUMMYFUNCTION("""COMPUTED_VALUE"""),"=""// Movement Speed //""")</f>
        <v>="// Movement Speed //"</v>
      </c>
      <c r="E16" s="657"/>
      <c r="F16" s="733" t="str">
        <f ca="1">IFERROR(__xludf.DUMMYFUNCTION("""COMPUTED_VALUE"""),"=""// Healthregen //""")</f>
        <v>="// Healthregen //"</v>
      </c>
      <c r="G16" s="657"/>
      <c r="H16" s="732" t="str">
        <f ca="1">IFERROR(__xludf.DUMMYFUNCTION("""COMPUTED_VALUE"""),"=""// Manaregen //""")</f>
        <v>="// Manaregen //"</v>
      </c>
      <c r="I16" s="657"/>
      <c r="J16" s="733" t="str">
        <f ca="1">IFERROR(__xludf.DUMMYFUNCTION("""COMPUTED_VALUE"""),"=""// Resistance //""")</f>
        <v>="// Resistance //"</v>
      </c>
      <c r="K16" s="657"/>
      <c r="L16" s="732" t="str">
        <f ca="1">IFERROR(__xludf.DUMMYFUNCTION("""COMPUTED_VALUE"""),"=""// Enemy Resist //""")</f>
        <v>="// Enemy Resist //"</v>
      </c>
      <c r="M16" s="657"/>
      <c r="N16" s="733" t="str">
        <f ca="1">IFERROR(__xludf.DUMMYFUNCTION("""COMPUTED_VALUE"""),"=""// Lifesteal //""")</f>
        <v>="// Lifesteal //"</v>
      </c>
      <c r="O16" s="657"/>
      <c r="P16" s="732" t="str">
        <f ca="1">IFERROR(__xludf.DUMMYFUNCTION("""COMPUTED_VALUE"""),"=""// Critical //""")</f>
        <v>="// Critical //"</v>
      </c>
      <c r="Q16" s="657"/>
      <c r="R16" s="569"/>
    </row>
    <row r="17" spans="1:18" ht="15" customHeight="1">
      <c r="A17" s="569"/>
      <c r="B17" s="215" t="str">
        <f ca="1">IFERROR(__xludf.DUMMYFUNCTION("""COMPUTED_VALUE"""),"=""Items""")</f>
        <v>="Items"</v>
      </c>
      <c r="C17" s="572" t="str">
        <f ca="1">IFERROR(__xludf.DUMMYFUNCTION("""COMPUTED_VALUE"""),"=IT_AS")</f>
        <v>=IT_AS</v>
      </c>
      <c r="D17" s="215" t="str">
        <f ca="1">IFERROR(__xludf.DUMMYFUNCTION("""COMPUTED_VALUE"""),"=""Boots""")</f>
        <v>="Boots"</v>
      </c>
      <c r="E17" s="214" t="str">
        <f ca="1">IFERROR(__xludf.DUMMYFUNCTION("""COMPUTED_VALUE"""),"=IT_Shoe + Runes!T9")</f>
        <v>=IT_Shoe + Runes!T9</v>
      </c>
      <c r="F17" s="215" t="str">
        <f ca="1">IFERROR(__xludf.DUMMYFUNCTION("""COMPUTED_VALUE"""),"=""Items""")</f>
        <v>="Items"</v>
      </c>
      <c r="G17" s="572" t="str">
        <f ca="1">IFERROR(__xludf.DUMMYFUNCTION("""COMPUTED_VALUE"""),"=IT_HPR")</f>
        <v>=IT_HPR</v>
      </c>
      <c r="H17" s="215" t="str">
        <f ca="1">IFERROR(__xludf.DUMMYFUNCTION("""COMPUTED_VALUE"""),"=""Items""")</f>
        <v>="Items"</v>
      </c>
      <c r="I17" s="572" t="str">
        <f ca="1">IFERROR(__xludf.DUMMYFUNCTION("""COMPUTED_VALUE"""),"=IT_MPR")</f>
        <v>=IT_MPR</v>
      </c>
      <c r="J17" s="215" t="str">
        <f ca="1">IFERROR(__xludf.DUMMYFUNCTION("""COMPUTED_VALUE"""),"=""Items""")</f>
        <v>="Items"</v>
      </c>
      <c r="K17" s="219" t="str">
        <f ca="1">IFERROR(__xludf.DUMMYFUNCTION("""COMPUTED_VALUE"""),"=IT_MR")</f>
        <v>=IT_MR</v>
      </c>
      <c r="L17" s="215" t="str">
        <f ca="1">IFERROR(__xludf.DUMMYFUNCTION("""COMPUTED_VALUE"""),"=""Enemy magic resist""")</f>
        <v>="Enemy magic resist"</v>
      </c>
      <c r="M17" s="219" t="str">
        <f ca="1">IFERROR(__xludf.DUMMYFUNCTION("""COMPUTED_VALUE"""),"=VLOOKUP(E_Name;Champs!A2:R200;17;False)+VLOOKUP(E_Name;Champs!A2:R200;18;False)*Q4+E_IT_MR+E_BoMR")</f>
        <v>=VLOOKUP(E_Name;Champs!A2:R200;17;False)+VLOOKUP(E_Name;Champs!A2:R200;18;False)*Q4+E_IT_MR+E_BoMR</v>
      </c>
      <c r="N17" s="215" t="str">
        <f ca="1">IFERROR(__xludf.DUMMYFUNCTION("""COMPUTED_VALUE"""),"=""Items""")</f>
        <v>="Items"</v>
      </c>
      <c r="O17" s="572" t="str">
        <f ca="1">IFERROR(__xludf.DUMMYFUNCTION("""COMPUTED_VALUE"""),"=IT_LS")</f>
        <v>=IT_LS</v>
      </c>
      <c r="P17" s="215" t="str">
        <f ca="1">IFERROR(__xludf.DUMMYFUNCTION("""COMPUTED_VALUE"""),"=""Uncapped crit""")</f>
        <v>="Uncapped crit"</v>
      </c>
      <c r="Q17" s="572" t="str">
        <f ca="1">IFERROR(__xludf.DUMMYFUNCTION("""COMPUTED_VALUE"""),"=IF((IT_Crit*IF(or(Name=""Yasuo"";Name=""Yone"");2,5;1)+IF(Name=""Senna"";rounddown(Minion/20)*0,1;0))-1&gt;0;(IT_Crit*IF(or(Name=""Yasuo"";Name=""Yone"");2,5;1)+IF(Name=""Senna"";rounddown(Minion/20)*0,1;0))-1;0)")</f>
        <v>=IF((IT_Crit*IF(or(Name="Yasuo";Name="Yone");2,5;1)+IF(Name="Senna";rounddown(Minion/20)*0,1;0))-1&gt;0;(IT_Crit*IF(or(Name="Yasuo";Name="Yone");2,5;1)+IF(Name="Senna";rounddown(Minion/20)*0,1;0))-1;0)</v>
      </c>
      <c r="R17" s="569"/>
    </row>
    <row r="18" spans="1:18" ht="15" customHeight="1">
      <c r="A18" s="569"/>
      <c r="B18" s="574" t="str">
        <f ca="1">IFERROR(__xludf.DUMMYFUNCTION("""COMPUTED_VALUE"""),"=""Runes""")</f>
        <v>="Runes"</v>
      </c>
      <c r="C18" s="576" t="str">
        <f ca="1">IFERROR(__xludf.DUMMYFUNCTION("""COMPUTED_VALUE"""),"=R_AS")</f>
        <v>=R_AS</v>
      </c>
      <c r="D18" s="574" t="str">
        <f ca="1">IFERROR(__xludf.DUMMYFUNCTION("""COMPUTED_VALUE"""),"=""Runes""")</f>
        <v>="Runes"</v>
      </c>
      <c r="E18" s="575" t="str">
        <f ca="1">IFERROR(__xludf.DUMMYFUNCTION("""COMPUTED_VALUE"""),"=Runes!H22")</f>
        <v>=Runes!H22</v>
      </c>
      <c r="F18" s="574" t="str">
        <f ca="1">IFERROR(__xludf.DUMMYFUNCTION("""COMPUTED_VALUE"""),"=""Runes""")</f>
        <v>="Runes"</v>
      </c>
      <c r="G18" s="576" t="str">
        <f ca="1">IFERROR(__xludf.DUMMYFUNCTION("""COMPUTED_VALUE"""),"=0%")</f>
        <v>=0%</v>
      </c>
      <c r="H18" s="574" t="str">
        <f ca="1">IFERROR(__xludf.DUMMYFUNCTION("""COMPUTED_VALUE"""),"=""Runes""")</f>
        <v>="Runes"</v>
      </c>
      <c r="I18" s="591" t="str">
        <f ca="1">IFERROR(__xludf.DUMMYFUNCTION("""COMPUTED_VALUE"""),"=0%")</f>
        <v>=0%</v>
      </c>
      <c r="J18" s="574" t="str">
        <f ca="1">IFERROR(__xludf.DUMMYFUNCTION("""COMPUTED_VALUE"""),"=""Runes""")</f>
        <v>="Runes"</v>
      </c>
      <c r="K18" s="217" t="str">
        <f ca="1">IFERROR(__xludf.DUMMYFUNCTION("""COMPUTED_VALUE"""),"=R_MR")</f>
        <v>=R_MR</v>
      </c>
      <c r="L18" s="574" t="str">
        <f ca="1">IFERROR(__xludf.DUMMYFUNCTION("""COMPUTED_VALUE"""),"=""1. Reduce: Reduction""")</f>
        <v>="1. Reduce: Reduction"</v>
      </c>
      <c r="M18" s="217" t="str">
        <f ca="1">IFERROR(__xludf.DUMMYFUNCTION("""COMPUTED_VALUE"""),"=M17 * (1 - IF(AND(Name = ""Kayle""; Steroid_Q; P_Q &gt; 0); 0,15; 0) - IF(AND(Name = ""Rumble""; Steroid_E; P_E &gt; 0); 0,2; 0) - IF(AND(Name = ""Kog'Maw""; Steroid_Q; P_Q &gt; 0); 0,21 + 0,02 * P_Q; 0) - IF(AND(Name = ""Evelynn"";P_W &gt; 0; Steroid_W);0,325 + P_W"&amp;" * 0,025;0)) - IF(C64; MIN(5 + 0,012 * Self_BoHP; 25) ; 0)")</f>
        <v>=M17 * (1 - IF(AND(Name = "Kayle"; Steroid_Q; P_Q &gt; 0); 0,15; 0) - IF(AND(Name = "Rumble"; Steroid_E; P_E &gt; 0); 0,2; 0) - IF(AND(Name = "Kog'Maw"; Steroid_Q; P_Q &gt; 0); 0,21 + 0,02 * P_Q; 0) - IF(AND(Name = "Evelynn";P_W &gt; 0; Steroid_W);0,325 + P_W * 0,025;0)) - IF(C64; MIN(5 + 0,012 * Self_BoHP; 25) ; 0)</v>
      </c>
      <c r="N18" s="574" t="str">
        <f ca="1">IFERROR(__xludf.DUMMYFUNCTION("""COMPUTED_VALUE"""),"=""Runes""")</f>
        <v>="Runes"</v>
      </c>
      <c r="O18" s="576" t="str">
        <f ca="1">IFERROR(__xludf.DUMMYFUNCTION("""COMPUTED_VALUE"""),"=Runes!D16+IF(AND(S_Conq=12;Runes!C5);IF(vlookup(Name;Champs!A2:AE200;31;false);0,06;0,05);0)")</f>
        <v>=Runes!D16+IF(AND(S_Conq=12;Runes!C5);IF(vlookup(Name;Champs!A2:AE200;31;false);0,06;0,05);0)</v>
      </c>
      <c r="P18" s="581"/>
      <c r="Q18" s="596"/>
      <c r="R18" s="569"/>
    </row>
    <row r="19" spans="1:18" ht="15" customHeight="1">
      <c r="A19" s="569"/>
      <c r="B19" s="215" t="str">
        <f ca="1">IFERROR(__xludf.DUMMYFUNCTION("""COMPUTED_VALUE"""),"=""Base""")</f>
        <v>="Base"</v>
      </c>
      <c r="C19" s="597" t="str">
        <f ca="1">IFERROR(__xludf.DUMMYFUNCTION("""COMPUTED_VALUE"""),"=VLOOKUP(Name; Champs!A2:R200; 12; False) * IF(AND(Name = ""Bel'Veth"";P_R &gt; 0; Steroid_Form); 1,05 + 0,05 * P_R; 1)")</f>
        <v>=VLOOKUP(Name; Champs!A2:R200; 12; False) * IF(AND(Name = "Bel'Veth";P_R &gt; 0; Steroid_Form); 1,05 + 0,05 * P_R; 1)</v>
      </c>
      <c r="D19" s="215" t="str">
        <f ca="1">IFERROR(__xludf.DUMMYFUNCTION("""COMPUTED_VALUE"""),"=""Base""")</f>
        <v>="Base"</v>
      </c>
      <c r="E19" s="585" t="str">
        <f ca="1">IFERROR(__xludf.DUMMYFUNCTION("""COMPUTED_VALUE"""),"=VLOOKUP(Name;Champs!A2:T200;19;False)")</f>
        <v>=VLOOKUP(Name;Champs!A2:T200;19;False)</v>
      </c>
      <c r="F19" s="215" t="str">
        <f ca="1">IFERROR(__xludf.DUMMYFUNCTION("""COMPUTED_VALUE"""),"=""Base""")</f>
        <v>="Base"</v>
      </c>
      <c r="G19" s="598" t="str">
        <f ca="1">IFERROR(__xludf.DUMMYFUNCTION("""COMPUTED_VALUE"""),"=VLOOKUP(Name;Champs!A2:R200;4;False)")</f>
        <v>=VLOOKUP(Name;Champs!A2:R200;4;False)</v>
      </c>
      <c r="H19" s="215" t="str">
        <f ca="1">IFERROR(__xludf.DUMMYFUNCTION("""COMPUTED_VALUE"""),"=""Base""")</f>
        <v>="Base"</v>
      </c>
      <c r="I19" s="598" t="str">
        <f ca="1">IFERROR(__xludf.DUMMYFUNCTION("""COMPUTED_VALUE"""),"=VLOOKUP(Name;Champs!A2:R200;8;False)")</f>
        <v>=VLOOKUP(Name;Champs!A2:R200;8;False)</v>
      </c>
      <c r="J19" s="215" t="str">
        <f ca="1">IFERROR(__xludf.DUMMYFUNCTION("""COMPUTED_VALUE"""),"=""Base""")</f>
        <v>="Base"</v>
      </c>
      <c r="K19" s="219" t="str">
        <f ca="1">IFERROR(__xludf.DUMMYFUNCTION("""COMPUTED_VALUE"""),"=VLOOKUP(Name; Champs!A2:R200; 17; False)")</f>
        <v>=VLOOKUP(Name; Champs!A2:R200; 17; False)</v>
      </c>
      <c r="L19" s="215" t="str">
        <f ca="1">IFERROR(__xludf.DUMMYFUNCTION("""COMPUTED_VALUE"""),"=""2. Reduce: %""")</f>
        <v>="2. Reduce: %"</v>
      </c>
      <c r="M19" s="219" t="str">
        <f ca="1">IFERROR(__xludf.DUMMYFUNCTION("""COMPUTED_VALUE"""),"=M18*(1-C38)")</f>
        <v>=M18*(1-C38)</v>
      </c>
      <c r="N19" s="215" t="str">
        <f ca="1">IFERROR(__xludf.DUMMYFUNCTION("""COMPUTED_VALUE"""),"=""Skills""")</f>
        <v>="Skills"</v>
      </c>
      <c r="O19" s="572" t="str">
        <f ca="1">IFERROR(__xludf.DUMMYFUNCTION("""COMPUTED_VALUE"""),"=
IF(Name = ""Nasus""; 0,06 + 0,05 * ROUNDUP((Self_Level - 0,5) / 6); 0) +
IF(AND(Name = ""Olaf""); (0,08 + 0,17 * Sc_Lin) * (1 - (IF(Self_CHPP&lt;30; 30; Self_CHPP) - 30) / 70); 0) +
IF(AND(Name = ""Lee Sin"";P_W &gt; 0; Steroid_W); -0,005 + 0,055 * P_W; 0) +
"&amp;"IF(AND(Name = ""Aatrox""; P_E &gt; 0);(0,165 + 0,015 * P_E); 0) +
IF(Name = ""Kayn"";0,2 + 0,1 * Sc_Lin;0) + 
IF(AND(Name = ""Senna"";Q17 &gt; 1); (Q17 - 1) * 0,35; 0) +
IF(AND(Name = ""Nilah""; P_Q &gt; 0); 0,15 * Self_Crit; 0) +
IF(AND(Name = ""Aphelios""; C_Aph"&amp;"elios_W1 = ""Severum""); 0,021175 + 0,003825 * Self_Level; 0) +
IF(AND(Name = ""K'Sante""; P_R &gt; 0; Steroid_Form); 0,1 + 0,000075 * Self_BoHP; 0)")</f>
        <v>=
IF(Name = "Nasus"; 0,06 + 0,05 * ROUNDUP((Self_Level - 0,5) / 6); 0) +
IF(AND(Name = "Olaf"); (0,08 + 0,17 * Sc_Lin) * (1 - (IF(Self_CHPP&lt;30; 30; Self_CHPP) - 30) / 70); 0) +
IF(AND(Name = "Lee Sin";P_W &gt; 0; Steroid_W); -0,005 + 0,055 * P_W; 0) +
IF(AND(Name = "Aatrox"; P_E &gt; 0);(0,165 + 0,015 * P_E); 0) +
IF(Name = "Kayn";0,2 + 0,1 * Sc_Lin;0) + 
IF(AND(Name = "Senna";Q17 &gt; 1); (Q17 - 1) * 0,35; 0) +
IF(AND(Name = "Nilah"; P_Q &gt; 0); 0,15 * Self_Crit; 0) +
IF(AND(Name = "Aphelios"; C_Aphelios_W1 = "Severum"); 0,021175 + 0,003825 * Self_Level; 0) +
IF(AND(Name = "K'Sante"; P_R &gt; 0; Steroid_Form); 0,1 + 0,000075 * Self_BoHP; 0)</v>
      </c>
      <c r="P19" s="578"/>
      <c r="Q19" s="578"/>
      <c r="R19" s="569"/>
    </row>
    <row r="20" spans="1:18" ht="15" customHeight="1">
      <c r="A20" s="569"/>
      <c r="B20" s="574" t="str">
        <f ca="1">IFERROR(__xludf.DUMMYFUNCTION("""COMPUTED_VALUE"""),"=""Growth""")</f>
        <v>="Growth"</v>
      </c>
      <c r="C20" s="576" t="str">
        <f ca="1">IFERROR(__xludf.DUMMYFUNCTION("""COMPUTED_VALUE"""),"=VLOOKUP(Name; Champs!A2:R200; 14; False)")</f>
        <v>=VLOOKUP(Name; Champs!A2:R200; 14; False)</v>
      </c>
      <c r="D20" s="574"/>
      <c r="E20" s="581"/>
      <c r="F20" s="574" t="str">
        <f ca="1">IFERROR(__xludf.DUMMYFUNCTION("""COMPUTED_VALUE"""),"=""Growth""")</f>
        <v>="Growth"</v>
      </c>
      <c r="G20" s="599" t="str">
        <f ca="1">IFERROR(__xludf.DUMMYFUNCTION("""COMPUTED_VALUE"""),"=VLOOKUP(Name;Champs!A2:R200;5;False)")</f>
        <v>=VLOOKUP(Name;Champs!A2:R200;5;False)</v>
      </c>
      <c r="H20" s="574" t="str">
        <f ca="1">IFERROR(__xludf.DUMMYFUNCTION("""COMPUTED_VALUE"""),"=""Growth""")</f>
        <v>="Growth"</v>
      </c>
      <c r="I20" s="600" t="str">
        <f ca="1">IFERROR(__xludf.DUMMYFUNCTION("""COMPUTED_VALUE"""),"=VLOOKUP(Name;Champs!A2:R200;9;False)")</f>
        <v>=VLOOKUP(Name;Champs!A2:R200;9;False)</v>
      </c>
      <c r="J20" s="574" t="str">
        <f ca="1">IFERROR(__xludf.DUMMYFUNCTION("""COMPUTED_VALUE"""),"=""Growth""")</f>
        <v>="Growth"</v>
      </c>
      <c r="K20" s="221" t="str">
        <f ca="1">IFERROR(__xludf.DUMMYFUNCTION("""COMPUTED_VALUE"""),"=VLOOKUP(Name; Champs!A2:R200; 18; False)")</f>
        <v>=VLOOKUP(Name; Champs!A2:R200; 18; False)</v>
      </c>
      <c r="L20" s="574" t="str">
        <f ca="1">IFERROR(__xludf.DUMMYFUNCTION("""COMPUTED_VALUE"""),"=""3. Reduce: Flat""")</f>
        <v>="3. Reduce: Flat"</v>
      </c>
      <c r="M20" s="221" t="str">
        <f ca="1">IFERROR(__xludf.DUMMYFUNCTION("""COMPUTED_VALUE"""),"=IF(M19-Self_MpenF&lt;0;0;M19-Self_MpenF)")</f>
        <v>=IF(M19-Self_MpenF&lt;0;0;M19-Self_MpenF)</v>
      </c>
      <c r="N20" s="574" t="str">
        <f ca="1">IFERROR(__xludf.DUMMYFUNCTION("""COMPUTED_VALUE"""),"=""On hit""")</f>
        <v>="On hit"</v>
      </c>
      <c r="O20" s="221" t="str">
        <f ca="1">IFERROR(__xludf.DUMMYFUNCTION("""COMPUTED_VALUE"""),"=IF(AND(Name=""Warwick"";Self_CHPP&lt;50);(8+2*Self_Level)*IF(Self_CHPP&lt;25;3;1);0)+
IF(AND(Name=""Elise"";Steroid_Form);4+2*P_R+0,08*Self_AP;0)")</f>
        <v>=IF(AND(Name="Warwick";Self_CHPP&lt;50);(8+2*Self_Level)*IF(Self_CHPP&lt;25;3;1);0)+
IF(AND(Name="Elise";Steroid_Form);4+2*P_R+0,08*Self_AP;0)</v>
      </c>
      <c r="P20" s="583" t="str">
        <f ca="1">IFERROR(__xludf.DUMMYFUNCTION("""COMPUTED_VALUE"""),"=""Crit Chance""")</f>
        <v>="Crit Chance"</v>
      </c>
      <c r="Q20" s="584" t="str">
        <f ca="1">IFERROR(__xludf.DUMMYFUNCTION("""COMPUTED_VALUE"""),"=MIN((IT_Crit+IF(Name=""Senna"";ROUNDDOWN(Minion/20)*0,1;0)+IF(AND(Name=""Tryndamere"";Steroid_P);0,4;0))*IF(OR(Name=""Yasuo"";Name=""Yone"");2,5;1);1)")</f>
        <v>=MIN((IT_Crit+IF(Name="Senna";ROUNDDOWN(Minion/20)*0,1;0)+IF(AND(Name="Tryndamere";Steroid_P);0,4;0))*IF(OR(Name="Yasuo";Name="Yone");2,5;1);1)</v>
      </c>
      <c r="R20" s="569"/>
    </row>
    <row r="21" spans="1:18" ht="15" customHeight="1">
      <c r="A21" s="569"/>
      <c r="B21" s="215" t="str">
        <f ca="1">IFERROR(__xludf.DUMMYFUNCTION("""COMPUTED_VALUE"""),"=""Bonus""")</f>
        <v>="Bonus"</v>
      </c>
      <c r="C21" s="572" t="str">
        <f ca="1">IFERROR(__xludf.DUMMYFUNCTION("""COMPUTED_VALUE"""),"= N_Hex * 0,075 +
IF(B_Ardent; 0,2; 0) +
IF(Name = ""Aphelios""; 0,09 * P_W; 0) +
IF(AND(Name = ""Ashe""; P_Q &gt; 0; Steroid_Q); 0,175 + 0,075 * P_Q; 0) +
IF(Name = ""Bel'Veth""; (Minion + 2 * Kills) * (0,0028 + 0,0072 * Sc_Lin) + IF(Steroid_P; 0,25 + 0,25 "&amp;"+ Sc_Lin;0); 0) + 
IF(AND(Name = ""Blitzcrank"";Steroid_W;P_W &gt; 0); 0,03 * P_W + 0,27; 0) +
IF(AND(Name = ""Camille""; Steroid_E; P_E &gt; 0); 0,35 + 0,05 * P_E; 0) +
IF(Name = ""Diana""; (0,15 + 0,05 * ROUNDDOWN((Self_Level - 1) / 3)) * IF(Steroid_P; 3; 1);"&amp;" 0) +
IF(AND(Name = ""Draven""; Steroid_W; P_W &gt; 0); 0,15 + 0,05 * P_W; 0) +
IF(AND(Name = ""Elise""; Steroid_W; P_W &gt; 0; Steroid_Form); 0,5 + 0,1 * P_W; 0) +
IF(AND(Name = ""Ezreal""; Steroid_P); 0,5; 0) +
IF(AND(Name = ""Gnar""; NOT(Steroid_Form)); 0,05"&amp;"5 + IF(P_E &gt; 0; 0,35 + 0,05 * P_E; 0); 0) +
IF(AND(Name = ""Gwen""; Steroid_E; P_E &gt; 0); 0,15 * P_E + 0,05; 0)+
IF(AND(Name = ""Irelia""; Steroid_P); 0,3 + 0,25 * ROUNDDOWN((Self_Level - 1) / 6); 0) +
IF(AND(Name = ""Jarvan IV""; P_E &gt; 0); (P_E * 0,025 + "&amp;"0,175) * IF(Steroid_E; 2; 1); 0) +
IF(AND(Name = ""Jax""; Steroid_P); (ROUNDDOWN((Self_Level - 1) / 3) * 0,015 + 0,035) * 8; 0) +
IF(AND(Name = ""Jinx""; NOT(Steroid_Q); P_Q &gt; 0); 0,05 + 0,25 * P_Q; 0) +
IF(AND(Name = ""Kai'Sa""; Steroid_E; P_E &gt; 0); 0,3 "&amp;"+ 0,1 * P_E; 0) +
IF(AND(Name = ""Kayle""; OR(Steroid_P; Self_Level &gt; 15)); 0,3 + 0,0004 * Self_AP;0) +
IF(AND(Name = ""Kennen""; Steroid_E; P_E &gt; 0); P_E * 0,1 + 0,3; 0) +
IF(AND(Name = ""Kindred""; Steroid_Q; P_Q &gt; 0); 0,35 + 0,05 * Kills; 0) +
IF(AND(N"&amp;"ame = ""Kled""; Steroid_W; P_W &gt; 0); 1,5; 0) +
IF(AND(Name = ""Kog'Maw""; P_Q &gt; 0); 0,05 + 0,05 * P_Q; 0) +
IF(AND(Name = ""Lee Sin""; Steroid_P); 0,4; 0) +
IF(AND(Name = ""Lulu""; P_W &gt; 0; Steroid_W); 0,225 + 0,025 * P_W; 0) +
IF(AND(Name = ""Master Yi"""&amp;"; Steroid_R; P_R &gt; 0); P_R * 0,1 + 0,15; 0) +
IF(AND(Name = ""Miss Fortune""; P_W &gt; 0; Steroid_W); 0,25 + 0,15 * P_W; 0) +
IF(AND(Name = ""Nidalee""; Steroid_E; P_E &gt; 0; NOT(Steroid_Form)); P_E * 0,1 + 0,1; 0) +
IF(AND(Name = ""Nilah""; P_Q &gt; 0; Steroid_Q"&amp;"); 0,1 + 0,5 * Sc_Lin; 0) + 
IF(AND(Name = ""Nocturne""; P_W &gt; 0; Steroid_W); 0,25 + 0,05 * P_W; 0) +
IF(AND(Name = ""Nunu""; Steroid_P); 0,2; 0) +
IF(Name = ""Olaf""; (0,5 + 0,5 * Sc_Lin) * (1 - (IF(Self_CHPP&lt;30; 30; Self_CHPP) - 30) / 70) + IF(AND(Stero"&amp;"id_W; P_W &gt; 0); 0,1 * P_W + 0,3; 0); 0) +
IF(AND(Name = ""Quinn""; Steroid_W; P_W &gt; 0); 0,2 + 0,08 * P_W; 0) +
IF(AND(Name = ""Qiyana""; P_W &gt; 0; Steroid_W); 0,05 * P_W; 0) +
IF(AND(Name = ""Rumble""; Steroid_P); 0,5 + 0,8 * Sc_Lin; 0) +
IF(AND(Name = ""S"&amp;"amira""; P_E &gt; 0; Steroid_E); 0,15 + 0,05 * P_E; 0) +
IF(AND(Name = ""Sivir""; P_W &gt; 0; Steroid_W); 0,15 + 0,05 * P_W; 0) +
IF(AND(Name = ""Teemo""; Steroid_P); 0,2 + 0,2 * ROUNDDOWN(Self_Level / 5); 0) +
IF(AND(Name = ""Tristana""; P_Q &gt; 0; Steroid_Q); 0"&amp;",5 + 0,15 * P_Q; 0) +
IF(AND(Name = ""Trundle""; Steroid_W;P_W &gt; 0); P_W * 0,2 + 0,1; 0) +
IF(AND(Name = ""Twisted Fate""; P_E &gt; 0); 0,075 * P_E + 0,025; 0) +
IF(AND(Name = ""Twitch""; P_Q &gt; 0; Steroid_Q); 0,35 + 0,05 * P_Q; 0) +
IF(Name = ""Udyr""; IF(St"&amp;"eroid_P; 0,3; 0) + IF(AND(Steroid_Q; P_Q &gt; 0); P_Q * 0,12 + 0,08 + IF(Steroid_Form; 0,2 + 0,5 * Sc_Lin; 0); 0); 0) +
IF(AND(Name = ""Vi""; Steroid_W; P_W &gt; 0); P_W * 0,075 + 0,225; 0) +
IF(AND(Name = ""Volibear""; Steroid_P); 0,25 + 0,002 * Self_AP; 0) +
"&amp;"IF(AND(Name = ""Warwick""; Steroid_W; P_W &gt; 0); (P_W * 0,1 + 0,6) * IF(E_CHP &lt;= 20; 3; 1); 0) +
IF(AND(Name = ""Wukong""; Steroid_E; P_E &gt; 0); P_E * 0,05 + 0,3; 0) +
IF(AND(Name = ""Xayah""; Steroid_W; P_W &gt; 0); 0,3 + 0,05 * P_W; 0) +
IF(AND(Name = ""Xin "&amp;"Zhao""; P_E &gt; 0; Steroid_E); 0,35 + 0,05 * P_E; 0) +
IF(AND(Name = ""Zeri""; P_R &gt; 0; Steroid_R); 0,3; 0) + 
IF(AND(Name = ""Rell""; P_W &gt; 0; Steroid_Form); 0,1 + 0,05 * P_W; 0)")</f>
        <v>= N_Hex * 0,075 +
IF(B_Ardent; 0,2; 0) +
IF(Name = "Aphelios"; 0,09 * P_W; 0) +
IF(AND(Name = "Ashe"; P_Q &gt; 0; Steroid_Q); 0,175 + 0,075 * P_Q; 0) +
IF(Name = "Bel'Veth"; (Minion + 2 * Kills) * (0,0028 + 0,0072 * Sc_Lin) + IF(Steroid_P; 0,25 + 0,25 + Sc_Lin;0); 0) + 
IF(AND(Name = "Blitzcrank";Steroid_W;P_W &gt; 0); 0,03 * P_W + 0,27; 0) +
IF(AND(Name = "Camille"; Steroid_E; P_E &gt; 0); 0,35 + 0,05 * P_E; 0) +
IF(Name = "Diana"; (0,15 + 0,05 * ROUNDDOWN((Self_Level - 1) / 3)) * IF(Steroid_P; 3; 1); 0) +
IF(AND(Name = "Draven"; Steroid_W; P_W &gt; 0); 0,15 + 0,05 * P_W; 0) +
IF(AND(Name = "Elise"; Steroid_W; P_W &gt; 0; Steroid_Form); 0,5 + 0,1 * P_W; 0) +
IF(AND(Name = "Ezreal"; Steroid_P); 0,5; 0) +
IF(AND(Name = "Gnar"; NOT(Steroid_Form)); 0,055 + IF(P_E &gt; 0; 0,35 + 0,05 * P_E; 0); 0) +
IF(AND(Name = "Gwen"; Steroid_E; P_E &gt; 0); 0,15 * P_E + 0,05; 0)+
IF(AND(Name = "Irelia"; Steroid_P); 0,3 + 0,25 * ROUNDDOWN((Self_Level - 1) / 6); 0) +
IF(AND(Name = "Jarvan IV"; P_E &gt; 0); (P_E * 0,025 + 0,175) * IF(Steroid_E; 2; 1); 0) +
IF(AND(Name = "Jax"; Steroid_P); (ROUNDDOWN((Self_Level - 1) / 3) * 0,015 + 0,035) * 8; 0) +
IF(AND(Name = "Jinx"; NOT(Steroid_Q); P_Q &gt; 0); 0,05 + 0,25 * P_Q; 0) +
IF(AND(Name = "Kai'Sa"; Steroid_E; P_E &gt; 0); 0,3 + 0,1 * P_E; 0) +
IF(AND(Name = "Kayle"; OR(Steroid_P; Self_Level &gt; 15)); 0,3 + 0,0004 * Self_AP;0) +
IF(AND(Name = "Kennen"; Steroid_E; P_E &gt; 0); P_E * 0,1 + 0,3; 0) +
IF(AND(Name = "Kindred"; Steroid_Q; P_Q &gt; 0); 0,35 + 0,05 * Kills; 0) +
IF(AND(Name = "Kled"; Steroid_W; P_W &gt; 0); 1,5; 0) +
IF(AND(Name = "Kog'Maw"; P_Q &gt; 0); 0,05 + 0,05 * P_Q; 0) +
IF(AND(Name = "Lee Sin"; Steroid_P); 0,4; 0) +
IF(AND(Name = "Lulu"; P_W &gt; 0; Steroid_W); 0,225 + 0,025 * P_W; 0) +
IF(AND(Name = "Master Yi"; Steroid_R; P_R &gt; 0); P_R * 0,1 + 0,15; 0) +
IF(AND(Name = "Miss Fortune"; P_W &gt; 0; Steroid_W); 0,25 + 0,15 * P_W; 0) +
IF(AND(Name = "Nidalee"; Steroid_E; P_E &gt; 0; NOT(Steroid_Form)); P_E * 0,1 + 0,1; 0) +
IF(AND(Name = "Nilah"; P_Q &gt; 0; Steroid_Q); 0,1 + 0,5 * Sc_Lin; 0) + 
IF(AND(Name = "Nocturne"; P_W &gt; 0; Steroid_W); 0,25 + 0,05 * P_W; 0) +
IF(AND(Name = "Nunu"; Steroid_P); 0,2; 0) +
IF(Name = "Olaf"; (0,5 + 0,5 * Sc_Lin) * (1 - (IF(Self_CHPP&lt;30; 30; Self_CHPP) - 30) / 70) + IF(AND(Steroid_W; P_W &gt; 0); 0,1 * P_W + 0,3; 0); 0) +
IF(AND(Name = "Quinn"; Steroid_W; P_W &gt; 0); 0,2 + 0,08 * P_W; 0) +
IF(AND(Name = "Qiyana"; P_W &gt; 0; Steroid_W); 0,05 * P_W; 0) +
IF(AND(Name = "Rumble"; Steroid_P); 0,5 + 0,8 * Sc_Lin; 0) +
IF(AND(Name = "Samira"; P_E &gt; 0; Steroid_E); 0,15 + 0,05 * P_E; 0) +
IF(AND(Name = "Sivir"; P_W &gt; 0; Steroid_W); 0,15 + 0,05 * P_W; 0) +
IF(AND(Name = "Teemo"; Steroid_P); 0,2 + 0,2 * ROUNDDOWN(Self_Level / 5); 0) +
IF(AND(Name = "Tristana"; P_Q &gt; 0; Steroid_Q); 0,5 + 0,15 * P_Q; 0) +
IF(AND(Name = "Trundle"; Steroid_W;P_W &gt; 0); P_W * 0,2 + 0,1; 0) +
IF(AND(Name = "Twisted Fate"; P_E &gt; 0); 0,075 * P_E + 0,025; 0) +
IF(AND(Name = "Twitch"; P_Q &gt; 0; Steroid_Q); 0,35 + 0,05 * P_Q; 0) +
IF(Name = "Udyr"; IF(Steroid_P; 0,3; 0) + IF(AND(Steroid_Q; P_Q &gt; 0); P_Q * 0,12 + 0,08 + IF(Steroid_Form; 0,2 + 0,5 * Sc_Lin; 0); 0); 0) +
IF(AND(Name = "Vi"; Steroid_W; P_W &gt; 0); P_W * 0,075 + 0,225; 0) +
IF(AND(Name = "Volibear"; Steroid_P); 0,25 + 0,002 * Self_AP; 0) +
IF(AND(Name = "Warwick"; Steroid_W; P_W &gt; 0); (P_W * 0,1 + 0,6) * IF(E_CHP &lt;= 20; 3; 1); 0) +
IF(AND(Name = "Wukong"; Steroid_E; P_E &gt; 0); P_E * 0,05 + 0,3; 0) +
IF(AND(Name = "Xayah"; Steroid_W; P_W &gt; 0); 0,3 + 0,05 * P_W; 0) +
IF(AND(Name = "Xin Zhao"; P_E &gt; 0; Steroid_E); 0,35 + 0,05 * P_E; 0) +
IF(AND(Name = "Zeri"; P_R &gt; 0; Steroid_R); 0,3; 0) + 
IF(AND(Name = "Rell"; P_W &gt; 0; Steroid_Form); 0,1 + 0,05 * P_W; 0)</v>
      </c>
      <c r="D21" s="215" t="str">
        <f ca="1">IFERROR(__xludf.DUMMYFUNCTION("""COMPUTED_VALUE"""),"=""Bonus""")</f>
        <v>="Bonus"</v>
      </c>
      <c r="E21" s="214" t="str">
        <f ca="1">IFERROR(__xludf.DUMMYFUNCTION("""COMPUTED_VALUE"""),"=
IF(AND(Name = ""Udyr""; Steroid_P); 15; 0) +
IF(AND(Name = ""Aatrox""; Steroid_R; P_R &gt; 0); 60 + 60 * P_R; 0) +
IF(AND(Name = ""Singed""; Steroid_R; P_R &gt; 0); 35 * P_R - 5;0) +
IF(AND(Name = ""Bel'Veth"";P_R &gt; 0; Steroid_R); 25 * P_R; 0) +
IF(AND(Name ="&amp;" ""Sivir"";Steroid_P); ROUNDDOWN((Self_Level - 1) / 5) * 5 + 55 + IF(Self_Level = 18; 5; 0); 0) +
IF(AND(Name = ""Rell""; P_E &gt; 0); MIN(2 + 3 * Self_Level + MAX(Self_Level - 6; 0) + MAX(Self_Level - 10; 0); 50); 0) +
IT_FlatMS")</f>
        <v>=
IF(AND(Name = "Udyr"; Steroid_P); 15; 0) +
IF(AND(Name = "Aatrox"; Steroid_R; P_R &gt; 0); 60 + 60 * P_R; 0) +
IF(AND(Name = "Singed"; Steroid_R; P_R &gt; 0); 35 * P_R - 5;0) +
IF(AND(Name = "Bel'Veth";P_R &gt; 0; Steroid_R); 25 * P_R; 0) +
IF(AND(Name = "Sivir";Steroid_P); ROUNDDOWN((Self_Level - 1) / 5) * 5 + 55 + IF(Self_Level = 18; 5; 0); 0) +
IF(AND(Name = "Rell"; P_E &gt; 0); MIN(2 + 3 * Self_Level + MAX(Self_Level - 6; 0) + MAX(Self_Level - 10; 0); 50); 0) +
IT_FlatMS</v>
      </c>
      <c r="F21" s="215" t="str">
        <f ca="1">IFERROR(__xludf.DUMMYFUNCTION("""COMPUTED_VALUE"""),"=""Bonus""")</f>
        <v>="Bonus"</v>
      </c>
      <c r="G21" s="585" t="str">
        <f ca="1">IFERROR(__xludf.DUMMYFUNCTION("""COMPUTED_VALUE"""),"=
IF(AND(Name = ""Singed""; Steroid_R; P_R &gt; 0); 35 * P_R - 5; 0) +
IF(Name = ""Dr, Mundo""; (0,004 + 0,019 * Q3) * Self_MHP; 0) +
IF(AND(Name = ""Dr, Mundo""; Steroid_R; P_R &gt; 0);((P_W * 0,25 + 0,25) * Self_MHP) / 2,4; 0) +
IF(AND(Name = ""Wukong"";Stero"&amp;"id_P); 0,035 * Self_MHP; 0) +
IF(AND(C51; Self_BoHP &gt;= 1100; NOT(B_RecentHit)); 0,25 * Self_MHP; 0) +
IF(Name = ""Garen""; (0,015 + 0,086 * Sc_Lin) * Self_MHP; 0) +
IF(C53; 4 + (8/15) * IF(B_RecentHit; (100 - IF(Self_CHPP &lt; 25; 25; Self_CHPP)) * IF(VLOOKU"&amp;"P(Name; Champs!A2:AE200; 31; FALSE); 1; 2/3); 0); 0) +
IF(B_RecentHit;Runes!P15*0,5;0)+
IF(Name = ""Sett"";(0,25 - IF(ROUNDDOWN((Self_Level - 1) / 5) = 0; 0,1; 0)) * 2 ^ ROUNDDOWN((Self_Level - 1) / 5) * (100 - Self_CHPP) / 5; 0)")</f>
        <v>=
IF(AND(Name = "Singed"; Steroid_R; P_R &gt; 0); 35 * P_R - 5; 0) +
IF(Name = "Dr, Mundo"; (0,004 + 0,019 * Q3) * Self_MHP; 0) +
IF(AND(Name = "Dr, Mundo"; Steroid_R; P_R &gt; 0);((P_W * 0,25 + 0,25) * Self_MHP) / 2,4; 0) +
IF(AND(Name = "Wukong";Steroid_P); 0,035 * Self_MHP; 0) +
IF(AND(C51; Self_BoHP &gt;= 1100; NOT(B_RecentHit)); 0,25 * Self_MHP; 0) +
IF(Name = "Garen"; (0,015 + 0,086 * Sc_Lin) * Self_MHP; 0) +
IF(C53; 4 + (8/15) * IF(B_RecentHit; (100 - IF(Self_CHPP &lt; 25; 25; Self_CHPP)) * IF(VLOOKUP(Name; Champs!A2:AE200; 31; FALSE); 1; 2/3); 0); 0) +
IF(B_RecentHit;Runes!P15*0,5;0)+
IF(Name = "Sett";(0,25 - IF(ROUNDDOWN((Self_Level - 1) / 5) = 0; 0,1; 0)) * 2 ^ ROUNDDOWN((Self_Level - 1) / 5) * (100 - Self_CHPP) / 5; 0)</v>
      </c>
      <c r="H21" s="215" t="str">
        <f ca="1">IFERROR(__xludf.DUMMYFUNCTION("""COMPUTED_VALUE"""),"=""Bonus""")</f>
        <v>="Bonus"</v>
      </c>
      <c r="I21" s="586" t="str">
        <f ca="1">IFERROR(__xludf.DUMMYFUNCTION("""COMPUTED_VALUE"""),"= IF(C62; IF(Steroid_Items; 7,5; 5); 0) + 
IF(AND(Name = ""Singed""; Steroid_R; P_R &gt; 0); 35 * P_R - 5; 0) +
Runes!D10")</f>
        <v>= IF(C62; IF(Steroid_Items; 7,5; 5); 0) + 
IF(AND(Name = "Singed"; Steroid_R; P_R &gt; 0); 35 * P_R - 5; 0) +
Runes!D10</v>
      </c>
      <c r="J21" s="215" t="str">
        <f ca="1">IFERROR(__xludf.DUMMYFUNCTION("""COMPUTED_VALUE"""),"=""Bonus""")</f>
        <v>="Bonus"</v>
      </c>
      <c r="K21" s="585" t="str">
        <f ca="1">IFERROR(__xludf.DUMMYFUNCTION("""COMPUTED_VALUE"""),"=
IF(AND(Name = ""Jax""; Steroid_R; P_R &gt; 0); (-10 + 25 * P_R + 0,4 * Self_BoAD) * 0,6; 0) +
IF(AND(Name = ""Jayce""; Steroid_Form); 5 + 10 * ROUNDDOWN((Self_Level - 1) / 5) + 0,075 * Self_BoAD; 0) +
IF(AND(Name = ""Singed""; Steroid_R; P_R &gt; 0); 35 * P_R"&amp;" - 5; 0) +
IF(AND(Name = ""Orianna""; Steroid_E; P_E &gt; 0); P_E * 6; 0)+
IF(AND(Name = ""Hecarim""; P_W &gt; 0; Steroid_W); 10 + 5 * P_W; 0) + 
IF(AND(Name = ""Gwen""; P_W &gt; 0; Steroid_W); 15 + 2 * P_W + 0,07 * Self_AP; 0)+
IF(AND(Name = ""Poppy""; P_W &gt; 0); "&amp;"IF(Self_CHPP &lt; 40; 0,04; 0,01) * (K17 + K18 + K19 + K20 * Q3) * K23; 0) +
IF(AND(Name = ""Olaf""; P_R &gt; 0); 10 + 10 * P_R; 0) +
IF(AND(Name = ""Sejuani""; Steroid_P); 10 + (K17 + K18) * 0,5 * K23; 0) +
IF(AND(Name=""Nasus"";P_R&gt;0;Steroid_R);25+15*P_R;0)+
"&amp;"IF(AND(Name = ""Braum""; Steroid_W; P_W &gt; 0); P_W * 5 + 15 + 0,36 * (K17 + K18) * K23; 0) +
IF(AND(Name = ""Kennen""; Steroid_R; P_R &gt; 0); P_R * 20; 0) +
IF(AND(Name=""Garen"";P_W&gt;0);IF(0,25*Minion&gt;30;30;0,25*Minion);0)+
IF(AND(Name = ""Leona""; Steroid_W"&amp;"; P_W &gt; 0); 15 + 5 * P_W + 0,2 * (K17 + K18) * K23; 0) +
IF(AND(Name=""Rammus"";Steroid_W;P_W&gt;0); 10 + (0,25 + 0,05 * P_W) * (10 + K24 + (K17 + K18) * K23); 0) +
IF(Name=""Shyvana"";5+5*N_Infernal+5*N_Ocean+5*N_Mountain+5*N_Cloud;0)")</f>
        <v>=
IF(AND(Name = "Jax"; Steroid_R; P_R &gt; 0); (-10 + 25 * P_R + 0,4 * Self_BoAD) * 0,6; 0) +
IF(AND(Name = "Jayce"; Steroid_Form); 5 + 10 * ROUNDDOWN((Self_Level - 1) / 5) + 0,075 * Self_BoAD; 0) +
IF(AND(Name = "Singed"; Steroid_R; P_R &gt; 0); 35 * P_R - 5; 0) +
IF(AND(Name = "Orianna"; Steroid_E; P_E &gt; 0); P_E * 6; 0)+
IF(AND(Name = "Hecarim"; P_W &gt; 0; Steroid_W); 10 + 5 * P_W; 0) + 
IF(AND(Name = "Gwen"; P_W &gt; 0; Steroid_W); 15 + 2 * P_W + 0,07 * Self_AP; 0)+
IF(AND(Name = "Poppy"; P_W &gt; 0); IF(Self_CHPP &lt; 40; 0,04; 0,01) * (K17 + K18 + K19 + K20 * Q3) * K23; 0) +
IF(AND(Name = "Olaf"; P_R &gt; 0); 10 + 10 * P_R; 0) +
IF(AND(Name = "Sejuani"; Steroid_P); 10 + (K17 + K18) * 0,5 * K23; 0) +
IF(AND(Name="Nasus";P_R&gt;0;Steroid_R);25+15*P_R;0)+
IF(AND(Name = "Braum"; Steroid_W; P_W &gt; 0); P_W * 5 + 15 + 0,36 * (K17 + K18) * K23; 0) +
IF(AND(Name = "Kennen"; Steroid_R; P_R &gt; 0); P_R * 20; 0) +
IF(AND(Name="Garen";P_W&gt;0);IF(0,25*Minion&gt;30;30;0,25*Minion);0)+
IF(AND(Name = "Leona"; Steroid_W; P_W &gt; 0); 15 + 5 * P_W + 0,2 * (K17 + K18) * K23; 0) +
IF(AND(Name="Rammus";Steroid_W;P_W&gt;0); 10 + (0,25 + 0,05 * P_W) * (10 + K24 + (K17 + K18) * K23); 0) +
IF(Name="Shyvana";5+5*N_Infernal+5*N_Ocean+5*N_Mountain+5*N_Cloud;0)</v>
      </c>
      <c r="L21" s="215" t="str">
        <f ca="1">IFERROR(__xludf.DUMMYFUNCTION("""COMPUTED_VALUE"""),"=""Magic Resistance Mod""")</f>
        <v>="Magic Resistance Mod"</v>
      </c>
      <c r="M21" s="572" t="str">
        <f ca="1">IFERROR(__xludf.DUMMYFUNCTION("""COMPUTED_VALUE"""),"=1-(M20/(M20+100))")</f>
        <v>=1-(M20/(M20+100))</v>
      </c>
      <c r="N21" s="583" t="str">
        <f ca="1">IFERROR(__xludf.DUMMYFUNCTION("""COMPUTED_VALUE"""),"=""Total""")</f>
        <v>="Total"</v>
      </c>
      <c r="O21" s="584" t="str">
        <f ca="1">IFERROR(__xludf.DUMMYFUNCTION("""COMPUTED_VALUE"""),"=(O17+O18+O19)*O12")</f>
        <v>=(O17+O18+O19)*O12</v>
      </c>
      <c r="P21" s="583" t="str">
        <f ca="1">IFERROR(__xludf.DUMMYFUNCTION("""COMPUTED_VALUE"""),"=""Crit Damage""")</f>
        <v>="Crit Damage"</v>
      </c>
      <c r="Q21" s="584" t="str">
        <f ca="1">IFERROR(__xludf.DUMMYFUNCTION("""COMPUTED_VALUE"""),"=
(1,75+IT_CDMG)*
IF(Name = ""Jhin""; 0,86; 1) *
IF(Name = ""Yasuo""; 0,9; 1) *
IF(Name = ""Graves""; (2 / 3) * IF(Steroid_P; 1,35; 1); 1) *
IF(Name = ""Senna""; 0,9142857; 1) *
IF(Name = ""Yone""; 0,9; 1) *
IF(C69; 0,8; 1)")</f>
        <v>=
(1,75+IT_CDMG)*
IF(Name = "Jhin"; 0,86; 1) *
IF(Name = "Yasuo"; 0,9; 1) *
IF(Name = "Graves"; (2 / 3) * IF(Steroid_P; 1,35; 1); 1) *
IF(Name = "Senna"; 0,9142857; 1) *
IF(Name = "Yone"; 0,9; 1) *
IF(C69; 0,8; 1)</v>
      </c>
      <c r="R21" s="569"/>
    </row>
    <row r="22" spans="1:18" ht="15" customHeight="1">
      <c r="A22" s="569"/>
      <c r="B22" s="574" t="str">
        <f ca="1">IFERROR(__xludf.DUMMYFUNCTION("""COMPUTED_VALUE"""),"=""Bonus multiplier""")</f>
        <v>="Bonus multiplier"</v>
      </c>
      <c r="C22" s="576" t="str">
        <f ca="1">IFERROR(__xludf.DUMMYFUNCTION("""COMPUTED_VALUE"""),"=IF(AND(Name = ""Jinx""; Steroid_Q; P_Q &gt; 0); 0,9; 1) * IF(AND(Name = ""Bel'Veth"";P_R &gt; 0; Steroid_Form); 1,05 + 0,05 * P_R; 1)")</f>
        <v>=IF(AND(Name = "Jinx"; Steroid_Q; P_Q &gt; 0); 0,9; 1) * IF(AND(Name = "Bel'Veth";P_R &gt; 0; Steroid_Form); 1,05 + 0,05 * P_R; 1)</v>
      </c>
      <c r="D22" s="574" t="str">
        <f ca="1">IFERROR(__xludf.DUMMYFUNCTION("""COMPUTED_VALUE"""),"=""Base multiplier""")</f>
        <v>="Base multiplier"</v>
      </c>
      <c r="E22" s="576" t="str">
        <f ca="1">IFERROR(__xludf.DUMMYFUNCTION("""COMPUTED_VALUE"""),"=IF(Runes!K15;1,07;1)")</f>
        <v>=IF(Runes!K15;1,07;1)</v>
      </c>
      <c r="F22" s="574" t="str">
        <f ca="1">IFERROR(__xludf.DUMMYFUNCTION("""COMPUTED_VALUE"""),"=""Base multiplier""")</f>
        <v>="Base multiplier"</v>
      </c>
      <c r="G22" s="576" t="str">
        <f ca="1">IFERROR(__xludf.DUMMYFUNCTION("""COMPUTED_VALUE"""),"=
IF(C52;1,25;1)*
IF(AND(Name=""Trundle"";Steroid_W;P_W&gt;0);1,25;1)*
IF(AND(Name=""Olaf"";Steroid_W;P_W&gt;0);1+0,5*(1-Self_CHPP/100);1)")</f>
        <v>=
IF(C52;1,25;1)*
IF(AND(Name="Trundle";Steroid_W;P_W&gt;0);1,25;1)*
IF(AND(Name="Olaf";Steroid_W;P_W&gt;0);1+0,5*(1-Self_CHPP/100);1)</v>
      </c>
      <c r="H22" s="574" t="str">
        <f ca="1">IFERROR(__xludf.DUMMYFUNCTION("""COMPUTED_VALUE"""),"=""Base multiplier""")</f>
        <v>="Base multiplier"</v>
      </c>
      <c r="I22" s="591" t="str">
        <f ca="1">IFERROR(__xludf.DUMMYFUNCTION("""COMPUTED_VALUE"""),"=100%")</f>
        <v>=100%</v>
      </c>
      <c r="J22" s="574" t="str">
        <f ca="1">IFERROR(__xludf.DUMMYFUNCTION("""COMPUTED_VALUE"""),"=""Base multiplier""")</f>
        <v>="Base multiplier"</v>
      </c>
      <c r="K22" s="576" t="str">
        <f ca="1">IFERROR(__xludf.DUMMYFUNCTION("""COMPUTED_VALUE"""),"=
IF(AND(Name = ""Poppy""; P_W &gt; 0); IF(Self_CHPP &lt; 40; 1,24; 1,12); 1) *
IF(AND(Name = ""Rell""; P_W &gt; 0; Steroid_Form); 1,12; 1) *
IF(Runes!P14&gt;0;1,03;1)*
(1+0,09*N_Mountain)")</f>
        <v>=
IF(AND(Name = "Poppy"; P_W &gt; 0); IF(Self_CHPP &lt; 40; 1,24; 1,12); 1) *
IF(AND(Name = "Rell"; P_W &gt; 0; Steroid_Form); 1,12; 1) *
IF(Runes!P14&gt;0;1,03;1)*
(1+0,09*N_Mountain)</v>
      </c>
      <c r="L22" s="574" t="str">
        <f ca="1">IFERROR(__xludf.DUMMYFUNCTION("""COMPUTED_VALUE"""),"=""Skill / Item Magic Mod""")</f>
        <v>="Skill / Item Magic Mod"</v>
      </c>
      <c r="M22" s="576" t="str">
        <f ca="1">IFERROR(__xludf.DUMMYFUNCTION("""COMPUTED_VALUE"""),"=IT_MOD_Magic *
IF(AND(Name = ""Vladimir""; Steroid_R; P_R &gt; 0); 1,1; 1) * 
IF(E_CHPV &gt; (Self_CHPP / 100) * Self_MHP + 340 + 680 * Sc_Lin; 1 + N_Chem * 0,05; 1)")</f>
        <v>=IT_MOD_Magic *
IF(AND(Name = "Vladimir"; Steroid_R; P_R &gt; 0); 1,1; 1) * 
IF(E_CHPV &gt; (Self_CHPP / 100) * Self_MHP + 340 + 680 * Sc_Lin; 1 + N_Chem * 0,05; 1)</v>
      </c>
      <c r="N22" s="733" t="str">
        <f ca="1">IFERROR(__xludf.DUMMYFUNCTION("""COMPUTED_VALUE"""),"=""// Spellvamp //""")</f>
        <v>="// Spellvamp //"</v>
      </c>
      <c r="O22" s="657"/>
      <c r="P22" s="732" t="str">
        <f ca="1">IFERROR(__xludf.DUMMYFUNCTION("""COMPUTED_VALUE"""),"=""// Ability Haste //""")</f>
        <v>="// Ability Haste //"</v>
      </c>
      <c r="Q22" s="657"/>
      <c r="R22" s="569"/>
    </row>
    <row r="23" spans="1:18" ht="15" customHeight="1">
      <c r="A23" s="569"/>
      <c r="B23" s="215" t="str">
        <f ca="1">IFERROR(__xludf.DUMMYFUNCTION("""COMPUTED_VALUE"""),"=""Total bonus""")</f>
        <v>="Total bonus"</v>
      </c>
      <c r="C23" s="572" t="str">
        <f ca="1">IFERROR(__xludf.DUMMYFUNCTION("""COMPUTED_VALUE"""),"=(C17 + C18 + C21 + IF(Name = ""Jhin""; 0; C20 * Q3)) * C22 + IF(AND(Name = ""Varus""; Steroid_P); 0,4 + 0,4 * (C18 + C17 + C21 + C20 * Q2); 0)")</f>
        <v>=(C17 + C18 + C21 + IF(Name = "Jhin"; 0; C20 * Q3)) * C22 + IF(AND(Name = "Varus"; Steroid_P); 0,4 + 0,4 * (C18 + C17 + C21 + C20 * Q2); 0)</v>
      </c>
      <c r="D23" s="215" t="str">
        <f ca="1">IFERROR(__xludf.DUMMYFUNCTION("""COMPUTED_VALUE"""),"=""Bonus multiplier""")</f>
        <v>="Bonus multiplier"</v>
      </c>
      <c r="E23" s="572" t="str">
        <f ca="1">IFERROR(__xludf.DUMMYFUNCTION("""COMPUTED_VALUE"""),"=(1 + IT_MS + R_MS + N_Cloud * 0,07 +
IF(AND(C45; S_Mejai &gt; 10); 0,1; 0) +
IF(B_Cloud; 0,15 + IF(Steroid_R; 0,3; 0); 0) +
IF(Name = ""Janna""; IF(P_W &gt; 0; 0,05 + 0,01 * P_W + 0,0002 * Self_AP; 1); 0) +
IF(AND(Name = ""Warwick""; Steroid_W; P_W &gt; 0); (P_W "&amp;"* 0,05 + 0,3) * IF(E_CHP &lt;= 0,2; 3; 1); 0) +
IF(AND(Name = ""Teemo""; P_W &gt; 0); (P_W * 0,04 + 0,06) * IF(Steroid_W; 2; 1); 0) +
IF(AND(Name = ""Xayah""; P_W &gt; 0; Steroid_W); 0,3; 0) +
IF(AND(Name = ""Dr, Mundo""; P_R &gt; 0; Steroid_R); 0,05 + 0,1 * P_R;0) +"&amp;"
IF(AND(Name = ""Quinn""; P_W &gt; 0; Steroid_W); 0,15 + 0,05 * P_W; 0) +
IF(AND(Name = ""Nunu""; Steroid_P); 0,1; 0) +
IF(AND(Name = ""Jhin""; Steroid_P); 0,1 + 0,004 * (Self_BoAS * 100); 0) +
IF(AND(Name = ""Pyke""; Steroid_W); 0,35 + 0,05 * P_W + 0,015 * "&amp;"Self_Leth; 0) +
IF(AND(Name = ""Rumble""; Steroid_W; P_W &gt; 0); 0,05 + 0,05 * P_W; 0) +
IF(AND(Name = ""Viktor""; Steroid_Q; P_Q &gt; 0); 0,3; 0) +
IF(AND(Name = ""Twitch""; Steroid_Form; P_Q &gt; 0); 0,1; 0) +
IF(AND(Name = ""Master Yi""; Steroid_R; P_R &gt; 0); P"&amp;"_R * 0,1 + 0,25; 0) +
IF(AND(Name = ""Qiyana""; P_W &gt; 0; Steroid_W); 0,02 * P_W + 0,03; 0) +
IF(AND(Name = ""Shyvana""; P_W &gt; 0; Steroid_W); 0,25 + 0,05 * P_W + 0,0008 * Self_AP; 0) +
IF(AND(Name = ""Kayle""; OR(Steroid_P; Self_Level &gt; 15)); 0,1; 0)) *
IF"&amp;"(AND(Name = ""Quinn""; Steroid_Form; P_R &gt; 0); 1,4 + 0,3 * P_R; 1) *
IF(AND(Name = ""Hecarim""; Steroid_E; P_E &gt; 0); 1,65; 1)")</f>
        <v>=(1 + IT_MS + R_MS + N_Cloud * 0,07 +
IF(AND(C45; S_Mejai &gt; 10); 0,1; 0) +
IF(B_Cloud; 0,15 + IF(Steroid_R; 0,3; 0); 0) +
IF(Name = "Janna"; IF(P_W &gt; 0; 0,05 + 0,01 * P_W + 0,0002 * Self_AP; 1); 0) +
IF(AND(Name = "Warwick"; Steroid_W; P_W &gt; 0); (P_W * 0,05 + 0,3) * IF(E_CHP &lt;= 0,2; 3; 1); 0) +
IF(AND(Name = "Teemo"; P_W &gt; 0); (P_W * 0,04 + 0,06) * IF(Steroid_W; 2; 1); 0) +
IF(AND(Name = "Xayah"; P_W &gt; 0; Steroid_W); 0,3; 0) +
IF(AND(Name = "Dr, Mundo"; P_R &gt; 0; Steroid_R); 0,05 + 0,1 * P_R;0) +
IF(AND(Name = "Quinn"; P_W &gt; 0; Steroid_W); 0,15 + 0,05 * P_W; 0) +
IF(AND(Name = "Nunu"; Steroid_P); 0,1; 0) +
IF(AND(Name = "Jhin"; Steroid_P); 0,1 + 0,004 * (Self_BoAS * 100); 0) +
IF(AND(Name = "Pyke"; Steroid_W); 0,35 + 0,05 * P_W + 0,015 * Self_Leth; 0) +
IF(AND(Name = "Rumble"; Steroid_W; P_W &gt; 0); 0,05 + 0,05 * P_W; 0) +
IF(AND(Name = "Viktor"; Steroid_Q; P_Q &gt; 0); 0,3; 0) +
IF(AND(Name = "Twitch"; Steroid_Form; P_Q &gt; 0); 0,1; 0) +
IF(AND(Name = "Master Yi"; Steroid_R; P_R &gt; 0); P_R * 0,1 + 0,25; 0) +
IF(AND(Name = "Qiyana"; P_W &gt; 0; Steroid_W); 0,02 * P_W + 0,03; 0) +
IF(AND(Name = "Shyvana"; P_W &gt; 0; Steroid_W); 0,25 + 0,05 * P_W + 0,0008 * Self_AP; 0) +
IF(AND(Name = "Kayle"; OR(Steroid_P; Self_Level &gt; 15)); 0,1; 0)) *
IF(AND(Name = "Quinn"; Steroid_Form; P_R &gt; 0); 1,4 + 0,3 * P_R; 1) *
IF(AND(Name = "Hecarim"; Steroid_E; P_E &gt; 0); 1,65; 1)</v>
      </c>
      <c r="F23" s="215" t="str">
        <f ca="1">IFERROR(__xludf.DUMMYFUNCTION("""COMPUTED_VALUE"""),"=""Bonus multiplier""")</f>
        <v>="Bonus multiplier"</v>
      </c>
      <c r="G23" s="572" t="str">
        <f ca="1">IFERROR(__xludf.DUMMYFUNCTION("""COMPUTED_VALUE"""),"=
IF(C52;1,25;1)*
IF(AND(Name=""Trundle"";Steroid_W;P_W&gt;0);1,25;1)*
IF(AND(Name=""Olaf"";Steroid_W;P_W&gt;0);1+0,5*(1-Self_CHPP/100);1)")</f>
        <v>=
IF(C52;1,25;1)*
IF(AND(Name="Trundle";Steroid_W;P_W&gt;0);1,25;1)*
IF(AND(Name="Olaf";Steroid_W;P_W&gt;0);1+0,5*(1-Self_CHPP/100);1)</v>
      </c>
      <c r="H23" s="215" t="str">
        <f ca="1">IFERROR(__xludf.DUMMYFUNCTION("""COMPUTED_VALUE"""),"=""Bonus multiplier""")</f>
        <v>="Bonus multiplier"</v>
      </c>
      <c r="I23" s="572" t="str">
        <f ca="1">IFERROR(__xludf.DUMMYFUNCTION("""COMPUTED_VALUE"""),"=100%")</f>
        <v>=100%</v>
      </c>
      <c r="J23" s="215" t="str">
        <f ca="1">IFERROR(__xludf.DUMMYFUNCTION("""COMPUTED_VALUE"""),"=""Bonus multiplier""")</f>
        <v>="Bonus multiplier"</v>
      </c>
      <c r="K23" s="572" t="str">
        <f ca="1">IFERROR(__xludf.DUMMYFUNCTION("""COMPUTED_VALUE"""),"=
IF(AND(Name = ""Poppy""; P_W &gt; 0); IF(Self_CHPP &lt; 40; 1,24; 1,12); 1) *
IF(C66; 1,2; 1) *
IF(Runes!P14&gt;0;1,03;1)*
IF(AND(Name=""Garen"";P_W&gt;0;Minion&gt;120);1,1;1)*
IF(Name = ""Ornn""; MIN(1,3; 1,1 + IF(Self_Level &gt; 12; (Self_Level - 12) * 0,04)); 1)*
IF(A"&amp;"ND(Name = ""Rell""; P_W &gt; 0; Steroid_Form); 1,12; 1) *
IF(AND(Steroid_Items;C65);1,25;1)*
(1+0,09*N_Mountain)")</f>
        <v>=
IF(AND(Name = "Poppy"; P_W &gt; 0); IF(Self_CHPP &lt; 40; 1,24; 1,12); 1) *
IF(C66; 1,2; 1) *
IF(Runes!P14&gt;0;1,03;1)*
IF(AND(Name="Garen";P_W&gt;0;Minion&gt;120);1,1;1)*
IF(Name = "Ornn"; MIN(1,3; 1,1 + IF(Self_Level &gt; 12; (Self_Level - 12) * 0,04)); 1)*
IF(AND(Name = "Rell"; P_W &gt; 0; Steroid_Form); 1,12; 1) *
IF(AND(Steroid_Items;C65);1,25;1)*
(1+0,09*N_Mountain)</v>
      </c>
      <c r="L23" s="583" t="str">
        <f ca="1">IFERROR(__xludf.DUMMYFUNCTION("""COMPUTED_VALUE"""),"=""Magical Dmg Mod""")</f>
        <v>="Magical Dmg Mod"</v>
      </c>
      <c r="M23" s="584" t="str">
        <f ca="1">IFERROR(__xludf.DUMMYFUNCTION("""COMPUTED_VALUE"""),"=(IF(Interface!N16=""Super Minion"";(2-(100/(100-E_MR)));M21*O4)*M22+IF(C55;0,09;0)) * O5 * Q32")</f>
        <v>=(IF(Interface!N16="Super Minion";(2-(100/(100-E_MR)));M21*O4)*M22+IF(C55;0,09;0)) * O5 * Q32</v>
      </c>
      <c r="N23" s="215" t="str">
        <f ca="1">IFERROR(__xludf.DUMMYFUNCTION("""COMPUTED_VALUE"""),"=""Items""")</f>
        <v>="Items"</v>
      </c>
      <c r="O23" s="572" t="str">
        <f ca="1">IFERROR(__xludf.DUMMYFUNCTION("""COMPUTED_VALUE"""),"=IT_SV")</f>
        <v>=IT_SV</v>
      </c>
      <c r="P23" s="215" t="str">
        <f ca="1">IFERROR(__xludf.DUMMYFUNCTION("""COMPUTED_VALUE"""),"=""Items""")</f>
        <v>="Items"</v>
      </c>
      <c r="Q23" s="572" t="str">
        <f ca="1">IFERROR(__xludf.DUMMYFUNCTION("""COMPUTED_VALUE"""),"=IT_AH + IF(Interface!L29; 0,2; 0)")</f>
        <v>=IT_AH + IF(Interface!L29; 0,2; 0)</v>
      </c>
      <c r="R23" s="569"/>
    </row>
    <row r="24" spans="1:18" ht="15" customHeight="1">
      <c r="A24" s="569"/>
      <c r="B24" s="574" t="str">
        <f ca="1">IFERROR(__xludf.DUMMYFUNCTION("""COMPUTED_VALUE"""),"=""Scaling""")</f>
        <v>="Scaling"</v>
      </c>
      <c r="C24" s="601" t="str">
        <f ca="1">IFERROR(__xludf.DUMMYFUNCTION("""COMPUTED_VALUE"""),"=VLOOKUP(Name; Champs!A2:R200; 13; False)")</f>
        <v>=VLOOKUP(Name; Champs!A2:R200; 13; False)</v>
      </c>
      <c r="D24" s="574" t="str">
        <f ca="1">IFERROR(__xludf.DUMMYFUNCTION("""COMPUTED_VALUE"""),"=""Total bonus""")</f>
        <v>="Total bonus"</v>
      </c>
      <c r="E24" s="217" t="str">
        <f ca="1">IFERROR(__xludf.DUMMYFUNCTION("""COMPUTED_VALUE"""),"=((((E17+E18+E21)*E23)*E22-E17)+E19*(E23-1))*E22+E17")</f>
        <v>=((((E17+E18+E21)*E23)*E22-E17)+E19*(E23-1))*E22+E17</v>
      </c>
      <c r="F24" s="574" t="str">
        <f ca="1">IFERROR(__xludf.DUMMYFUNCTION("""COMPUTED_VALUE"""),"=""Total base""")</f>
        <v>="Total base"</v>
      </c>
      <c r="G24" s="599" t="str">
        <f ca="1">IFERROR(__xludf.DUMMYFUNCTION("""COMPUTED_VALUE"""),"=(G19+G20*Q3)")</f>
        <v>=(G19+G20*Q3)</v>
      </c>
      <c r="H24" s="574" t="str">
        <f ca="1">IFERROR(__xludf.DUMMYFUNCTION("""COMPUTED_VALUE"""),"=""Total base""")</f>
        <v>="Total base"</v>
      </c>
      <c r="I24" s="599" t="str">
        <f ca="1">IFERROR(__xludf.DUMMYFUNCTION("""COMPUTED_VALUE"""),"=(I19+I20*Q3)")</f>
        <v>=(I19+I20*Q3)</v>
      </c>
      <c r="J24" s="574" t="str">
        <f ca="1">IFERROR(__xludf.DUMMYFUNCTION("""COMPUTED_VALUE"""),"=""Total base""")</f>
        <v>="Total base"</v>
      </c>
      <c r="K24" s="221" t="str">
        <f ca="1">IFERROR(__xludf.DUMMYFUNCTION("""COMPUTED_VALUE"""),"=(K19+K20*Q3)*K22")</f>
        <v>=(K19+K20*Q3)*K22</v>
      </c>
      <c r="L24" s="574"/>
      <c r="M24" s="221"/>
      <c r="N24" s="574" t="str">
        <f ca="1">IFERROR(__xludf.DUMMYFUNCTION("""COMPUTED_VALUE"""),"=""Runes""")</f>
        <v>="Runes"</v>
      </c>
      <c r="O24" s="591" t="str">
        <f ca="1">IFERROR(__xludf.DUMMYFUNCTION("""COMPUTED_VALUE"""),"=IF(AND(S_Conq=12;Runes!C5);IF(vlookup(Name;Champs!A2:AE200;31;false);0,06;0,05);0)")</f>
        <v>=IF(AND(S_Conq=12;Runes!C5);IF(vlookup(Name;Champs!A2:AE200;31;false);0,06;0,05);0)</v>
      </c>
      <c r="P24" s="574" t="str">
        <f ca="1">IFERROR(__xludf.DUMMYFUNCTION("""COMPUTED_VALUE"""),"=""Runes""")</f>
        <v>="Runes"</v>
      </c>
      <c r="Q24" s="591" t="str">
        <f ca="1">IFERROR(__xludf.DUMMYFUNCTION("""COMPUTED_VALUE"""),"=R_AH")</f>
        <v>=R_AH</v>
      </c>
      <c r="R24" s="569"/>
    </row>
    <row r="25" spans="1:18" ht="15" customHeight="1">
      <c r="A25" s="569"/>
      <c r="B25" s="215" t="str">
        <f ca="1">IFERROR(__xludf.DUMMYFUNCTION("""COMPUTED_VALUE"""),"=""Cap""")</f>
        <v>="Cap"</v>
      </c>
      <c r="C25" s="573" t="str">
        <f ca="1">IFERROR(__xludf.DUMMYFUNCTION("""COMPUTED_VALUE"""),"=IF(Name = ""Bel'Veth"";10;IF(Name = ""Zeri"";1,5 + IF(AND(Steroid_R;P_R &gt; 0); 0,05 + 0,05 * P_R; 0) ; IF(AND(Name = ""Urgot""; Steroid_W; P_W &gt; 0); 3; IF(Name = ""Jhin""; C19 * (1 + C20 * Q3); IF(Name = ""Graves""; 0,642 + 0,01466 * Q3; IF(OR(AND(Steroid"&amp;"_Runes; OR(Runes!C3; Runes!G5));AND(Name = ""Jinx""; Steroid_P); AND(Name = ""Kennen""; P_E &gt; 0; Steroid_E)); 20; 2,5))))))")</f>
        <v>=IF(Name = "Bel'Veth";10;IF(Name = "Zeri";1,5 + IF(AND(Steroid_R;P_R &gt; 0); 0,05 + 0,05 * P_R; 0) ; IF(AND(Name = "Urgot"; Steroid_W; P_W &gt; 0); 3; IF(Name = "Jhin"; C19 * (1 + C20 * Q3); IF(Name = "Graves"; 0,642 + 0,01466 * Q3; IF(OR(AND(Steroid_Runes; OR(Runes!C3; Runes!G5));AND(Name = "Jinx"; Steroid_P); AND(Name = "Kennen"; P_E &gt; 0; Steroid_E)); 20; 2,5))))))</v>
      </c>
      <c r="D25" s="578" t="str">
        <f ca="1">IFERROR(__xludf.DUMMYFUNCTION("""COMPUTED_VALUE"""),"=""Movespeed above Base""")</f>
        <v>="Movespeed above Base"</v>
      </c>
      <c r="E25" s="602" t="str">
        <f ca="1">IFERROR(__xludf.DUMMYFUNCTION("""COMPUTED_VALUE"""),"=E26 - E19")</f>
        <v>=E26 - E19</v>
      </c>
      <c r="F25" s="215" t="str">
        <f ca="1">IFERROR(__xludf.DUMMYFUNCTION("""COMPUTED_VALUE"""),"=""Total bonus""")</f>
        <v>="Total bonus"</v>
      </c>
      <c r="G25" s="572" t="str">
        <f ca="1">IFERROR(__xludf.DUMMYFUNCTION("""COMPUTED_VALUE"""),"=(G17+G18)*G23")</f>
        <v>=(G17+G18)*G23</v>
      </c>
      <c r="H25" s="215" t="str">
        <f ca="1">IFERROR(__xludf.DUMMYFUNCTION("""COMPUTED_VALUE"""),"=""Total bonus""")</f>
        <v>="Total bonus"</v>
      </c>
      <c r="I25" s="580" t="str">
        <f ca="1">IFERROR(__xludf.DUMMYFUNCTION("""COMPUTED_VALUE"""),"=(I17+I18)*I23")</f>
        <v>=(I17+I18)*I23</v>
      </c>
      <c r="J25" s="215" t="str">
        <f ca="1">IFERROR(__xludf.DUMMYFUNCTION("""COMPUTED_VALUE"""),"=""Total bonus""")</f>
        <v>="Total bonus"</v>
      </c>
      <c r="K25" s="585" t="str">
        <f ca="1">IFERROR(__xludf.DUMMYFUNCTION("""COMPUTED_VALUE"""),"=(K17 + K18 + K21) * K23 * IF(AND(Name = ""K'Sante""; P_R &gt; 0; Steroid_Form); 0,15; 1)")</f>
        <v>=(K17 + K18 + K21) * K23 * IF(AND(Name = "K'Sante"; P_R &gt; 0; Steroid_Form); 0,15; 1)</v>
      </c>
      <c r="L25" s="215"/>
      <c r="M25" s="572"/>
      <c r="N25" s="215" t="str">
        <f ca="1">IFERROR(__xludf.DUMMYFUNCTION("""COMPUTED_VALUE"""),"=""Skills""")</f>
        <v>="Skills"</v>
      </c>
      <c r="O25" s="572" t="str">
        <f ca="1">IFERROR(__xludf.DUMMYFUNCTION("""COMPUTED_VALUE"""),"=
IF(Name = ""Morgana""; 0,18 ; 0) +
IF(AND(Name = ""Lee Sin""; P_W &gt; 0; Steroid_W); 0,005 + 0,045 * P_W; 0) +
IF(AND(Name = ""K'Sante""; P_R &gt; 0; Steroid_Form); 0,1 + 0,000075 * Self_BoHP; 0)")</f>
        <v>=
IF(Name = "Morgana"; 0,18 ; 0) +
IF(AND(Name = "Lee Sin"; P_W &gt; 0; Steroid_W); 0,005 + 0,045 * P_W; 0) +
IF(AND(Name = "K'Sante"; P_R &gt; 0; Steroid_Form); 0,1 + 0,000075 * Self_BoHP; 0)</v>
      </c>
      <c r="P25" s="578" t="str">
        <f ca="1">IFERROR(__xludf.DUMMYFUNCTION("""COMPUTED_VALUE"""),"=""Hextech Dragon""")</f>
        <v>="Hextech Dragon"</v>
      </c>
      <c r="Q25" s="578" t="str">
        <f ca="1">IFERROR(__xludf.DUMMYFUNCTION("""COMPUTED_VALUE"""),"=N_Hex * 0,075")</f>
        <v>=N_Hex * 0,075</v>
      </c>
      <c r="R25" s="569"/>
    </row>
    <row r="26" spans="1:18" ht="15" customHeight="1">
      <c r="A26" s="569"/>
      <c r="B26" s="583" t="str">
        <f ca="1">IFERROR(__xludf.DUMMYFUNCTION("""COMPUTED_VALUE"""),"=""Total""")</f>
        <v>="Total"</v>
      </c>
      <c r="C26" s="603" t="str">
        <f ca="1">IFERROR(__xludf.DUMMYFUNCTION("""COMPUTED_VALUE"""),"=IF(AND(Name = ""Urgot""; Steroid_W; P_W &gt; 0); C25; IF(Name = ""Jhin""; C25; IF(C19 + C24 * C23 &gt; C25; C25; C19 + C24 * C23) * IF(AND(Name = ""Jinx""; Steroid_P); 1,25; 1) * IF(Items!AM54; 0,8; 1)))")</f>
        <v>=IF(AND(Name = "Urgot"; Steroid_W; P_W &gt; 0); C25; IF(Name = "Jhin"; C25; IF(C19 + C24 * C23 &gt; C25; C25; C19 + C24 * C23) * IF(AND(Name = "Jinx"; Steroid_P); 1,25; 1) * IF(Items!AM54; 0,8; 1)))</v>
      </c>
      <c r="D26" s="583" t="str">
        <f ca="1">IFERROR(__xludf.DUMMYFUNCTION("""COMPUTED_VALUE"""),"=""Total""")</f>
        <v>="Total"</v>
      </c>
      <c r="E26" s="604" t="str">
        <f ca="1">IFERROR(__xludf.DUMMYFUNCTION("""COMPUTED_VALUE"""),"=IF(E19+E24&gt;490;(E19+E24)*0,5+230;IF(AND(E19+E24&gt;415;E19+E24&lt;=490);(E19+E24)*0,8+83;E19+E24))")</f>
        <v>=IF(E19+E24&gt;490;(E19+E24)*0,5+230;IF(AND(E19+E24&gt;415;E19+E24&lt;=490);(E19+E24)*0,8+83;E19+E24))</v>
      </c>
      <c r="F26" s="583" t="str">
        <f ca="1">IFERROR(__xludf.DUMMYFUNCTION("""COMPUTED_VALUE"""),"=""Total""")</f>
        <v>="Total"</v>
      </c>
      <c r="G26" s="605" t="str">
        <f ca="1">IFERROR(__xludf.DUMMYFUNCTION("""COMPUTED_VALUE"""),"=G24*G22+G24*G25+G21*G23")</f>
        <v>=G24*G22+G24*G25+G21*G23</v>
      </c>
      <c r="H26" s="583" t="str">
        <f ca="1">IFERROR(__xludf.DUMMYFUNCTION("""COMPUTED_VALUE"""),"=""Total""")</f>
        <v>="Total"</v>
      </c>
      <c r="I26" s="605" t="str">
        <f ca="1">IFERROR(__xludf.DUMMYFUNCTION("""COMPUTED_VALUE"""),"=IF(or(VLOOKUP(Name;Champs!A2:AI200;35;False);VLOOKUP(Name;Champs!A2:AJ200;36;False));I19;I24*I25+I24+I21)")</f>
        <v>=IF(or(VLOOKUP(Name;Champs!A2:AI200;35;False);VLOOKUP(Name;Champs!A2:AJ200;36;False));I19;I24*I25+I24+I21)</v>
      </c>
      <c r="J26" s="583" t="str">
        <f ca="1">IFERROR(__xludf.DUMMYFUNCTION("""COMPUTED_VALUE"""),"=""Total""")</f>
        <v>="Total"</v>
      </c>
      <c r="K26" s="595" t="str">
        <f ca="1">IFERROR(__xludf.DUMMYFUNCTION("""COMPUTED_VALUE"""),"=K25 + K24 + IF(AND(Runes!O3;Steroid_Runes); IF(35 + 0,8 * K25 &gt; 80 + 70 * Sc_Lin;80 + 70 * Sc_Lin; 35 + 0,8 * K25); 0)")</f>
        <v>=K25 + K24 + IF(AND(Runes!O3;Steroid_Runes); IF(35 + 0,8 * K25 &gt; 80 + 70 * Sc_Lin;80 + 70 * Sc_Lin; 35 + 0,8 * K25); 0)</v>
      </c>
      <c r="L26" s="581"/>
      <c r="M26" s="606"/>
      <c r="N26" s="583" t="str">
        <f ca="1">IFERROR(__xludf.DUMMYFUNCTION("""COMPUTED_VALUE"""),"=""Total""")</f>
        <v>="Total"</v>
      </c>
      <c r="O26" s="594" t="str">
        <f ca="1">IFERROR(__xludf.DUMMYFUNCTION("""COMPUTED_VALUE"""),"=(O23+O24+O25)*O12")</f>
        <v>=(O23+O24+O25)*O12</v>
      </c>
      <c r="P26" s="607" t="str">
        <f ca="1">IFERROR(__xludf.DUMMYFUNCTION("""COMPUTED_VALUE"""),"=""Total""")</f>
        <v>="Total"</v>
      </c>
      <c r="Q26" s="594" t="str">
        <f ca="1">IFERROR(__xludf.DUMMYFUNCTION("""COMPUTED_VALUE"""),"=(Q23 + Q24 + Q25) * IF(C56; 1,12; 1)")</f>
        <v>=(Q23 + Q24 + Q25) * IF(C56; 1,12; 1)</v>
      </c>
      <c r="R26" s="569"/>
    </row>
    <row r="27" spans="1:18" ht="15" customHeight="1">
      <c r="A27" s="569"/>
      <c r="B27" s="569"/>
      <c r="C27" s="569"/>
      <c r="D27" s="569"/>
      <c r="E27" s="569"/>
      <c r="F27" s="569"/>
      <c r="G27" s="569"/>
      <c r="H27" s="569"/>
      <c r="I27" s="569"/>
      <c r="J27" s="569"/>
      <c r="K27" s="569"/>
      <c r="L27" s="569"/>
      <c r="M27" s="569"/>
      <c r="N27" s="569"/>
      <c r="O27" s="569"/>
      <c r="P27" s="569"/>
      <c r="Q27" s="569"/>
      <c r="R27" s="569"/>
    </row>
    <row r="28" spans="1:18" ht="15" customHeight="1">
      <c r="A28" s="569"/>
      <c r="B28" s="733" t="str">
        <f ca="1">IFERROR(__xludf.DUMMYFUNCTION("""COMPUTED_VALUE"""),"=""// Armor Pen //""")</f>
        <v>="// Armor Pen //"</v>
      </c>
      <c r="C28" s="657"/>
      <c r="D28" s="732" t="str">
        <f ca="1">IFERROR(__xludf.DUMMYFUNCTION("""COMPUTED_VALUE"""),"=""// On Hit //""")</f>
        <v>="// On Hit //"</v>
      </c>
      <c r="E28" s="657"/>
      <c r="F28" s="733" t="str">
        <f ca="1">IFERROR(__xludf.DUMMYFUNCTION("""COMPUTED_VALUE"""),"=""// DPS Calculation //""")</f>
        <v>="// DPS Calculation //"</v>
      </c>
      <c r="G28" s="657"/>
      <c r="H28" s="732" t="str">
        <f ca="1">IFERROR(__xludf.DUMMYFUNCTION("""COMPUTED_VALUE"""),"=""// Champions //""")</f>
        <v>="// Champions //"</v>
      </c>
      <c r="I28" s="657"/>
      <c r="J28" s="733" t="str">
        <f ca="1">IFERROR(__xludf.DUMMYFUNCTION("""COMPUTED_VALUE"""),"=""// Skills //""")</f>
        <v>="// Skills //"</v>
      </c>
      <c r="K28" s="657"/>
      <c r="L28" s="732" t="str">
        <f ca="1">IFERROR(__xludf.DUMMYFUNCTION("""COMPUTED_VALUE"""),"=""// Runes //""")</f>
        <v>="// Runes //"</v>
      </c>
      <c r="M28" s="657"/>
      <c r="N28" s="733" t="str">
        <f ca="1">IFERROR(__xludf.DUMMYFUNCTION("""COMPUTED_VALUE"""),"=""// Items and neutrals //""")</f>
        <v>="// Items and neutrals //"</v>
      </c>
      <c r="O28" s="657"/>
      <c r="P28" s="657"/>
      <c r="Q28" s="657"/>
      <c r="R28" s="569"/>
    </row>
    <row r="29" spans="1:18" ht="15" customHeight="1">
      <c r="A29" s="569"/>
      <c r="B29" s="215" t="str">
        <f ca="1">IFERROR(__xludf.DUMMYFUNCTION("""COMPUTED_VALUE"""),"=""Items""")</f>
        <v>="Items"</v>
      </c>
      <c r="C29" s="214" t="str">
        <f ca="1">IFERROR(__xludf.DUMMYFUNCTION("""COMPUTED_VALUE"""),"=IT_Leth")</f>
        <v>=IT_Leth</v>
      </c>
      <c r="D29" s="215" t="str">
        <f ca="1">IFERROR(__xludf.DUMMYFUNCTION("""COMPUTED_VALUE"""),"=""Items""")</f>
        <v>="Items"</v>
      </c>
      <c r="E29" s="214" t="str">
        <f ca="1">IFERROR(__xludf.DUMMYFUNCTION("""COMPUTED_VALUE"""),"=IT_OH_Phys")</f>
        <v>=IT_OH_Phys</v>
      </c>
      <c r="F29" s="608" t="str">
        <f ca="1">IFERROR(__xludf.DUMMYFUNCTION("""COMPUTED_VALUE"""),"=""Hit damage""")</f>
        <v>="Hit damage"</v>
      </c>
      <c r="G29" s="219" t="str">
        <f ca="1">IFERROR(__xludf.DUMMYFUNCTION("""COMPUTED_VALUE"""),"=IF(Name = ""Zeri""; IF(Steroid_P; 90 + 110 * Sc_Lin * (Q3 / IF((Self_Level - 1) = 0; 1; (Self_Level - 1))) + 1,1 * Self_AP + (0,01 + 0,14 * Sc_Lin * Q3) * E_MHP; (10 + 15 * Sc_Lin * (Q3 / IF((Self_Level - 1) = 0; 1; (Self_Level - 1))) + 0,03 * Self_AP) *"&amp;" IF(E_CHP &lt;= 35; 5; 1)) * MOD_Magic ; IF(Name = ""Corki""; (0,2 * MOD_Hit + 0,8 * MOD_Magic * M11) * Self_AD; IF(AND(Name = ""Urgot""; P_W &gt; 0; Steroid_W); Champs!$V$134; IF(Name = ""Yone""; (0,75 * MOD_Hit + 0,25 * MOD_Magic *M11) * Self_AD; Self_AD * MO"&amp;"D_Hit))) + 
IF(NOT(AND(Name = ""Urgot""; P_W &gt; 0; Steroid_W)); IF(Name = ""Akshan""; 2; 1) * (OH_Phys + OH_Magic + OH_True); 0) +
IF(Name = ""Senna""; 0,2 * Self_AD; 0) * MOD_Phys)")</f>
        <v>=IF(Name = "Zeri"; IF(Steroid_P; 90 + 110 * Sc_Lin * (Q3 / IF((Self_Level - 1) = 0; 1; (Self_Level - 1))) + 1,1 * Self_AP + (0,01 + 0,14 * Sc_Lin * Q3) * E_MHP; (10 + 15 * Sc_Lin * (Q3 / IF((Self_Level - 1) = 0; 1; (Self_Level - 1))) + 0,03 * Self_AP) * IF(E_CHP &lt;= 35; 5; 1)) * MOD_Magic ; IF(Name = "Corki"; (0,2 * MOD_Hit + 0,8 * MOD_Magic * M11) * Self_AD; IF(AND(Name = "Urgot"; P_W &gt; 0; Steroid_W); Champs!$V$134; IF(Name = "Yone"; (0,75 * MOD_Hit + 0,25 * MOD_Magic *M11) * Self_AD; Self_AD * MOD_Hit))) + 
IF(NOT(AND(Name = "Urgot"; P_W &gt; 0; Steroid_W)); IF(Name = "Akshan"; 2; 1) * (OH_Phys + OH_Magic + OH_True); 0) +
IF(Name = "Senna"; 0,2 * Self_AD; 0) * MOD_Phys)</v>
      </c>
      <c r="H29" s="215" t="str">
        <f ca="1">IFERROR(__xludf.DUMMYFUNCTION("""COMPUTED_VALUE"""),"=""Mundo HP Value""")</f>
        <v>="Mundo HP Value"</v>
      </c>
      <c r="I29" s="586" t="str">
        <f ca="1">IFERROR(__xludf.DUMMYFUNCTION("""COMPUTED_VALUE"""),"=((G3+G4)*G9+G8*G10 + G10) * (1-Self_CHPP/100)")</f>
        <v>=((G3+G4)*G9+G8*G10 + G10) * (1-Self_CHPP/100)</v>
      </c>
      <c r="J29" s="128" t="str">
        <f ca="1">IFERROR(__xludf.DUMMYFUNCTION("""COMPUTED_VALUE"""),"=""Q Damage""")</f>
        <v>="Q Damage"</v>
      </c>
      <c r="K29" s="219" t="str">
        <f ca="1">IFERROR(__xludf.DUMMYFUNCTION("""COMPUTED_VALUE"""),"=IF(AND(OR(P_Q &gt; 0; Name = ""Aphelios""); NOT(Name = ""Ashe""); VLOOKUP(Name; Champs!A2:Y200; 21; False) &gt; 0); VLOOKUP(Name; Champs!A2:Y200; 21; False) + O33; 0) * O35 * O36")</f>
        <v>=IF(AND(OR(P_Q &gt; 0; Name = "Aphelios"); NOT(Name = "Ashe"); VLOOKUP(Name; Champs!A2:Y200; 21; False) &gt; 0); VLOOKUP(Name; Champs!A2:Y200; 21; False) + O33; 0) * O35 * O36</v>
      </c>
      <c r="L29" s="128" t="str">
        <f ca="1">IFERROR(__xludf.DUMMYFUNCTION("""COMPUTED_VALUE"""),"=""Total rune proc""")</f>
        <v>="Total rune proc"</v>
      </c>
      <c r="M29" s="219" t="str">
        <f ca="1">IFERROR(__xludf.DUMMYFUNCTION("""COMPUTED_VALUE"""),"=Runes!D2+Runes!H2+Runes!H3+Runes!H4+Runes!L3+Runes!L2+Runes!P2+Runes!P3+Runes!L20+Runes!H8")</f>
        <v>=Runes!D2+Runes!H2+Runes!H3+Runes!H4+Runes!L3+Runes!L2+Runes!P2+Runes!P3+Runes!L20+Runes!H8</v>
      </c>
      <c r="N29" s="128" t="str">
        <f ca="1">IFERROR(__xludf.DUMMYFUNCTION("""COMPUTED_VALUE"""),"=""Item physical proc""")</f>
        <v>="Item physical proc"</v>
      </c>
      <c r="O29" s="214" t="str">
        <f ca="1">IFERROR(__xludf.DUMMYFUNCTION("""COMPUTED_VALUE"""),"=IT_Proc_Phys")</f>
        <v>=IT_Proc_Phys</v>
      </c>
      <c r="P29" s="215" t="str">
        <f ca="1">IFERROR(__xludf.DUMMYFUNCTION("""COMPUTED_VALUE"""),"=""Baron""")</f>
        <v>="Baron"</v>
      </c>
      <c r="Q29" s="585" t="str">
        <f ca="1">IFERROR(__xludf.DUMMYFUNCTION("""COMPUTED_VALUE"""),"=IF(Interface!$I$27;IF(Gametime &gt;= 20; 12 + (36/10) * ROUNDDOWN((IF(Gametime &gt;= 40; 40; Gametime) - 20) / 2); 12); 0)")</f>
        <v>=IF(Interface!$I$27;IF(Gametime &gt;= 20; 12 + (36/10) * ROUNDDOWN((IF(Gametime &gt;= 40; 40; Gametime) - 20) / 2); 12); 0)</v>
      </c>
      <c r="R29" s="569"/>
    </row>
    <row r="30" spans="1:18" ht="15" customHeight="1">
      <c r="A30" s="569"/>
      <c r="B30" s="574" t="str">
        <f ca="1">IFERROR(__xludf.DUMMYFUNCTION("""COMPUTED_VALUE"""),"=""Runes""")</f>
        <v>="Runes"</v>
      </c>
      <c r="C30" s="221" t="str">
        <f ca="1">IFERROR(__xludf.DUMMYFUNCTION("""COMPUTED_VALUE"""),"=Runes!H10")</f>
        <v>=Runes!H10</v>
      </c>
      <c r="D30" s="574" t="str">
        <f ca="1">IFERROR(__xludf.DUMMYFUNCTION("""COMPUTED_VALUE"""),"=""Runes""")</f>
        <v>="Runes"</v>
      </c>
      <c r="E30" s="221" t="str">
        <f ca="1">IFERROR(__xludf.DUMMYFUNCTION("""COMPUTED_VALUE"""),"=0")</f>
        <v>=0</v>
      </c>
      <c r="F30" s="218" t="str">
        <f ca="1">IFERROR(__xludf.DUMMYFUNCTION("""COMPUTED_VALUE"""),"=""Average auto attack""")</f>
        <v>="Average auto attack"</v>
      </c>
      <c r="G30" s="221" t="str">
        <f ca="1">IFERROR(__xludf.DUMMYFUNCTION("""COMPUTED_VALUE"""),"=IF(OR(C47; Name = ""Zeri"");Self_HitDmg;Self_HitDmg*(1+Self_Crit*(Self_CritDMG-1)))")</f>
        <v>=IF(OR(C47; Name = "Zeri");Self_HitDmg;Self_HitDmg*(1+Self_Crit*(Self_CritDMG-1)))</v>
      </c>
      <c r="H30" s="574" t="str">
        <f ca="1">IFERROR(__xludf.DUMMYFUNCTION("""COMPUTED_VALUE"""),"=""Vladimir bonues health""")</f>
        <v>="Vladimir bonues health"</v>
      </c>
      <c r="I30" s="221" t="str">
        <f ca="1">IFERROR(__xludf.DUMMYFUNCTION("""COMPUTED_VALUE"""),"=(G3+G4)*G9")</f>
        <v>=(G3+G4)*G9</v>
      </c>
      <c r="J30" s="218" t="str">
        <f ca="1">IFERROR(__xludf.DUMMYFUNCTION("""COMPUTED_VALUE"""),"=""W Damage""")</f>
        <v>="W Damage"</v>
      </c>
      <c r="K30" s="609" t="str">
        <f ca="1">IFERROR(__xludf.DUMMYFUNCTION("""COMPUTED_VALUE"""),"=IF(AND(P_W &gt; 0; VLOOKUP(Name; Champs!A2:Y200; 22; False) &gt; 0); VLOOKUP(Name; Champs!A2:Y200; 22; False) + O33; 0) * O35 * O36")</f>
        <v>=IF(AND(P_W &gt; 0; VLOOKUP(Name; Champs!A2:Y200; 22; False) &gt; 0); VLOOKUP(Name; Champs!A2:Y200; 22; False) + O33; 0) * O35 * O36</v>
      </c>
      <c r="L30" s="574" t="str">
        <f ca="1">IFERROR(__xludf.DUMMYFUNCTION("""COMPUTED_VALUE"""),"=""Physical for PTA""")</f>
        <v>="Physical for PTA"</v>
      </c>
      <c r="M30" s="576" t="str">
        <f ca="1">IFERROR(__xludf.DUMMYFUNCTION("""COMPUTED_VALUE"""),"=(M7*M8*R_MOD)")</f>
        <v>=(M7*M8*R_MOD)</v>
      </c>
      <c r="N30" s="574" t="str">
        <f ca="1">IFERROR(__xludf.DUMMYFUNCTION("""COMPUTED_VALUE"""),"=""Item magical proc""")</f>
        <v>="Item magical proc"</v>
      </c>
      <c r="O30" s="217" t="str">
        <f ca="1">IFERROR(__xludf.DUMMYFUNCTION("""COMPUTED_VALUE"""),"=IT_Proc_Magic + IT_Proc_Energy")</f>
        <v>=IT_Proc_Magic + IT_Proc_Energy</v>
      </c>
      <c r="P30" s="218" t="str">
        <f ca="1">IFERROR(__xludf.DUMMYFUNCTION("""COMPUTED_VALUE"""),"=""Dragon Soul""")</f>
        <v>="Dragon Soul"</v>
      </c>
      <c r="Q30" s="575" t="str">
        <f ca="1">IFERROR(__xludf.DUMMYFUNCTION("""COMPUTED_VALUE"""),"=IF(B_Infernal;(70 + 0,18 * Self_BoAD + 0,12 * Self_AP + 0,02 * Self_BoHP);0) * IF(ForceBit;MOD_Phys;MOD_Magic) + IF(B_Hex;25 + 25 * Sc_Lin;0)")</f>
        <v>=IF(B_Infernal;(70 + 0,18 * Self_BoAD + 0,12 * Self_AP + 0,02 * Self_BoHP);0) * IF(ForceBit;MOD_Phys;MOD_Magic) + IF(B_Hex;25 + 25 * Sc_Lin;0)</v>
      </c>
      <c r="R30" s="569"/>
    </row>
    <row r="31" spans="1:18" ht="15" customHeight="1">
      <c r="A31" s="569"/>
      <c r="B31" s="215" t="str">
        <f ca="1">IFERROR(__xludf.DUMMYFUNCTION("""COMPUTED_VALUE"""),"=""Lethality""")</f>
        <v>="Lethality"</v>
      </c>
      <c r="C31" s="214" t="str">
        <f ca="1">IFERROR(__xludf.DUMMYFUNCTION("""COMPUTED_VALUE"""),"=C29 + C30 + IF(Name = ""Aphelios""; 5,5 * P_E; 0)")</f>
        <v>=C29 + C30 + IF(Name = "Aphelios"; 5,5 * P_E; 0)</v>
      </c>
      <c r="D31" s="215" t="str">
        <f ca="1">IFERROR(__xludf.DUMMYFUNCTION("""COMPUTED_VALUE"""),"=""Passives""")</f>
        <v>="Passives"</v>
      </c>
      <c r="E31" s="214" t="str">
        <f ca="1">IFERROR(__xludf.DUMMYFUNCTION("""COMPUTED_VALUE"""),"=IF(AND(Name = ""Viego""; P_Q &gt; 0); (0,01 + 0,01 * P_Q) * E_CHPV; 0)")</f>
        <v>=IF(AND(Name = "Viego"; P_Q &gt; 0); (0,01 + 0,01 * P_Q) * E_CHPV; 0)</v>
      </c>
      <c r="F31" s="215" t="str">
        <f ca="1">IFERROR(__xludf.DUMMYFUNCTION("""COMPUTED_VALUE"""),"=""Critcal strike""")</f>
        <v>="Critcal strike"</v>
      </c>
      <c r="G31" s="214" t="str">
        <f ca="1">IFERROR(__xludf.DUMMYFUNCTION("""COMPUTED_VALUE"""),"=IF(OR(AND(C47;NOT(Name=""Ashe"")); Name = ""Zeri"");Self_HitDmg;IF(Name=""Ashe"";IF(C47;0;Self_AD*(M10-1)*(MOD_Hit/M10));IF(AND(Name=""Urgot"";Steroid_W;P_W&gt;0);Champs!$V$134;Self_AD*MOD_Hit*Self_CritDMG+OH_Magic+OH_Phys+OH_True+IF(Name=""Senna"";0,2*Self"&amp;"_AD;0)*MOD_Heal)))")</f>
        <v>=IF(OR(AND(C47;NOT(Name="Ashe")); Name = "Zeri");Self_HitDmg;IF(Name="Ashe";IF(C47;0;Self_AD*(M10-1)*(MOD_Hit/M10));IF(AND(Name="Urgot";Steroid_W;P_W&gt;0);Champs!$V$134;Self_AD*MOD_Hit*Self_CritDMG+OH_Magic+OH_Phys+OH_True+IF(Name="Senna";0,2*Self_AD;0)*MOD_Heal)))</v>
      </c>
      <c r="H31" s="215" t="str">
        <f ca="1">IFERROR(__xludf.DUMMYFUNCTION("""COMPUTED_VALUE"""),"=""Ryze mana""")</f>
        <v>="Ryze mana"</v>
      </c>
      <c r="I31" s="219" t="str">
        <f ca="1">IFERROR(__xludf.DUMMYFUNCTION("""COMPUTED_VALUE"""),"=IF(I6=0;I5;I10+I11)")</f>
        <v>=IF(I6=0;I5;I10+I11)</v>
      </c>
      <c r="J31" s="128" t="str">
        <f ca="1">IFERROR(__xludf.DUMMYFUNCTION("""COMPUTED_VALUE"""),"=""E Damage""")</f>
        <v>="E Damage"</v>
      </c>
      <c r="K31" s="572" t="str">
        <f ca="1">IFERROR(__xludf.DUMMYFUNCTION("""COMPUTED_VALUE"""),"=IF(AND(P_E &gt; 0; VLOOKUP(Name; Champs!A2:Y200; 23; False) &gt; 0); VLOOKUP(Name; Champs!A2:Y200; 23; False) + O33; 0) * O35 * O36")</f>
        <v>=IF(AND(P_E &gt; 0; VLOOKUP(Name; Champs!A2:Y200; 23; False) &gt; 0); VLOOKUP(Name; Champs!A2:Y200; 23; False) + O33; 0) * O35 * O36</v>
      </c>
      <c r="L31" s="215" t="str">
        <f ca="1">IFERROR(__xludf.DUMMYFUNCTION("""COMPUTED_VALUE"""),"=""Magical for PTA""")</f>
        <v>="Magical for PTA"</v>
      </c>
      <c r="M31" s="572" t="str">
        <f ca="1">IFERROR(__xludf.DUMMYFUNCTION("""COMPUTED_VALUE"""),"=(M22*M21*R_MOD)")</f>
        <v>=(M22*M21*R_MOD)</v>
      </c>
      <c r="N31" s="578" t="str">
        <f ca="1">IFERROR(__xludf.DUMMYFUNCTION("""COMPUTED_VALUE"""),"=""Sheen""")</f>
        <v>="Sheen"</v>
      </c>
      <c r="O31" s="219" t="str">
        <f ca="1">IFERROR(__xludf.DUMMYFUNCTION("""COMPUTED_VALUE"""),"=IT_Proc_Phys")</f>
        <v>=IT_Proc_Phys</v>
      </c>
      <c r="P31" s="578" t="str">
        <f ca="1">IFERROR(__xludf.DUMMYFUNCTION("""COMPUTED_VALUE"""),"=""Minion Updates""")</f>
        <v>="Minion Updates"</v>
      </c>
      <c r="Q31" s="585" t="str">
        <f ca="1">IFERROR(__xludf.DUMMYFUNCTION("""COMPUTED_VALUE"""),"=ROUNDDOWN(Gametime*(6/9))")</f>
        <v>=ROUNDDOWN(Gametime*(6/9))</v>
      </c>
      <c r="R31" s="569"/>
    </row>
    <row r="32" spans="1:18" ht="15" customHeight="1">
      <c r="A32" s="569"/>
      <c r="B32" s="583" t="str">
        <f ca="1">IFERROR(__xludf.DUMMYFUNCTION("""COMPUTED_VALUE"""),"=""Armorpen Flat""")</f>
        <v>="Armorpen Flat"</v>
      </c>
      <c r="C32" s="595" t="str">
        <f ca="1">IFERROR(__xludf.DUMMYFUNCTION("""COMPUTED_VALUE"""),"=C31*Q6")</f>
        <v>=C31*Q6</v>
      </c>
      <c r="D32" s="574" t="str">
        <f ca="1">IFERROR(__xludf.DUMMYFUNCTION("""COMPUTED_VALUE"""),"=""Actives""")</f>
        <v>="Actives"</v>
      </c>
      <c r="E32" s="221" t="str">
        <f ca="1">IFERROR(__xludf.DUMMYFUNCTION("""COMPUTED_VALUE"""),"=IF(AND(Name = ""Malphite""; P_W &gt; 0; Steroid_W); 5 + 10 * P_W + 0,2 * Self_AP + 0,15 * Self_AR; 0) + 
IF(AND(Name = ""Udyr""; P_Q &gt; 0; Steroid_Q); 1 + 4 * P_Q + 0,3 * Self_BoAD; 0)")</f>
        <v>=IF(AND(Name = "Malphite"; P_W &gt; 0; Steroid_W); 5 + 10 * P_W + 0,2 * Self_AP + 0,15 * Self_AR; 0) + 
IF(AND(Name = "Udyr"; P_Q &gt; 0; Steroid_Q); 1 + 4 * P_Q + 0,3 * Self_BoAD; 0)</v>
      </c>
      <c r="F32" s="581"/>
      <c r="G32" s="590"/>
      <c r="H32" s="574" t="str">
        <f ca="1">IFERROR(__xludf.DUMMYFUNCTION("""COMPUTED_VALUE"""),"=""Gangplank E MOD""")</f>
        <v>="Gangplank E MOD"</v>
      </c>
      <c r="I32" s="591" t="str">
        <f ca="1">IFERROR(__xludf.DUMMYFUNCTION("""COMPUTED_VALUE"""),"=((1-(IF((M5*0,6)-Self_APenF&lt;0;0;(M5*0,6)-Self_APenF)/(IF((M5*0,6)-Self_APenF&lt;0;0;(M5*0,6)-Self_APenF)+100)))*M8*O4)+IF(C55;0,09;0)")</f>
        <v>=((1-(IF((M5*0,6)-Self_APenF&lt;0;0;(M5*0,6)-Self_APenF)/(IF((M5*0,6)-Self_APenF&lt;0;0;(M5*0,6)-Self_APenF)+100)))*M8*O4)+IF(C55;0,09;0)</v>
      </c>
      <c r="J32" s="218" t="str">
        <f ca="1">IFERROR(__xludf.DUMMYFUNCTION("""COMPUTED_VALUE"""),"=""R Damage""")</f>
        <v>="R Damage"</v>
      </c>
      <c r="K32" s="221" t="str">
        <f ca="1">IFERROR(__xludf.DUMMYFUNCTION("""COMPUTED_VALUE"""),"=IF(AND(OR(P_R &gt; 0; AND(Name = ""Aphelios""; Self_Level &gt; 5)); VLOOKUP(Name; Champs!A2:Y200; 24; False) &gt; 0); VLOOKUP(Name; Champs!A2:Y200; 24; False) + O33; 0) * O35 * O36")</f>
        <v>=IF(AND(OR(P_R &gt; 0; AND(Name = "Aphelios"; Self_Level &gt; 5)); VLOOKUP(Name; Champs!A2:Y200; 24; False) &gt; 0); VLOOKUP(Name; Champs!A2:Y200; 24; False) + O33; 0) * O35 * O36</v>
      </c>
      <c r="L32" s="581" t="str">
        <f ca="1">IFERROR(__xludf.DUMMYFUNCTION("""COMPUTED_VALUE"""),"=""Summoner damage""")</f>
        <v>="Summoner damage"</v>
      </c>
      <c r="M32" s="590" t="str">
        <f ca="1">IFERROR(__xludf.DUMMYFUNCTION("""COMPUTED_VALUE"""),"=IF(Interface!$O$4 = ""Ignite""; Q76; IF(Interface!$O$4 = ""Blue Smite""; Q77; IF(Interface!$O$4 = ""Red Smite""; Q78; 0)))")</f>
        <v>=IF(Interface!$O$4 = "Ignite"; Q76; IF(Interface!$O$4 = "Blue Smite"; Q77; IF(Interface!$O$4 = "Red Smite"; Q78; 0)))</v>
      </c>
      <c r="N32" s="574" t="str">
        <f ca="1">IFERROR(__xludf.DUMMYFUNCTION("""COMPUTED_VALUE"""),"=""Total proc""")</f>
        <v>="Total proc"</v>
      </c>
      <c r="O32" s="221" t="str">
        <f ca="1">IFERROR(__xludf.DUMMYFUNCTION("""COMPUTED_VALUE"""),"=O29*MOD_Phys+O30*MOD_Magic+Runes!H14*MOD_Magic+Q30+O31")</f>
        <v>=O29*MOD_Phys+O30*MOD_Magic+Runes!H14*MOD_Magic+Q30+O31</v>
      </c>
      <c r="P32" s="581" t="str">
        <f ca="1">IFERROR(__xludf.DUMMYFUNCTION("""COMPUTED_VALUE"""),"=""Chemtech Dragon DMG""")</f>
        <v>="Chemtech Dragon DMG"</v>
      </c>
      <c r="Q32" s="581" t="str">
        <f ca="1">IFERROR(__xludf.DUMMYFUNCTION("""COMPUTED_VALUE"""),"=IF(AND(Self_CHPP &lt; 0,5; B_Chem); 1,1; 1)")</f>
        <v>=IF(AND(Self_CHPP &lt; 0,5; B_Chem); 1,1; 1)</v>
      </c>
      <c r="R32" s="569"/>
    </row>
    <row r="33" spans="1:18" ht="15" customHeight="1">
      <c r="A33" s="569"/>
      <c r="B33" s="583" t="str">
        <f ca="1">IFERROR(__xludf.DUMMYFUNCTION("""COMPUTED_VALUE"""),"=""Amorpen %""")</f>
        <v>="Amorpen %"</v>
      </c>
      <c r="C33" s="610" t="str">
        <f ca="1">IFERROR(__xludf.DUMMYFUNCTION("""COMPUTED_VALUE"""),"=1-IT_APEN*IF(AND(Name=""Darius"";P_E&gt;0);(0,9-0,05*P_E);1)*IF(AND(Name=""Pantheon"";P_R&gt;0);(1-0,1*P_R);1)*IF(AND(Name = ""Nilah""; P_Q &gt; 0); 1 - (1/3) * Self_Crit; 1)")</f>
        <v>=1-IT_APEN*IF(AND(Name="Darius";P_E&gt;0);(0,9-0,05*P_E);1)*IF(AND(Name="Pantheon";P_R&gt;0);(1-0,1*P_R);1)*IF(AND(Name = "Nilah"; P_Q &gt; 0); 1 - (1/3) * Self_Crit; 1)</v>
      </c>
      <c r="D33" s="583" t="str">
        <f ca="1">IFERROR(__xludf.DUMMYFUNCTION("""COMPUTED_VALUE"""),"=""Total Physical""")</f>
        <v>="Total Physical"</v>
      </c>
      <c r="E33" s="604" t="str">
        <f ca="1">IFERROR(__xludf.DUMMYFUNCTION("""COMPUTED_VALUE"""),"=(E29 + E30 + E31 + E32) * MOD_Phys * IF(Name = ""Bel'Veth""; 0,75; 1)")</f>
        <v>=(E29 + E30 + E31 + E32) * MOD_Phys * IF(Name = "Bel'Veth"; 0,75; 1)</v>
      </c>
      <c r="F33" s="578"/>
      <c r="G33" s="592"/>
      <c r="H33" s="215" t="str">
        <f ca="1">IFERROR(__xludf.DUMMYFUNCTION("""COMPUTED_VALUE"""),"=""Crescendum""")</f>
        <v>="Crescendum"</v>
      </c>
      <c r="I33" s="611" t="str">
        <f ca="1">IFERROR(__xludf.DUMMYFUNCTION("""COMPUTED_VALUE"""),"=IF(Interface!I42 &lt; 10; Interface!I42 * (0,1573 - 0,0073 * Interface!I42); 0,885 + 0,05 * (Interface!I42 - 10))")</f>
        <v>=IF(Interface!I42 &lt; 10; Interface!I42 * (0,1573 - 0,0073 * Interface!I42); 0,885 + 0,05 * (Interface!I42 - 10))</v>
      </c>
      <c r="J33" s="215" t="str">
        <f ca="1">IFERROR(__xludf.DUMMYFUNCTION("""COMPUTED_VALUE"""),"=""Summoner damage""")</f>
        <v>="Summoner damage"</v>
      </c>
      <c r="K33" s="585" t="str">
        <f ca="1">IFERROR(__xludf.DUMMYFUNCTION("""COMPUTED_VALUE"""),"=IF(Interface!$O$4 = ""Ignite""; Q76; IF(Interface!$O$4 = ""Blue Smite""; Q77; IF(Interface!$O$4 = ""Red Smite""; Q78; 0)))")</f>
        <v>=IF(Interface!$O$4 = "Ignite"; Q76; IF(Interface!$O$4 = "Blue Smite"; Q77; IF(Interface!$O$4 = "Red Smite"; Q78; 0)))</v>
      </c>
      <c r="L33" s="215"/>
      <c r="M33" s="592"/>
      <c r="N33" s="578" t="str">
        <f ca="1">IFERROR(__xludf.DUMMYFUNCTION("""COMPUTED_VALUE"""),"=""Muramana Spells""")</f>
        <v>="Muramana Spells"</v>
      </c>
      <c r="O33" s="219" t="str">
        <f ca="1">IFERROR(__xludf.DUMMYFUNCTION("""COMPUTED_VALUE"""),"=IF(C44; IF(VLOOKUP(Name;Champs!A2:AJ200;31;False); 0,035; 0,027) * Self_MP + 0,06 * Self_AD; 0) * MOD_Phys")</f>
        <v>=IF(C44; IF(VLOOKUP(Name;Champs!A2:AJ200;31;False); 0,035; 0,027) * Self_MP + 0,06 * Self_AD; 0) * MOD_Phys</v>
      </c>
      <c r="P33" s="578" t="str">
        <f ca="1">IFERROR(__xludf.DUMMYFUNCTION("""COMPUTED_VALUE"""),"=""Spear Cooldown""")</f>
        <v>="Spear Cooldown"</v>
      </c>
      <c r="Q33" s="578" t="str">
        <f ca="1">IFERROR(__xludf.DUMMYFUNCTION("""COMPUTED_VALUE"""),"=IF(C70; IF(VLOOKUP(Name;Champs!A2:AE200;31;False);0,08 + 0,0008 * Self_BaAD; 0,06 + 0,0006 * Self_BaAD); 0)")</f>
        <v>=IF(C70; IF(VLOOKUP(Name;Champs!A2:AE200;31;False);0,08 + 0,0008 * Self_BaAD; 0,06 + 0,0006 * Self_BaAD); 0)</v>
      </c>
      <c r="R33" s="569"/>
    </row>
    <row r="34" spans="1:18" ht="15" customHeight="1">
      <c r="A34" s="569"/>
      <c r="B34" s="736" t="str">
        <f ca="1">IFERROR(__xludf.DUMMYFUNCTION("""COMPUTED_VALUE"""),"=""// Magic Pen //""")</f>
        <v>="// Magic Pen //"</v>
      </c>
      <c r="C34" s="657"/>
      <c r="D34" s="574" t="str">
        <f ca="1">IFERROR(__xludf.DUMMYFUNCTION("""COMPUTED_VALUE"""),"=""Items""")</f>
        <v>="Items"</v>
      </c>
      <c r="E34" s="217" t="str">
        <f ca="1">IFERROR(__xludf.DUMMYFUNCTION("""COMPUTED_VALUE"""),"=IT_OH_Magic + IF(B_Ardent; 15; 0)")</f>
        <v>=IT_OH_Magic + IF(B_Ardent; 15; 0)</v>
      </c>
      <c r="F34" s="581"/>
      <c r="G34" s="581"/>
      <c r="H34" s="574" t="str">
        <f ca="1">IFERROR(__xludf.DUMMYFUNCTION("""COMPUTED_VALUE"""),"=""True Damage onhit""")</f>
        <v>="True Damage onhit"</v>
      </c>
      <c r="I34" s="575" t="str">
        <f ca="1">IFERROR(__xludf.DUMMYFUNCTION("""COMPUTED_VALUE"""),"=IF(AND(Name = ""Master Yi"";P_E &gt; 0; Steroid_E); 25 + 5 * P_E + 0,3 * Self_BoAD; 0) + IF(AND(Name = ""Bel'Veth""; P_R &gt; 0); (3 + 1,5 * P_R + 0,09 * Self_BoAD) * S_Harvest / 2; 0)")</f>
        <v>=IF(AND(Name = "Master Yi";P_E &gt; 0; Steroid_E); 25 + 5 * P_E + 0,3 * Self_BoAD; 0) + IF(AND(Name = "Bel'Veth"; P_R &gt; 0); (3 + 1,5 * P_R + 0,09 * Self_BoAD) * S_Harvest / 2; 0)</v>
      </c>
      <c r="J34" s="581" t="str">
        <f ca="1">IFERROR(__xludf.DUMMYFUNCTION("""COMPUTED_VALUE"""),"=""Q Cooldown""")</f>
        <v>="Q Cooldown"</v>
      </c>
      <c r="K34" s="590" t="str">
        <f ca="1">IFERROR(__xludf.DUMMYFUNCTION("""COMPUTED_VALUE"""),"=IF(OR(P_Q &gt; 0; Name = ""Aphelios""); VLOOKUP(Name; Champs!A2:AC200; 26; False); 0) / IF(OR(NOT(Name = ""Yasuo"");NOT(Name = ""K'Sante"")); (1 + Self_AH + Q33 + Q34 + IF(AND(Name = ""Sona""; Steroid_P); 0,6; 0)); 1)")</f>
        <v>=IF(OR(P_Q &gt; 0; Name = "Aphelios"); VLOOKUP(Name; Champs!A2:AC200; 26; False); 0) / IF(OR(NOT(Name = "Yasuo");NOT(Name = "K'Sante")); (1 + Self_AH + Q33 + Q34 + IF(AND(Name = "Sona"; Steroid_P); 0,6; 0)); 1)</v>
      </c>
      <c r="L34" s="581"/>
      <c r="M34" s="581"/>
      <c r="N34" s="574" t="str">
        <f ca="1">IFERROR(__xludf.DUMMYFUNCTION("""COMPUTED_VALUE"""),"=""Krakenslayer dmg""")</f>
        <v>="Krakenslayer dmg"</v>
      </c>
      <c r="O34" s="221" t="str">
        <f ca="1">IFERROR(__xludf.DUMMYFUNCTION("""COMPUTED_VALUE"""),"=IF(Calc!C42; 35 + 50 * Sc_Lin + 0,65 * Self_AD + 0,6 * Self_AP) * MOD_Phys * IF(Name = ""Bel'Veth""; 0,25; 1) * IF(Steroid_Items; 2; 1)")</f>
        <v>=IF(Calc!C42; 35 + 50 * Sc_Lin + 0,65 * Self_AD + 0,6 * Self_AP) * MOD_Phys * IF(Name = "Bel'Veth"; 0,25; 1) * IF(Steroid_Items; 2; 1)</v>
      </c>
      <c r="P34" s="581" t="str">
        <f ca="1">IFERROR(__xludf.DUMMYFUNCTION("""COMPUTED_VALUE"""),"=""Radiant CD""")</f>
        <v>="Radiant CD"</v>
      </c>
      <c r="Q34" s="581" t="str">
        <f ca="1">IFERROR(__xludf.DUMMYFUNCTION("""COMPUTED_VALUE"""),"=IF(C67; 0,15; 0)")</f>
        <v>=IF(C67; 0,15; 0)</v>
      </c>
      <c r="R34" s="569"/>
    </row>
    <row r="35" spans="1:18" ht="15" customHeight="1">
      <c r="A35" s="569"/>
      <c r="B35" s="215" t="str">
        <f ca="1">IFERROR(__xludf.DUMMYFUNCTION("""COMPUTED_VALUE"""),"=""Items""")</f>
        <v>="Items"</v>
      </c>
      <c r="C35" s="214" t="str">
        <f ca="1">IFERROR(__xludf.DUMMYFUNCTION("""COMPUTED_VALUE"""),"=IT_Mpen")</f>
        <v>=IT_Mpen</v>
      </c>
      <c r="D35" s="215" t="str">
        <f ca="1">IFERROR(__xludf.DUMMYFUNCTION("""COMPUTED_VALUE"""),"=""Runes""")</f>
        <v>="Runes"</v>
      </c>
      <c r="E35" s="214" t="str">
        <f ca="1">IFERROR(__xludf.DUMMYFUNCTION("""COMPUTED_VALUE"""),"=0")</f>
        <v>=0</v>
      </c>
      <c r="F35" s="215" t="str">
        <f ca="1">IFERROR(__xludf.DUMMYFUNCTION("""COMPUTED_VALUE"""),"=""Rageblade DPS""")</f>
        <v>="Rageblade DPS"</v>
      </c>
      <c r="G35" s="214" t="str">
        <f ca="1">IFERROR(__xludf.DUMMYFUNCTION("""COMPUTED_VALUE"""),"=(Self_AS / 3) * MOD_OH * (
IF(Name = ""Diana""; Champs!$Y$25; 0) +
IF(Name = ""Master Yi""; Champs!$Y$77; 0) +
IF(AND(Name = ""Neeko""; P_W &gt; 0); Champs!$V$84; 0) +
IF(AND(Name = ""Twisted Fate""; P_E &gt; 0); Champs!$W$131; 0) +
IF(AND(Name = ""Vayne""; P_"&amp;"W &gt; 0); Champs!$V$136; 0) +
IF(Name = ""Akshan""; Champs!$Y$6 * 2; 0)) +
IF(Name = ""Kai'Sa""; (Self_AS / 5) * MOD_OH * Champs!$Y$53; 0) + 
IF(AND(Name = ""Jax""; P_R &gt; 0); (10 + 50 * P_R + 0,6 * Self_AP) * MOD_Magic; 0) * (Self_AS / IF(Steroid_R; 2; 3)) "&amp;"* MOD_OH")</f>
        <v>=(Self_AS / 3) * MOD_OH * (
IF(Name = "Diana"; Champs!$Y$25; 0) +
IF(Name = "Master Yi"; Champs!$Y$77; 0) +
IF(AND(Name = "Neeko"; P_W &gt; 0); Champs!$V$84; 0) +
IF(AND(Name = "Twisted Fate"; P_E &gt; 0); Champs!$W$131; 0) +
IF(AND(Name = "Vayne"; P_W &gt; 0); Champs!$V$136; 0) +
IF(Name = "Akshan"; Champs!$Y$6 * 2; 0)) +
IF(Name = "Kai'Sa"; (Self_AS / 5) * MOD_OH * Champs!$Y$53; 0) + 
IF(AND(Name = "Jax"; P_R &gt; 0); (10 + 50 * P_R + 0,6 * Self_AP) * MOD_Magic; 0) * (Self_AS / IF(Steroid_R; 2; 3)) * MOD_OH</v>
      </c>
      <c r="H35" s="578" t="str">
        <f ca="1">IFERROR(__xludf.DUMMYFUNCTION("""COMPUTED_VALUE"""),"=""Vladimir bonus calc""")</f>
        <v>="Vladimir bonus calc"</v>
      </c>
      <c r="I35" s="578" t="str">
        <f ca="1">IFERROR(__xludf.DUMMYFUNCTION("""COMPUTED_VALUE"""),"=I30 * 0,97 + 3,65 * E3")</f>
        <v>=I30 * 0,97 + 3,65 * E3</v>
      </c>
      <c r="J35" s="612" t="str">
        <f ca="1">IFERROR(__xludf.DUMMYFUNCTION("""COMPUTED_VALUE"""),"=""W Cooldown""")</f>
        <v>="W Cooldown"</v>
      </c>
      <c r="K35" s="592" t="str">
        <f ca="1">IFERROR(__xludf.DUMMYFUNCTION("""COMPUTED_VALUE"""),"=IF(OR(P_W &gt; 0; Name = ""Aphelios""); VLOOKUP(Name; Champs!A2:AC200; 27; False); 0) / IF(NOT(Name = ""Vayne""); (1 + Self_AH + Q33 + Q34 + IF(AND(Name = ""Sona"";Steroid_P); 0,6; 0)); 1)")</f>
        <v>=IF(OR(P_W &gt; 0; Name = "Aphelios"); VLOOKUP(Name; Champs!A2:AC200; 27; False); 0) / IF(NOT(Name = "Vayne"); (1 + Self_AH + Q33 + Q34 + IF(AND(Name = "Sona";Steroid_P); 0,6; 0)); 1)</v>
      </c>
      <c r="L35" s="578"/>
      <c r="M35" s="578"/>
      <c r="N35" s="578" t="str">
        <f ca="1">IFERROR(__xludf.DUMMYFUNCTION("""COMPUTED_VALUE"""),"=""Navori""")</f>
        <v>="Navori"</v>
      </c>
      <c r="O35" s="578" t="str">
        <f ca="1">IFERROR(__xludf.DUMMYFUNCTION("""COMPUTED_VALUE"""),"=IF(C71;Self_Crit * 0,2;0) + 1")</f>
        <v>=IF(C71;Self_Crit * 0,2;0) + 1</v>
      </c>
      <c r="P35" s="578"/>
      <c r="Q35" s="578"/>
      <c r="R35" s="569"/>
    </row>
    <row r="36" spans="1:18" ht="15" customHeight="1">
      <c r="A36" s="569"/>
      <c r="B36" s="574" t="str">
        <f ca="1">IFERROR(__xludf.DUMMYFUNCTION("""COMPUTED_VALUE"""),"=""Runes""")</f>
        <v>="Runes"</v>
      </c>
      <c r="C36" s="217" t="str">
        <f ca="1">IFERROR(__xludf.DUMMYFUNCTION("""COMPUTED_VALUE"""),"=Runes!H10*(6/7)")</f>
        <v>=Runes!H10*(6/7)</v>
      </c>
      <c r="D36" s="574" t="str">
        <f ca="1">IFERROR(__xludf.DUMMYFUNCTION("""COMPUTED_VALUE"""),"=""Passives""")</f>
        <v>="Passives"</v>
      </c>
      <c r="E36" s="217" t="str">
        <f ca="1">IFERROR(__xludf.DUMMYFUNCTION("""COMPUTED_VALUE"""),"=
IF(AND(Name = ""Blitzcrank""; P_R &gt; 0); P_R * 50 + (0,2 + P_R * 0,1) * Self_AP; 0) +
IF(AND(Name = ""Elise""; Steroid_Form); 10 * P_R + 10 + 0,2 * Self_AP; 0) +
IF(Name = ""Gwen""; (0,01 + 0,00008 * Self_AP) * E_MHP; 0) +
IF(AND(Name = ""Irelia""; Stero"&amp;"id_P); (10 + 51 * Sc_Lin + 0,2 * Self_BoAD); 0) +
IF(Name = ""Kai'Sa""; ROUND(5 + 18 * Sc_Lin) + (ROUND(1 + 11 * Sc_Lin) + 0,2 * Self_AP) * 2; 0) +
IF(AND(Name = ""Kassadin""; P_W &gt; 0); 20 + 0,1 * Self_AP; 0) +
IF(AND(Name = ""Kayle""; P_E &gt; 0); 20 + 21 *"&amp;" Sc_Lin + 0,2 * Self_AP + 0,1 * Self_BoAD; 0) +
IF(Name = ""Mordekaiser""; 0,4 * Self_AP; 0) +
IF(Name = ""Orianna""; 10 + ROUNDDOWN((Self_Level - 1) / 3) * 8 + 0,15 * Self_AP; 0) +
IF(AND(Name = ""Qiyana""; P_W &gt; 0; Steroid_W); 14 * P_W + 0,45 * Self_AP "&amp;"+ 0,1 * Self_BoAD - 6; 0) +
IF(Name = ""Rammus""; (10 + 0,1 * Self_AR) * IF(Steroid_W; 1,5; 1); 0) +
IF(AND(Name = ""Rumble""; Steroid_P); 5 + 35 * Sc_Lin + 0,25 * Self_AP + 0,06 * E_MHP; 0) +
IF(AND(Name = ""Samira""; Steroid_P); (1 + Self_Level + 0,075 "&amp;"* Self_BoAD) * (1 + (1 - (E_CHP / 100))); 0) +
IF(Name = ""Tahm Kench""; 0,03 * Self_BoHP + 8 + 52 * Sc_Lin + 0,0002 * Self_BoHP * Self_AP; 0) +
IF(AND(Name = ""Teemo""; P_E &gt; 0); P_E * 11 + 0,3 * Self_AP + 3; 0) +
IF(AND(Name = ""Thresh""; P_E &gt; 0); Mini"&amp;"on * 1,5 + IF(Steroid_E; (0,5 + 0,3 * P_E) * Self_AD; 0); 0) +
IF(AND(Name = ""Varus""; P_W &gt; 0); P_W * 5 + 2 + 0,3 * Self_AP; 0) +
IF(AND(Name = ""Volibear""; Steroid_P); 0,4 * Self_AP + 10 + 1 * Self_Level + IF(Self_Level &gt; 3; 1 * (Self_Level - 3); 0) +"&amp;" IF(Self_Level &gt; 6; 1 * (Self_Level - 6); 0) + IF(Self_Level &gt; 13; 1 * (Self_Level - 13); 0); 0) +
IF(Name = ""Warwick""; 10 + 2 * Self_Level + 0,15 * Self_BoAD + 0,1 * Self_AP; 0)
")</f>
        <v xml:space="preserve">=
IF(AND(Name = "Blitzcrank"; P_R &gt; 0); P_R * 50 + (0,2 + P_R * 0,1) * Self_AP; 0) +
IF(AND(Name = "Elise"; Steroid_Form); 10 * P_R + 10 + 0,2 * Self_AP; 0) +
IF(Name = "Gwen"; (0,01 + 0,00008 * Self_AP) * E_MHP; 0) +
IF(AND(Name = "Irelia"; Steroid_P); (10 + 51 * Sc_Lin + 0,2 * Self_BoAD); 0) +
IF(Name = "Kai'Sa"; ROUND(5 + 18 * Sc_Lin) + (ROUND(1 + 11 * Sc_Lin) + 0,2 * Self_AP) * 2; 0) +
IF(AND(Name = "Kassadin"; P_W &gt; 0); 20 + 0,1 * Self_AP; 0) +
IF(AND(Name = "Kayle"; P_E &gt; 0); 20 + 21 * Sc_Lin + 0,2 * Self_AP + 0,1 * Self_BoAD; 0) +
IF(Name = "Mordekaiser"; 0,4 * Self_AP; 0) +
IF(Name = "Orianna"; 10 + ROUNDDOWN((Self_Level - 1) / 3) * 8 + 0,15 * Self_AP; 0) +
IF(AND(Name = "Qiyana"; P_W &gt; 0; Steroid_W); 14 * P_W + 0,45 * Self_AP + 0,1 * Self_BoAD - 6; 0) +
IF(Name = "Rammus"; (10 + 0,1 * Self_AR) * IF(Steroid_W; 1,5; 1); 0) +
IF(AND(Name = "Rumble"; Steroid_P); 5 + 35 * Sc_Lin + 0,25 * Self_AP + 0,06 * E_MHP; 0) +
IF(AND(Name = "Samira"; Steroid_P); (1 + Self_Level + 0,075 * Self_BoAD) * (1 + (1 - (E_CHP / 100))); 0) +
IF(Name = "Tahm Kench"; 0,03 * Self_BoHP + 8 + 52 * Sc_Lin + 0,0002 * Self_BoHP * Self_AP; 0) +
IF(AND(Name = "Teemo"; P_E &gt; 0); P_E * 11 + 0,3 * Self_AP + 3; 0) +
IF(AND(Name = "Thresh"; P_E &gt; 0); Minion * 1,5 + IF(Steroid_E; (0,5 + 0,3 * P_E) * Self_AD; 0); 0) +
IF(AND(Name = "Varus"; P_W &gt; 0); P_W * 5 + 2 + 0,3 * Self_AP; 0) +
IF(AND(Name = "Volibear"; Steroid_P); 0,4 * Self_AP + 10 + 1 * Self_Level + IF(Self_Level &gt; 3; 1 * (Self_Level - 3); 0) + IF(Self_Level &gt; 6; 1 * (Self_Level - 6); 0) + IF(Self_Level &gt; 13; 1 * (Self_Level - 13); 0); 0) +
IF(Name = "Warwick"; 10 + 2 * Self_Level + 0,15 * Self_BoAD + 0,1 * Self_AP; 0)
</v>
      </c>
      <c r="F36" s="574" t="str">
        <f ca="1">IFERROR(__xludf.DUMMYFUNCTION("""COMPUTED_VALUE"""),"=""Champion abilities""")</f>
        <v>="Champion abilities"</v>
      </c>
      <c r="G36" s="221" t="str">
        <f ca="1">IFERROR(__xludf.DUMMYFUNCTION("""COMPUTED_VALUE"""),"=
IF(Name = ""Caitlyn""; (Self_AS / 7) * Champs!$Y$19; 0) +
IF(Name = ""Quinn""; Champs!$Y$95 / Champs!$AD$95; 0) +
IF(Name = ""Senna""; Champs!$Y$107 / Champs!$AD$107 + 0,2 * Self_AD * MOD_Heal * Self_AS; 0) +
IF(Name = ""Sett""; Self_AS * Champs!$Y$109;"&amp;" 0) +
IF(Name = ""Urgot""; Champs!$Y$134 / Champs!$AD$134; 0) +
IF(AND(Name = ""Kayle""; OR(Steroid_P; Self_Level &gt; 15); Self_Level &gt; 10); (10 + 5 * P_E + 0,25 * Self_AP + 0,1 * Self_BoAD) * Self_AS * MOD_Magic; 0) +
IF(AND(Name = ""Kennen""; P_W &gt; 0); (2"&amp;"5 + 10 * P_W + 0,35 * Self_AP + (0,1 * P_W + 0,7) * Self_BoAD) * MOD_Magic * (Self_AS / 5); 0)")</f>
        <v>=
IF(Name = "Caitlyn"; (Self_AS / 7) * Champs!$Y$19; 0) +
IF(Name = "Quinn"; Champs!$Y$95 / Champs!$AD$95; 0) +
IF(Name = "Senna"; Champs!$Y$107 / Champs!$AD$107 + 0,2 * Self_AD * MOD_Heal * Self_AS; 0) +
IF(Name = "Sett"; Self_AS * Champs!$Y$109; 0) +
IF(Name = "Urgot"; Champs!$Y$134 / Champs!$AD$134; 0) +
IF(AND(Name = "Kayle"; OR(Steroid_P; Self_Level &gt; 15); Self_Level &gt; 10); (10 + 5 * P_E + 0,25 * Self_AP + 0,1 * Self_BoAD) * Self_AS * MOD_Magic; 0) +
IF(AND(Name = "Kennen"; P_W &gt; 0); (25 + 10 * P_W + 0,35 * Self_AP + (0,1 * P_W + 0,7) * Self_BoAD) * MOD_Magic * (Self_AS / 5); 0)</v>
      </c>
      <c r="H36" s="581" t="str">
        <f ca="1">IFERROR(__xludf.DUMMYFUNCTION("""COMPUTED_VALUE"""),"=""Zeri Uncapped""")</f>
        <v>="Zeri Uncapped"</v>
      </c>
      <c r="I36" s="581" t="str">
        <f ca="1">IFERROR(__xludf.DUMMYFUNCTION("""COMPUTED_VALUE"""),"=(IF(C19 + C24 * C23 &gt; C25; C19 + C24 * C23 - C25; 0) / C24) * 70")</f>
        <v>=(IF(C19 + C24 * C23 &gt; C25; C19 + C24 * C23 - C25; 0) / C24) * 70</v>
      </c>
      <c r="J36" s="581" t="str">
        <f ca="1">IFERROR(__xludf.DUMMYFUNCTION("""COMPUTED_VALUE"""),"=""E Cooldown""")</f>
        <v>="E Cooldown"</v>
      </c>
      <c r="K36" s="581" t="str">
        <f ca="1">IFERROR(__xludf.DUMMYFUNCTION("""COMPUTED_VALUE"""),"=IF(P_E &gt; 0; VLOOKUP(Name; Champs!A2:AC200; 28; False); 0) / (1 + Self_AH + Q33 + Q34 + IF(AND(Name = ""Sona""; Steroid_P); 0,6; 0))")</f>
        <v>=IF(P_E &gt; 0; VLOOKUP(Name; Champs!A2:AC200; 28; False); 0) / (1 + Self_AH + Q33 + Q34 + IF(AND(Name = "Sona"; Steroid_P); 0,6; 0))</v>
      </c>
      <c r="L36" s="581"/>
      <c r="M36" s="581"/>
      <c r="N36" s="581" t="str">
        <f ca="1">IFERROR(__xludf.DUMMYFUNCTION("""COMPUTED_VALUE"""),"=""Duskblade""")</f>
        <v>="Duskblade"</v>
      </c>
      <c r="O36" s="581" t="str">
        <f ca="1">IFERROR(__xludf.DUMMYFUNCTION("""COMPUTED_VALUE"""),"=IF(C49; (1 + 0,2 * (1 - (MAX(30; E_CHP) - 30) / 70)); 1)")</f>
        <v>=IF(C49; (1 + 0,2 * (1 - (MAX(30; E_CHP) - 30) / 70)); 1)</v>
      </c>
      <c r="P36" s="581"/>
      <c r="Q36" s="575"/>
      <c r="R36" s="569"/>
    </row>
    <row r="37" spans="1:18" ht="15" customHeight="1">
      <c r="A37" s="569"/>
      <c r="B37" s="583" t="str">
        <f ca="1">IFERROR(__xludf.DUMMYFUNCTION("""COMPUTED_VALUE"""),"=""Magicpen Flat""")</f>
        <v>="Magicpen Flat"</v>
      </c>
      <c r="C37" s="604" t="str">
        <f ca="1">IFERROR(__xludf.DUMMYFUNCTION("""COMPUTED_VALUE"""),"=C35+C36")</f>
        <v>=C35+C36</v>
      </c>
      <c r="D37" s="215" t="str">
        <f ca="1">IFERROR(__xludf.DUMMYFUNCTION("""COMPUTED_VALUE"""),"=""Actives""")</f>
        <v>="Actives"</v>
      </c>
      <c r="E37" s="214" t="str">
        <f ca="1">IFERROR(__xludf.DUMMYFUNCTION("""COMPUTED_VALUE"""),"=
IF(AND(Name = ""Blitzcrank"";Steroid_W;P_W &gt; 0); 0,01 * E_MHP; 0) +
IF(AND(Name = ""Fizz""; P_W &gt; 0; Steroid_W); 5 + 5 * P_W + 0,35 * Self_AP; 0) +
IF(AND(Name = ""Gwen""; P_E &gt; 0; Steroid_E); 15 + 0,2 * Self_AP; 0) +
If(AND(Name = ""Kog'Maw""; P_W &gt; 0;"&amp;" Steroid_W); (0,0225 + 0,0075 * P_W + 0,0001 * Self_AP) * E_MHP; 0) +
IF(AND(Name = ""Nautilus""; P_W &gt; 0; Steroid_W); 20 + 10 * P_W + 0,4 * Self_AP; 0) + 
IF(AND(Name = ""Zeri""; P_E &gt; 0; Steroid_E); (18 + 2 * P_E + 0,12 * Self_BoAD + 0,2 * Self_AP) * (1"&amp;" + 0,85 * Self_Crit); 0) + 
IF(AND(Name = ""Lucian""; P_W &gt; 0; Steroid_W); 14 + 0,2 * Self_AD; 0)")</f>
        <v>=
IF(AND(Name = "Blitzcrank";Steroid_W;P_W &gt; 0); 0,01 * E_MHP; 0) +
IF(AND(Name = "Fizz"; P_W &gt; 0; Steroid_W); 5 + 5 * P_W + 0,35 * Self_AP; 0) +
IF(AND(Name = "Gwen"; P_E &gt; 0; Steroid_E); 15 + 0,2 * Self_AP; 0) +
If(AND(Name = "Kog'Maw"; P_W &gt; 0; Steroid_W); (0,0225 + 0,0075 * P_W + 0,0001 * Self_AP) * E_MHP; 0) +
IF(AND(Name = "Nautilus"; P_W &gt; 0; Steroid_W); 20 + 10 * P_W + 0,4 * Self_AP; 0) + 
IF(AND(Name = "Zeri"; P_E &gt; 0; Steroid_E); (18 + 2 * P_E + 0,12 * Self_BoAD + 0,2 * Self_AP) * (1 + 0,85 * Self_Crit); 0) + 
IF(AND(Name = "Lucian"; P_W &gt; 0; Steroid_W); 14 + 0,2 * Self_AD; 0)</v>
      </c>
      <c r="F37" s="215" t="str">
        <f ca="1">IFERROR(__xludf.DUMMYFUNCTION("""COMPUTED_VALUE"""),"=""Item DPS""")</f>
        <v>="Item DPS"</v>
      </c>
      <c r="G37" s="219" t="str">
        <f ca="1">IFERROR(__xludf.DUMMYFUNCTION("""COMPUTED_VALUE"""),"=(OH_Magic + OH_Phys + OH_True) * MOD_OH * IF(Name = ""Jhin"" ; 1 / ((1 / Self_AS) + 0,625); Self_AS * IF(Name = ""Akshan""; 2; 1)) + 
IT_Proc_Energy * (Self_AS / IF(Name = ""Akshan""; 6; 12)) * MOD_Magic + 
O34 * (Self_AS / IF(Name = ""Akshan""; 1,5; 3))"&amp;" + 
IF(C59; IF(Steroid_Items; 1,6; 1,3); 1) * IF(C58; 15 + 0,0175 * Self_BoHP; 0) * MOD_Magic +
IF(C57; 12 + 0,01 * Self_BoHP; 0)")</f>
        <v>=(OH_Magic + OH_Phys + OH_True) * MOD_OH * IF(Name = "Jhin" ; 1 / ((1 / Self_AS) + 0,625); Self_AS * IF(Name = "Akshan"; 2; 1)) + 
IT_Proc_Energy * (Self_AS / IF(Name = "Akshan"; 6; 12)) * MOD_Magic + 
O34 * (Self_AS / IF(Name = "Akshan"; 1,5; 3)) + 
IF(C59; IF(Steroid_Items; 1,6; 1,3); 1) * IF(C58; 15 + 0,0175 * Self_BoHP; 0) * MOD_Magic +
IF(C57; 12 + 0,01 * Self_BoHP; 0)</v>
      </c>
      <c r="H37" s="215" t="str">
        <f ca="1">IFERROR(__xludf.DUMMYFUNCTION("""COMPUTED_VALUE"""),"=""Belveth extra life""")</f>
        <v>="Belveth extra life"</v>
      </c>
      <c r="I37" s="585" t="str">
        <f ca="1">IFERROR(__xludf.DUMMYFUNCTION("""COMPUTED_VALUE"""),"= (0,9 * E3 + 1,2 * (C3 + C4) * C9 + 50 + 50 * P_R) * 1,055")</f>
        <v>= (0,9 * E3 + 1,2 * (C3 + C4) * C9 + 50 + 50 * P_R) * 1,055</v>
      </c>
      <c r="J37" s="578" t="str">
        <f ca="1">IFERROR(__xludf.DUMMYFUNCTION("""COMPUTED_VALUE"""),"=""R Cooldown""")</f>
        <v>="R Cooldown"</v>
      </c>
      <c r="K37" s="578" t="str">
        <f ca="1">IFERROR(__xludf.DUMMYFUNCTION("""COMPUTED_VALUE"""),"=IF(OR(P_R &gt; 0; AND(Name = ""Aphelios""; Self_Level &gt;= 6)); VLOOKUP(Name; Champs!A2:AC200; 29; False); 0) * IF(NOT(Name = ""Corki""); (1 / (1 + Self_AH + R_Ultimate));1)")</f>
        <v>=IF(OR(P_R &gt; 0; AND(Name = "Aphelios"; Self_Level &gt;= 6)); VLOOKUP(Name; Champs!A2:AC200; 29; False); 0) * IF(NOT(Name = "Corki"); (1 / (1 + Self_AH + R_Ultimate));1)</v>
      </c>
      <c r="L37" s="128"/>
      <c r="M37" s="578"/>
      <c r="N37" s="578"/>
      <c r="O37" s="613"/>
      <c r="P37" s="578"/>
      <c r="Q37" s="585"/>
      <c r="R37" s="569"/>
    </row>
    <row r="38" spans="1:18" ht="15" customHeight="1">
      <c r="A38" s="569"/>
      <c r="B38" s="583" t="str">
        <f ca="1">IFERROR(__xludf.DUMMYFUNCTION("""COMPUTED_VALUE"""),"=""Magicpen %""")</f>
        <v>="Magicpen %"</v>
      </c>
      <c r="C38" s="610" t="str">
        <f ca="1">IFERROR(__xludf.DUMMYFUNCTION("""COMPUTED_VALUE"""),"=1-IT_MPenP*IF(AND(Name=""Mordekaiser"";P_E&gt;0);1-(0,025+0,025*P_E);1)")</f>
        <v>=1-IT_MPenP*IF(AND(Name="Mordekaiser";P_E&gt;0);1-(0,025+0,025*P_E);1)</v>
      </c>
      <c r="D38" s="583" t="str">
        <f ca="1">IFERROR(__xludf.DUMMYFUNCTION("""COMPUTED_VALUE"""),"=""Total Magical""")</f>
        <v>="Total Magical"</v>
      </c>
      <c r="E38" s="604" t="str">
        <f ca="1">IFERROR(__xludf.DUMMYFUNCTION("""COMPUTED_VALUE"""),"=(E34 + E35 + E36 + E37) * MOD_Magic * IF(Name = ""Bel'Veth""; 0,75; 1)")</f>
        <v>=(E34 + E35 + E36 + E37) * MOD_Magic * IF(Name = "Bel'Veth"; 0,75; 1)</v>
      </c>
      <c r="F38" s="583" t="str">
        <f ca="1">IFERROR(__xludf.DUMMYFUNCTION("""COMPUTED_VALUE"""),"=""DPS""")</f>
        <v>="DPS"</v>
      </c>
      <c r="G38" s="595" t="str">
        <f ca="1">IFERROR(__xludf.DUMMYFUNCTION("""COMPUTED_VALUE"""),"=IF(Name = ""Zeri""; Self_HitDmg * Self_AS; IF(AND(Name = ""Urgot""; P_W &gt; 0; Steroid_W); Self_HitDmg * Self_AS; 0) +
IF(AND(Name = ""Urgot""; P_W &gt; 0; Steroid_W); 0;
IF(Name = ""Jhin"";1 / ((1 / Self_AS) + 0,625); Self_AS) *
IF(Name = ""Corki""; (0,2 * M"&amp;"OD_Hit + 0,8 * MOD_Magic * M11) * Self_AD;
IF(Name = ""Yone""; (0,75 * MOD_Hit + 0,25 * MOD_Magic * M11) * Self_AD; Self_AD * MOD_Hit))) *
IF(OR(Name = ""Ashe""; C47); 1; 1 + Self_Crit * (Self_CritDMG - 1)) + G35 + G36 + G37 +
IF(Name = ""Akshan""; 0,5 * "&amp;"Self_AD * MOD_Hit * (1 + 0,3 * (Self_Crit * (Self_CritDMG - 1))); 0))")</f>
        <v>=IF(Name = "Zeri"; Self_HitDmg * Self_AS; IF(AND(Name = "Urgot"; P_W &gt; 0; Steroid_W); Self_HitDmg * Self_AS; 0) +
IF(AND(Name = "Urgot"; P_W &gt; 0; Steroid_W); 0;
IF(Name = "Jhin";1 / ((1 / Self_AS) + 0,625); Self_AS) *
IF(Name = "Corki"; (0,2 * MOD_Hit + 0,8 * MOD_Magic * M11) * Self_AD;
IF(Name = "Yone"; (0,75 * MOD_Hit + 0,25 * MOD_Magic * M11) * Self_AD; Self_AD * MOD_Hit))) *
IF(OR(Name = "Ashe"; C47); 1; 1 + Self_Crit * (Self_CritDMG - 1)) + G35 + G36 + G37 +
IF(Name = "Akshan"; 0,5 * Self_AD * MOD_Hit * (1 + 0,3 * (Self_Crit * (Self_CritDMG - 1))); 0))</v>
      </c>
      <c r="H38" s="581"/>
      <c r="I38" s="606"/>
      <c r="J38" s="581" t="str">
        <f ca="1">IFERROR(__xludf.DUMMYFUNCTION("""COMPUTED_VALUE"""),"=""P Cooldown""")</f>
        <v>="P Cooldown"</v>
      </c>
      <c r="K38" s="581" t="str">
        <f ca="1">IFERROR(__xludf.DUMMYFUNCTION("""COMPUTED_VALUE"""),"=IF(NOT(Name = ""Aphelios""); VLOOKUP(Name; Champs!A2:AD200; 30; False); 0)")</f>
        <v>=IF(NOT(Name = "Aphelios"); VLOOKUP(Name; Champs!A2:AD200; 30; False); 0)</v>
      </c>
      <c r="L38" s="581"/>
      <c r="M38" s="581"/>
      <c r="N38" s="581"/>
      <c r="O38" s="581"/>
      <c r="P38" s="581"/>
      <c r="Q38" s="614"/>
      <c r="R38" s="569"/>
    </row>
    <row r="39" spans="1:18" ht="15" customHeight="1">
      <c r="A39" s="569"/>
      <c r="B39" s="569"/>
      <c r="C39" s="615"/>
      <c r="D39" s="569"/>
      <c r="E39" s="615"/>
      <c r="F39" s="569"/>
      <c r="G39" s="570"/>
      <c r="H39" s="569"/>
      <c r="I39" s="569"/>
      <c r="J39" s="569"/>
      <c r="K39" s="569"/>
      <c r="L39" s="569"/>
      <c r="M39" s="569"/>
      <c r="N39" s="569"/>
      <c r="O39" s="569"/>
      <c r="P39" s="569"/>
      <c r="Q39" s="569"/>
      <c r="R39" s="569"/>
    </row>
    <row r="40" spans="1:18" ht="15" customHeight="1">
      <c r="A40" s="569"/>
      <c r="B40" s="716" t="str">
        <f ca="1">IFERROR(__xludf.DUMMYFUNCTION("""COMPUTED_VALUE"""),"=""// Variables //""")</f>
        <v>="// Variables //"</v>
      </c>
      <c r="C40" s="657"/>
      <c r="D40" s="657"/>
      <c r="E40" s="657"/>
      <c r="F40" s="657"/>
      <c r="G40" s="657"/>
      <c r="H40" s="657"/>
      <c r="I40" s="657"/>
      <c r="J40" s="657"/>
      <c r="K40" s="657"/>
      <c r="L40" s="657"/>
      <c r="M40" s="657"/>
      <c r="N40" s="657"/>
      <c r="O40" s="657"/>
      <c r="P40" s="657"/>
      <c r="Q40" s="657"/>
      <c r="R40" s="569"/>
    </row>
    <row r="41" spans="1:18" ht="15" customHeight="1">
      <c r="A41" s="569"/>
      <c r="B41" s="735" t="str">
        <f ca="1">IFERROR(__xludf.DUMMYFUNCTION("""COMPUTED_VALUE"""),"=""Items""")</f>
        <v>="Items"</v>
      </c>
      <c r="C41" s="657"/>
      <c r="D41" s="617" t="str">
        <f ca="1">IFERROR(__xludf.DUMMYFUNCTION("""COMPUTED_VALUE"""),"=""Magical Health""")</f>
        <v>="Magical Health"</v>
      </c>
      <c r="E41" s="617" t="str">
        <f ca="1">IFERROR(__xludf.DUMMYFUNCTION("""COMPUTED_VALUE"""),"=Self_MHP * (1 + Self_MR / 100) 
/ IF(B_Chem; 0,89; 1)
/ IF(AND(Name = ""Alistar""; Steroid_R; P_R &gt; 0); 1 - (0,45 + 0,1 * P_R); 1) 
/ IF(AND(Name = ""Braum""; Steroid_E; P_E &gt; 0); 1 - (0,3 + 0,05 * P_E); 1)
/ IF(AND(Name = ""Warwick""; Steroid_E; P_E &gt; 0"&amp;"); 1 - (0,3 + 0,05 * P_E); 1)")</f>
        <v>=Self_MHP * (1 + Self_MR / 100) 
/ IF(B_Chem; 0,89; 1)
/ IF(AND(Name = "Alistar"; Steroid_R; P_R &gt; 0); 1 - (0,45 + 0,1 * P_R); 1) 
/ IF(AND(Name = "Braum"; Steroid_E; P_E &gt; 0); 1 - (0,3 + 0,05 * P_E); 1)
/ IF(AND(Name = "Warwick"; Steroid_E; P_E &gt; 0); 1 - (0,3 + 0,05 * P_E); 1)</v>
      </c>
      <c r="F41" s="617" t="str">
        <f ca="1">IFERROR(__xludf.DUMMYFUNCTION("""COMPUTED_VALUE"""),"=""Physical Shield Health""")</f>
        <v>="Physical Shield Health"</v>
      </c>
      <c r="G41" s="617" t="str">
        <f ca="1">IFERROR(__xludf.DUMMYFUNCTION("""COMPUTED_VALUE"""),"=Self_Shield * (1 + Self_AR / 100) 
/ IF(B_Chem; 0,89; 1)
/ IF(AND(Name = ""Alistar""; Steroid_R; P_R &gt; 0);1 - (0,45 + 0,1 * P_R); 1) 
/ IF(AND(Name = ""Braum""; Steroid_E; P_E &gt; 0); 1 - (0,3 + 0,05 * P_E); 1)
/ IF(AND(Name = ""Warwick""; Steroid_E; P_E &gt;"&amp;" 0);1 - (0,3 + 0,05 * P_E); 1)")</f>
        <v>=Self_Shield * (1 + Self_AR / 100) 
/ IF(B_Chem; 0,89; 1)
/ IF(AND(Name = "Alistar"; Steroid_R; P_R &gt; 0);1 - (0,45 + 0,1 * P_R); 1) 
/ IF(AND(Name = "Braum"; Steroid_E; P_E &gt; 0); 1 - (0,3 + 0,05 * P_E); 1)
/ IF(AND(Name = "Warwick"; Steroid_E; P_E &gt; 0);1 - (0,3 + 0,05 * P_E); 1)</v>
      </c>
      <c r="H41" s="617"/>
      <c r="I41" s="617"/>
      <c r="J41" s="617"/>
      <c r="K41" s="617"/>
      <c r="L41" s="617" t="str">
        <f ca="1">IFERROR(__xludf.DUMMYFUNCTION("""COMPUTED_VALUE"""),"=""Interface Health""")</f>
        <v>="Interface Health"</v>
      </c>
      <c r="M41" s="617" t="str">
        <f ca="1">IFERROR(__xludf.DUMMYFUNCTION("""COMPUTED_VALUE"""),"=ROUNDUP(IF(Interface!B8 = ""Health""; Self_MHP; IF(Interface!B8 = ""Physical Health""; E42; E41)))")</f>
        <v>=ROUNDUP(IF(Interface!B8 = "Health"; Self_MHP; IF(Interface!B8 = "Physical Health"; E42; E41)))</v>
      </c>
      <c r="N41" s="617"/>
      <c r="O41" s="617"/>
      <c r="P41" s="617"/>
      <c r="Q41" s="617"/>
      <c r="R41" s="569"/>
    </row>
    <row r="42" spans="1:18" ht="15" customHeight="1">
      <c r="A42" s="569"/>
      <c r="B42" s="76" t="str">
        <f ca="1">IFERROR(__xludf.DUMMYFUNCTION("""COMPUTED_VALUE"""),"=""Kraken""")</f>
        <v>="Kraken"</v>
      </c>
      <c r="C42" s="618" t="str">
        <f ca="1">IFERROR(__xludf.DUMMYFUNCTION("""COMPUTED_VALUE"""),"=OR(Items!AI72;Items!AJ72)")</f>
        <v>=OR(Items!AI72;Items!AJ72)</v>
      </c>
      <c r="D42" s="619" t="str">
        <f ca="1">IFERROR(__xludf.DUMMYFUNCTION("""COMPUTED_VALUE"""),"=""Physical Health""")</f>
        <v>="Physical Health"</v>
      </c>
      <c r="E42" s="619" t="str">
        <f ca="1">IFERROR(__xludf.DUMMYFUNCTION("""COMPUTED_VALUE"""),"=Self_MHP * (1 + Self_AR / 100) 
/ IF(B_Chem; 0,89; 1)
/ IF(AND(Name = ""Alistar""; Steroid_R; P_R &gt; 0);1 - (0,45 + 0,1 * P_R); 1) 
/ IF(AND(Name = ""Braum""; Steroid_E; P_E &gt; 0); 1 - (0,3 + 0,05 * P_E); 1)
/ IF(AND(Name = ""Warwick""; Steroid_E; P_E &gt; 0)"&amp;";1 - (0,3 + 0,05 * P_E); 1)")</f>
        <v>=Self_MHP * (1 + Self_AR / 100) 
/ IF(B_Chem; 0,89; 1)
/ IF(AND(Name = "Alistar"; Steroid_R; P_R &gt; 0);1 - (0,45 + 0,1 * P_R); 1) 
/ IF(AND(Name = "Braum"; Steroid_E; P_E &gt; 0); 1 - (0,3 + 0,05 * P_E); 1)
/ IF(AND(Name = "Warwick"; Steroid_E; P_E &gt; 0);1 - (0,3 + 0,05 * P_E); 1)</v>
      </c>
      <c r="F42" s="619" t="str">
        <f ca="1">IFERROR(__xludf.DUMMYFUNCTION("""COMPUTED_VALUE"""),"=""Magical Shield Health""")</f>
        <v>="Magical Shield Health"</v>
      </c>
      <c r="G42" s="619" t="str">
        <f ca="1">IFERROR(__xludf.DUMMYFUNCTION("""COMPUTED_VALUE"""),"=Self_Shield * (1 + Self_MR / 100) 
/ IF(B_Chem; 0,89; 1)
/ IF(AND(C63; Steroid_Items); 0,75; 1) 
/ IF(AND(Name = ""Alistar""; Steroid_R; P_R &gt; 0); 1 - (0,45 + 0,1 * P_R); 1) 
/ IF(AND(Name = ""Braum""; Steroid_E; P_E &gt; 0); 1 - (0,3 + 0,05 * P_E); 1)
/ IF"&amp;"(AND(Name = ""Warwick""; Steroid_E; P_E &gt; 0); 1 - (0,3 + 0,05 * P_E); 1)")</f>
        <v>=Self_Shield * (1 + Self_MR / 100) 
/ IF(B_Chem; 0,89; 1)
/ IF(AND(C63; Steroid_Items); 0,75; 1) 
/ IF(AND(Name = "Alistar"; Steroid_R; P_R &gt; 0); 1 - (0,45 + 0,1 * P_R); 1) 
/ IF(AND(Name = "Braum"; Steroid_E; P_E &gt; 0); 1 - (0,3 + 0,05 * P_E); 1)
/ IF(AND(Name = "Warwick"; Steroid_E; P_E &gt; 0); 1 - (0,3 + 0,05 * P_E); 1)</v>
      </c>
      <c r="H42" s="619"/>
      <c r="I42" s="619"/>
      <c r="J42" s="619"/>
      <c r="K42" s="619"/>
      <c r="L42" s="619" t="str">
        <f ca="1">IFERROR(__xludf.DUMMYFUNCTION("""COMPUTED_VALUE"""),"=""Range""")</f>
        <v>="Range"</v>
      </c>
      <c r="M42" s="619" t="str">
        <f ca="1">IFERROR(__xludf.DUMMYFUNCTION("""COMPUTED_VALUE"""),"=VLOOKUP(Name; Champs!A:T; 20; FALSE) + IF(AND(Steroid_Runes; Runes!C3); 50; 0)")</f>
        <v>=VLOOKUP(Name; Champs!A:T; 20; FALSE) + IF(AND(Steroid_Runes; Runes!C3); 50; 0)</v>
      </c>
      <c r="N42" s="76"/>
      <c r="O42" s="619"/>
      <c r="P42" s="619"/>
      <c r="Q42" s="619"/>
      <c r="R42" s="569"/>
    </row>
    <row r="43" spans="1:18" ht="15" customHeight="1">
      <c r="A43" s="569"/>
      <c r="B43" s="72" t="str">
        <f ca="1">IFERROR(__xludf.DUMMYFUNCTION("""COMPUTED_VALUE"""),"=""Trinity""")</f>
        <v>="Trinity"</v>
      </c>
      <c r="C43" s="616" t="str">
        <f ca="1">IFERROR(__xludf.DUMMYFUNCTION("""COMPUTED_VALUE"""),"=OR(Items!AI187;Items!AJ187;Items!AI217;Items!AJ217)")</f>
        <v>=OR(Items!AI187;Items!AJ187;Items!AI217;Items!AJ217)</v>
      </c>
      <c r="D43" s="617"/>
      <c r="E43" s="617"/>
      <c r="F43" s="617" t="str">
        <f ca="1">IFERROR(__xludf.DUMMYFUNCTION("""COMPUTED_VALUE"""),"=""Lifesteal / Hit""")</f>
        <v>="Lifesteal / Hit"</v>
      </c>
      <c r="G43" s="617" t="str">
        <f ca="1">IFERROR(__xludf.DUMMYFUNCTION("""COMPUTED_VALUE"""),"=ROUND((Self_AvgAA + OH_Phys) * Self_LS * MOD_SelfHeal + OH_Magic * Self_SV * MOD_SelfHeal + O20)")</f>
        <v>=ROUND((Self_AvgAA + OH_Phys) * Self_LS * MOD_SelfHeal + OH_Magic * Self_SV * MOD_SelfHeal + O20)</v>
      </c>
      <c r="H43" s="617"/>
      <c r="I43" s="617"/>
      <c r="J43" s="617"/>
      <c r="K43" s="617"/>
      <c r="L43" s="617"/>
      <c r="M43" s="617"/>
      <c r="N43" s="617"/>
      <c r="O43" s="617"/>
      <c r="P43" s="617"/>
      <c r="Q43" s="617"/>
      <c r="R43" s="569"/>
    </row>
    <row r="44" spans="1:18" ht="15" customHeight="1">
      <c r="A44" s="569"/>
      <c r="B44" s="76" t="str">
        <f ca="1">IFERROR(__xludf.DUMMYFUNCTION("""COMPUTED_VALUE"""),"=""ManaMuna""")</f>
        <v>="ManaMuna"</v>
      </c>
      <c r="C44" s="618" t="str">
        <f ca="1">IFERROR(__xludf.DUMMYFUNCTION("""COMPUTED_VALUE"""),"=OR(Items!AI80;Items!AJ80;Items!AI89;Items!AJ89)")</f>
        <v>=OR(Items!AI80;Items!AJ80;Items!AI89;Items!AJ89)</v>
      </c>
      <c r="D44" s="619"/>
      <c r="E44" s="619"/>
      <c r="F44" s="619"/>
      <c r="G44" s="619"/>
      <c r="H44" s="619"/>
      <c r="I44" s="619"/>
      <c r="J44" s="619"/>
      <c r="K44" s="619"/>
      <c r="L44" s="717"/>
      <c r="M44" s="657"/>
      <c r="N44" s="76"/>
      <c r="O44" s="619"/>
      <c r="P44" s="619"/>
      <c r="Q44" s="619"/>
      <c r="R44" s="569"/>
    </row>
    <row r="45" spans="1:18" ht="15" customHeight="1">
      <c r="A45" s="569"/>
      <c r="B45" s="72" t="str">
        <f ca="1">IFERROR(__xludf.DUMMYFUNCTION("""COMPUTED_VALUE"""),"=""Mejai""")</f>
        <v>="Mejai"</v>
      </c>
      <c r="C45" s="616" t="str">
        <f ca="1">IFERROR(__xludf.DUMMYFUNCTION("""COMPUTED_VALUE"""),"=OR(Items!AI82;Items!AJ82)")</f>
        <v>=OR(Items!AI82;Items!AJ82)</v>
      </c>
      <c r="D45" s="617"/>
      <c r="E45" s="617"/>
      <c r="F45" s="617"/>
      <c r="G45" s="617"/>
      <c r="H45" s="617"/>
      <c r="I45" s="617"/>
      <c r="J45" s="617"/>
      <c r="K45" s="617"/>
      <c r="L45" s="72"/>
      <c r="M45" s="617"/>
      <c r="N45" s="617"/>
      <c r="O45" s="617"/>
      <c r="P45" s="617"/>
      <c r="Q45" s="617"/>
      <c r="R45" s="569"/>
    </row>
    <row r="46" spans="1:18" ht="15" customHeight="1">
      <c r="A46" s="569"/>
      <c r="B46" s="76" t="str">
        <f ca="1">IFERROR(__xludf.DUMMYFUNCTION("""COMPUTED_VALUE"""),"=""Darkseal""")</f>
        <v>="Darkseal"</v>
      </c>
      <c r="C46" s="618" t="str">
        <f ca="1">IFERROR(__xludf.DUMMYFUNCTION("""COMPUTED_VALUE"""),"=OR(Items!AI38;Items!AJ38)")</f>
        <v>=OR(Items!AI38;Items!AJ38)</v>
      </c>
      <c r="D46" s="619"/>
      <c r="E46" s="619"/>
      <c r="F46" s="619"/>
      <c r="G46" s="619"/>
      <c r="H46" s="619"/>
      <c r="I46" s="619"/>
      <c r="J46" s="619"/>
      <c r="K46" s="619"/>
      <c r="L46" s="76"/>
      <c r="M46" s="619"/>
      <c r="N46" s="76"/>
      <c r="O46" s="619"/>
      <c r="P46" s="619"/>
      <c r="Q46" s="619"/>
      <c r="R46" s="569"/>
    </row>
    <row r="47" spans="1:18" ht="15" customHeight="1">
      <c r="A47" s="569"/>
      <c r="B47" s="72" t="str">
        <f ca="1">IFERROR(__xludf.DUMMYFUNCTION("""COMPUTED_VALUE"""),"=""Rageblade""")</f>
        <v>="Rageblade"</v>
      </c>
      <c r="C47" s="616" t="str">
        <f ca="1">IFERROR(__xludf.DUMMYFUNCTION("""COMPUTED_VALUE"""),"=OR(Items!AI170;Items!AJ170;Items!AI200;Items!AJ200)")</f>
        <v>=OR(Items!AI170;Items!AJ170;Items!AI200;Items!AJ200)</v>
      </c>
      <c r="D47" s="617"/>
      <c r="E47" s="617"/>
      <c r="F47" s="617"/>
      <c r="G47" s="617"/>
      <c r="H47" s="617"/>
      <c r="I47" s="617"/>
      <c r="J47" s="617"/>
      <c r="K47" s="617"/>
      <c r="L47" s="72"/>
      <c r="M47" s="617"/>
      <c r="N47" s="617"/>
      <c r="O47" s="617"/>
      <c r="P47" s="617"/>
      <c r="Q47" s="617"/>
      <c r="R47" s="569"/>
    </row>
    <row r="48" spans="1:18" ht="15" customHeight="1">
      <c r="A48" s="569"/>
      <c r="B48" s="76" t="str">
        <f ca="1">IFERROR(__xludf.DUMMYFUNCTION("""COMPUTED_VALUE"""),"=""Titanic""")</f>
        <v>="Titanic"</v>
      </c>
      <c r="C48" s="618" t="str">
        <f ca="1">IFERROR(__xludf.DUMMYFUNCTION("""COMPUTED_VALUE"""),"=OR(Items!AI143;Items!AJ143)")</f>
        <v>=OR(Items!AI143;Items!AJ143)</v>
      </c>
      <c r="D48" s="619"/>
      <c r="E48" s="619"/>
      <c r="F48" s="619"/>
      <c r="G48" s="619"/>
      <c r="H48" s="619"/>
      <c r="I48" s="619"/>
      <c r="J48" s="619"/>
      <c r="K48" s="619"/>
      <c r="L48" s="619"/>
      <c r="M48" s="619"/>
      <c r="N48" s="76"/>
      <c r="O48" s="619"/>
      <c r="P48" s="619"/>
      <c r="Q48" s="619"/>
      <c r="R48" s="569"/>
    </row>
    <row r="49" spans="1:18" ht="15" customHeight="1">
      <c r="A49" s="569"/>
      <c r="B49" s="72" t="str">
        <f ca="1">IFERROR(__xludf.DUMMYFUNCTION("""COMPUTED_VALUE"""),"=""Duskblade""")</f>
        <v>="Duskblade"</v>
      </c>
      <c r="C49" s="616" t="str">
        <f ca="1">IFERROR(__xludf.DUMMYFUNCTION("""COMPUTED_VALUE"""),"=OR(Items!AI163;Items!AJ163;Items!AI193;Items!AJ193)")</f>
        <v>=OR(Items!AI163;Items!AJ163;Items!AI193;Items!AJ193)</v>
      </c>
      <c r="D49" s="617"/>
      <c r="E49" s="617"/>
      <c r="F49" s="617"/>
      <c r="G49" s="617"/>
      <c r="H49" s="617"/>
      <c r="I49" s="617"/>
      <c r="J49" s="617"/>
      <c r="K49" s="617"/>
      <c r="L49" s="617"/>
      <c r="M49" s="617"/>
      <c r="N49" s="617"/>
      <c r="O49" s="617"/>
      <c r="P49" s="617"/>
      <c r="Q49" s="617"/>
      <c r="R49" s="569"/>
    </row>
    <row r="50" spans="1:18" ht="15" customHeight="1">
      <c r="A50" s="569"/>
      <c r="B50" s="76" t="str">
        <f ca="1">IFERROR(__xludf.DUMMYFUNCTION("""COMPUTED_VALUE"""),"=""Rabadon""")</f>
        <v>="Rabadon"</v>
      </c>
      <c r="C50" s="618" t="str">
        <f ca="1">IFERROR(__xludf.DUMMYFUNCTION("""COMPUTED_VALUE"""),"=OR(Items!AI103;Items!AJ103)")</f>
        <v>=OR(Items!AI103;Items!AJ103)</v>
      </c>
      <c r="D50" s="619"/>
      <c r="E50" s="619"/>
      <c r="F50" s="619"/>
      <c r="G50" s="619"/>
      <c r="H50" s="619"/>
      <c r="I50" s="619"/>
      <c r="J50" s="619"/>
      <c r="K50" s="619"/>
      <c r="L50" s="619"/>
      <c r="M50" s="619"/>
      <c r="N50" s="76"/>
      <c r="O50" s="619"/>
      <c r="P50" s="619"/>
      <c r="Q50" s="619"/>
      <c r="R50" s="569"/>
    </row>
    <row r="51" spans="1:18" ht="15" customHeight="1">
      <c r="A51" s="569"/>
      <c r="B51" s="72" t="str">
        <f ca="1">IFERROR(__xludf.DUMMYFUNCTION("""COMPUTED_VALUE"""),"=""Warmog""")</f>
        <v>="Warmog"</v>
      </c>
      <c r="C51" s="616" t="str">
        <f ca="1">IFERROR(__xludf.DUMMYFUNCTION("""COMPUTED_VALUE"""),"=OR(Items!AI151;Items!AJ151)")</f>
        <v>=OR(Items!AI151;Items!AJ151)</v>
      </c>
      <c r="D51" s="617"/>
      <c r="E51" s="617"/>
      <c r="F51" s="617"/>
      <c r="G51" s="617"/>
      <c r="H51" s="617"/>
      <c r="I51" s="617"/>
      <c r="J51" s="617"/>
      <c r="K51" s="617"/>
      <c r="L51" s="617"/>
      <c r="M51" s="617"/>
      <c r="N51" s="617"/>
      <c r="O51" s="617"/>
      <c r="P51" s="72" t="str">
        <f ca="1">IFERROR(__xludf.DUMMYFUNCTION("""COMPUTED_VALUE"""),"=""Language""")</f>
        <v>="Language"</v>
      </c>
      <c r="Q51" s="620" t="str">
        <f ca="1">IFERROR(__xludf.DUMMYFUNCTION("""COMPUTED_VALUE"""),"=IF(Q50=""English"";0;IF(Q50=""中文"";1;IF(Q50=""한국어"";2;IF(Q50=""Español"";3;IF(Q50=""Deutsch"";4;0)))))")</f>
        <v>=IF(Q50="English";0;IF(Q50="中文";1;IF(Q50="한국어";2;IF(Q50="Español";3;IF(Q50="Deutsch";4;0)))))</v>
      </c>
      <c r="R51" s="569"/>
    </row>
    <row r="52" spans="1:18" ht="15" customHeight="1">
      <c r="A52" s="569"/>
      <c r="B52" s="76" t="str">
        <f ca="1">IFERROR(__xludf.DUMMYFUNCTION("""COMPUTED_VALUE"""),"=""SpiritVisage""")</f>
        <v>="SpiritVisage"</v>
      </c>
      <c r="C52" s="618" t="str">
        <f ca="1">IFERROR(__xludf.DUMMYFUNCTION("""COMPUTED_VALUE"""),"=OR(Items!AI131;Items!AJ131)")</f>
        <v>=OR(Items!AI131;Items!AJ131)</v>
      </c>
      <c r="D52" s="619"/>
      <c r="E52" s="619"/>
      <c r="F52" s="619"/>
      <c r="G52" s="619"/>
      <c r="H52" s="619"/>
      <c r="I52" s="619"/>
      <c r="J52" s="619"/>
      <c r="K52" s="619"/>
      <c r="L52" s="619"/>
      <c r="M52" s="619"/>
      <c r="N52" s="76"/>
      <c r="O52" s="619"/>
      <c r="P52" s="734" t="str">
        <f ca="1">IFERROR(__xludf.DUMMYFUNCTION("""COMPUTED_VALUE"""),"=""Aphelios Crescendo""")</f>
        <v>="Aphelios Crescendo"</v>
      </c>
      <c r="Q52" s="657"/>
      <c r="R52" s="569"/>
    </row>
    <row r="53" spans="1:18" ht="15" customHeight="1">
      <c r="A53" s="569"/>
      <c r="B53" s="72" t="str">
        <f ca="1">IFERROR(__xludf.DUMMYFUNCTION("""COMPUTED_VALUE"""),"=""Dorans Shield""")</f>
        <v>="Dorans Shield"</v>
      </c>
      <c r="C53" s="616" t="str">
        <f ca="1">IFERROR(__xludf.DUMMYFUNCTION("""COMPUTED_VALUE"""),"=OR(Items!AI44;Items!AJ44)")</f>
        <v>=OR(Items!AI44;Items!AJ44)</v>
      </c>
      <c r="D53" s="617"/>
      <c r="E53" s="617"/>
      <c r="F53" s="617"/>
      <c r="G53" s="617"/>
      <c r="H53" s="617"/>
      <c r="I53" s="617"/>
      <c r="J53" s="617"/>
      <c r="K53" s="617"/>
      <c r="L53" s="617"/>
      <c r="M53" s="617"/>
      <c r="N53" s="617"/>
      <c r="O53" s="617"/>
      <c r="P53" s="620" t="str">
        <f ca="1">IFERROR(__xludf.DUMMYFUNCTION("""COMPUTED_VALUE"""),"=0")</f>
        <v>=0</v>
      </c>
      <c r="Q53" s="616" t="str">
        <f ca="1">IFERROR(__xludf.DUMMYFUNCTION("""COMPUTED_VALUE"""),"=0")</f>
        <v>=0</v>
      </c>
      <c r="R53" s="569"/>
    </row>
    <row r="54" spans="1:18" ht="15" customHeight="1">
      <c r="A54" s="569"/>
      <c r="B54" s="76" t="str">
        <f ca="1">IFERROR(__xludf.DUMMYFUNCTION("""COMPUTED_VALUE"""),"=""Black Cleaver""")</f>
        <v>="Black Cleaver"</v>
      </c>
      <c r="C54" s="618" t="str">
        <f ca="1">IFERROR(__xludf.DUMMYFUNCTION("""COMPUTED_VALUE"""),"=OR(Items!AI16;Items!AJ16)")</f>
        <v>=OR(Items!AI16;Items!AJ16)</v>
      </c>
      <c r="D54" s="619"/>
      <c r="E54" s="619"/>
      <c r="F54" s="619"/>
      <c r="G54" s="619"/>
      <c r="H54" s="619"/>
      <c r="I54" s="619"/>
      <c r="J54" s="619"/>
      <c r="K54" s="619"/>
      <c r="L54" s="619"/>
      <c r="M54" s="619"/>
      <c r="N54" s="76"/>
      <c r="O54" s="619"/>
      <c r="P54" s="621" t="str">
        <f ca="1">IFERROR(__xludf.DUMMYFUNCTION("""COMPUTED_VALUE"""),"=P53 + 1")</f>
        <v>=P53 + 1</v>
      </c>
      <c r="Q54" s="618" t="str">
        <f ca="1">IFERROR(__xludf.DUMMYFUNCTION("""COMPUTED_VALUE"""),"=0,15")</f>
        <v>=0,15</v>
      </c>
      <c r="R54" s="569"/>
    </row>
    <row r="55" spans="1:18" ht="15" customHeight="1">
      <c r="A55" s="569"/>
      <c r="B55" s="72" t="str">
        <f ca="1">IFERROR(__xludf.DUMMYFUNCTION("""COMPUTED_VALUE"""),"=""Riftmaker""")</f>
        <v>="Riftmaker"</v>
      </c>
      <c r="C55" s="616" t="str">
        <f ca="1">IFERROR(__xludf.DUMMYFUNCTION("""COMPUTED_VALUE"""),"=OR(Items!AI183;Items!AJ183;Items!AI213;Items!AJ213)")</f>
        <v>=OR(Items!AI183;Items!AJ183;Items!AI213;Items!AJ213)</v>
      </c>
      <c r="D55" s="617"/>
      <c r="E55" s="617"/>
      <c r="F55" s="617"/>
      <c r="G55" s="617"/>
      <c r="H55" s="617"/>
      <c r="I55" s="617"/>
      <c r="J55" s="617"/>
      <c r="K55" s="617"/>
      <c r="L55" s="617"/>
      <c r="M55" s="617"/>
      <c r="N55" s="617"/>
      <c r="O55" s="617"/>
      <c r="P55" s="620" t="str">
        <f ca="1">IFERROR(__xludf.DUMMYFUNCTION("""COMPUTED_VALUE"""),"=P54 + 1")</f>
        <v>=P54 + 1</v>
      </c>
      <c r="Q55" s="616" t="str">
        <f ca="1">IFERROR(__xludf.DUMMYFUNCTION("""COMPUTED_VALUE"""),"=0,28")</f>
        <v>=0,28</v>
      </c>
      <c r="R55" s="569"/>
    </row>
    <row r="56" spans="1:18" ht="15" customHeight="1">
      <c r="A56" s="569"/>
      <c r="B56" s="76" t="str">
        <f ca="1">IFERROR(__xludf.DUMMYFUNCTION("""COMPUTED_VALUE"""),"=""Vigilant Wardstone""")</f>
        <v>="Vigilant Wardstone"</v>
      </c>
      <c r="C56" s="618" t="str">
        <f ca="1">IFERROR(__xludf.DUMMYFUNCTION("""COMPUTED_VALUE"""),"=OR(Items!AI148;Items!AJ148)")</f>
        <v>=OR(Items!AI148;Items!AJ148)</v>
      </c>
      <c r="D56" s="619"/>
      <c r="E56" s="619"/>
      <c r="F56" s="619"/>
      <c r="G56" s="619"/>
      <c r="H56" s="619"/>
      <c r="I56" s="619"/>
      <c r="J56" s="619"/>
      <c r="K56" s="619"/>
      <c r="L56" s="619"/>
      <c r="M56" s="619"/>
      <c r="N56" s="76"/>
      <c r="O56" s="619"/>
      <c r="P56" s="621" t="str">
        <f ca="1">IFERROR(__xludf.DUMMYFUNCTION("""COMPUTED_VALUE"""),"=P55 + 1")</f>
        <v>=P55 + 1</v>
      </c>
      <c r="Q56" s="618" t="str">
        <f ca="1">IFERROR(__xludf.DUMMYFUNCTION("""COMPUTED_VALUE"""),"=0,435")</f>
        <v>=0,435</v>
      </c>
      <c r="R56" s="569"/>
    </row>
    <row r="57" spans="1:18" ht="15" customHeight="1">
      <c r="A57" s="569"/>
      <c r="B57" s="72" t="str">
        <f ca="1">IFERROR(__xludf.DUMMYFUNCTION("""COMPUTED_VALUE"""),"=""Bamis Cinder""")</f>
        <v>="Bamis Cinder"</v>
      </c>
      <c r="C57" s="616" t="str">
        <f ca="1">IFERROR(__xludf.DUMMYFUNCTION("""COMPUTED_VALUE"""),"=OR(Items!AI12;Items!AJ12)")</f>
        <v>=OR(Items!AI12;Items!AJ12)</v>
      </c>
      <c r="D57" s="617"/>
      <c r="E57" s="617"/>
      <c r="F57" s="617"/>
      <c r="G57" s="617"/>
      <c r="H57" s="617"/>
      <c r="I57" s="617"/>
      <c r="J57" s="617"/>
      <c r="K57" s="617"/>
      <c r="L57" s="617"/>
      <c r="M57" s="617"/>
      <c r="N57" s="617"/>
      <c r="O57" s="617"/>
      <c r="P57" s="620" t="str">
        <f ca="1">IFERROR(__xludf.DUMMYFUNCTION("""COMPUTED_VALUE"""),"=P56 + 1")</f>
        <v>=P56 + 1</v>
      </c>
      <c r="Q57" s="616" t="str">
        <f ca="1">IFERROR(__xludf.DUMMYFUNCTION("""COMPUTED_VALUE"""),"=0,575")</f>
        <v>=0,575</v>
      </c>
      <c r="R57" s="569"/>
    </row>
    <row r="58" spans="1:18" ht="15" customHeight="1">
      <c r="A58" s="569"/>
      <c r="B58" s="76" t="str">
        <f ca="1">IFERROR(__xludf.DUMMYFUNCTION("""COMPUTED_VALUE"""),"=""Sunfire Item""")</f>
        <v>="Sunfire Item"</v>
      </c>
      <c r="C58" s="618" t="str">
        <f ca="1">IFERROR(__xludf.DUMMYFUNCTION("""COMPUTED_VALUE"""),"=OR(Items!AI137;Items!AJ137)")</f>
        <v>=OR(Items!AI137;Items!AJ137)</v>
      </c>
      <c r="D58" s="619"/>
      <c r="E58" s="619"/>
      <c r="F58" s="619"/>
      <c r="G58" s="619"/>
      <c r="H58" s="619"/>
      <c r="I58" s="619"/>
      <c r="J58" s="619"/>
      <c r="K58" s="619"/>
      <c r="L58" s="619"/>
      <c r="M58" s="619"/>
      <c r="N58" s="76"/>
      <c r="O58" s="619"/>
      <c r="P58" s="621" t="str">
        <f ca="1">IFERROR(__xludf.DUMMYFUNCTION("""COMPUTED_VALUE"""),"=P57 + 1")</f>
        <v>=P57 + 1</v>
      </c>
      <c r="Q58" s="618" t="str">
        <f ca="1">IFERROR(__xludf.DUMMYFUNCTION("""COMPUTED_VALUE"""),"=0,7")</f>
        <v>=0,7</v>
      </c>
      <c r="R58" s="569"/>
    </row>
    <row r="59" spans="1:18" ht="15" customHeight="1">
      <c r="A59" s="569"/>
      <c r="B59" s="238" t="str">
        <f ca="1">IFERROR(__xludf.DUMMYFUNCTION("""COMPUTED_VALUE"""),"=""Funfire Bonus""")</f>
        <v>="Funfire Bonus"</v>
      </c>
      <c r="C59" s="622" t="str">
        <f ca="1">IFERROR(__xludf.DUMMYFUNCTION("""COMPUTED_VALUE"""),"=OR(Items!AI137;Items!AJ137)")</f>
        <v>=OR(Items!AI137;Items!AJ137)</v>
      </c>
      <c r="D59" s="617"/>
      <c r="E59" s="617"/>
      <c r="F59" s="617"/>
      <c r="G59" s="617"/>
      <c r="H59" s="617"/>
      <c r="I59" s="617"/>
      <c r="J59" s="617"/>
      <c r="K59" s="617"/>
      <c r="L59" s="617"/>
      <c r="M59" s="617"/>
      <c r="N59" s="617"/>
      <c r="O59" s="617"/>
      <c r="P59" s="620" t="str">
        <f ca="1">IFERROR(__xludf.DUMMYFUNCTION("""COMPUTED_VALUE"""),"=P58 + 1")</f>
        <v>=P58 + 1</v>
      </c>
      <c r="Q59" s="616" t="str">
        <f ca="1">IFERROR(__xludf.DUMMYFUNCTION("""COMPUTED_VALUE"""),"=0,81")</f>
        <v>=0,81</v>
      </c>
      <c r="R59" s="569"/>
    </row>
    <row r="60" spans="1:18" ht="15" customHeight="1">
      <c r="A60" s="569"/>
      <c r="B60" s="619" t="str">
        <f ca="1">IFERROR(__xludf.DUMMYFUNCTION("""COMPUTED_VALUE"""),"=""Fimbul""")</f>
        <v>="Fimbul"</v>
      </c>
      <c r="C60" s="618" t="str">
        <f ca="1">IFERROR(__xludf.DUMMYFUNCTION("""COMPUTED_VALUE"""),"=OR(Items!AI50;Items!AJ50;Items!AI154;Items!AJ154)")</f>
        <v>=OR(Items!AI50;Items!AJ50;Items!AI154;Items!AJ154)</v>
      </c>
      <c r="D60" s="619"/>
      <c r="E60" s="619"/>
      <c r="F60" s="619"/>
      <c r="G60" s="619"/>
      <c r="H60" s="619"/>
      <c r="I60" s="619"/>
      <c r="J60" s="619"/>
      <c r="K60" s="619"/>
      <c r="L60" s="619"/>
      <c r="M60" s="619"/>
      <c r="N60" s="76"/>
      <c r="O60" s="619"/>
      <c r="P60" s="621" t="str">
        <f ca="1">IFERROR(__xludf.DUMMYFUNCTION("""COMPUTED_VALUE"""),"=P59 + 1")</f>
        <v>=P59 + 1</v>
      </c>
      <c r="Q60" s="618" t="str">
        <f ca="1">IFERROR(__xludf.DUMMYFUNCTION("""COMPUTED_VALUE"""),"=0,905")</f>
        <v>=0,905</v>
      </c>
      <c r="R60" s="569"/>
    </row>
    <row r="61" spans="1:18" ht="15" customHeight="1">
      <c r="A61" s="569"/>
      <c r="B61" s="623" t="str">
        <f ca="1">IFERROR(__xludf.DUMMYFUNCTION("""COMPUTED_VALUE"""),"=""Demonic Embrace""")</f>
        <v>="Demonic Embrace"</v>
      </c>
      <c r="C61" s="624" t="str">
        <f ca="1">IFERROR(__xludf.DUMMYFUNCTION("""COMPUTED_VALUE"""),"=OR(Items!AI41;Items!AJ41)")</f>
        <v>=OR(Items!AI41;Items!AJ41)</v>
      </c>
      <c r="D61" s="617"/>
      <c r="E61" s="617"/>
      <c r="F61" s="617"/>
      <c r="G61" s="617"/>
      <c r="H61" s="617"/>
      <c r="I61" s="617"/>
      <c r="J61" s="617"/>
      <c r="K61" s="617"/>
      <c r="L61" s="617"/>
      <c r="M61" s="617"/>
      <c r="N61" s="617"/>
      <c r="O61" s="617"/>
      <c r="P61" s="620" t="str">
        <f ca="1">IFERROR(__xludf.DUMMYFUNCTION("""COMPUTED_VALUE"""),"=P60 + 1")</f>
        <v>=P60 + 1</v>
      </c>
      <c r="Q61" s="616" t="str">
        <f ca="1">IFERROR(__xludf.DUMMYFUNCTION("""COMPUTED_VALUE"""),"=0,985")</f>
        <v>=0,985</v>
      </c>
      <c r="R61" s="569"/>
    </row>
    <row r="62" spans="1:18" ht="15" customHeight="1">
      <c r="A62" s="569"/>
      <c r="B62" s="108" t="str">
        <f ca="1">IFERROR(__xludf.DUMMYFUNCTION("""COMPUTED_VALUE"""),"=""Dorans Ring""")</f>
        <v>="Dorans Ring"</v>
      </c>
      <c r="C62" s="618" t="str">
        <f ca="1">IFERROR(__xludf.DUMMYFUNCTION("""COMPUTED_VALUE"""),"=OR(Items!AI43;Items!AJ43)")</f>
        <v>=OR(Items!AI43;Items!AJ43)</v>
      </c>
      <c r="D62" s="619"/>
      <c r="E62" s="619"/>
      <c r="F62" s="619"/>
      <c r="G62" s="619"/>
      <c r="H62" s="619"/>
      <c r="I62" s="619"/>
      <c r="J62" s="619"/>
      <c r="K62" s="619"/>
      <c r="L62" s="619"/>
      <c r="M62" s="619"/>
      <c r="N62" s="619"/>
      <c r="O62" s="619"/>
      <c r="P62" s="621" t="str">
        <f ca="1">IFERROR(__xludf.DUMMYFUNCTION("""COMPUTED_VALUE"""),"=P61 + 1")</f>
        <v>=P61 + 1</v>
      </c>
      <c r="Q62" s="618" t="str">
        <f ca="1">IFERROR(__xludf.DUMMYFUNCTION("""COMPUTED_VALUE"""),"=1,05")</f>
        <v>=1,05</v>
      </c>
      <c r="R62" s="569"/>
    </row>
    <row r="63" spans="1:18" ht="15" customHeight="1">
      <c r="A63" s="569"/>
      <c r="B63" s="617"/>
      <c r="C63" s="617"/>
      <c r="D63" s="617"/>
      <c r="E63" s="617"/>
      <c r="F63" s="617"/>
      <c r="G63" s="617"/>
      <c r="H63" s="617"/>
      <c r="I63" s="617"/>
      <c r="J63" s="617"/>
      <c r="K63" s="617"/>
      <c r="L63" s="617"/>
      <c r="M63" s="617"/>
      <c r="N63" s="617"/>
      <c r="O63" s="617"/>
      <c r="P63" s="620" t="str">
        <f ca="1">IFERROR(__xludf.DUMMYFUNCTION("""COMPUTED_VALUE"""),"=P62 + 1")</f>
        <v>=P62 + 1</v>
      </c>
      <c r="Q63" s="616" t="str">
        <f ca="1">IFERROR(__xludf.DUMMYFUNCTION("""COMPUTED_VALUE"""),"=1,1")</f>
        <v>=1,1</v>
      </c>
      <c r="R63" s="569"/>
    </row>
    <row r="64" spans="1:18" ht="15" customHeight="1">
      <c r="A64" s="569"/>
      <c r="B64" s="619" t="str">
        <f ca="1">IFERROR(__xludf.DUMMYFUNCTION("""COMPUTED_VALUE"""),"=""Abyssal Mask""")</f>
        <v>="Abyssal Mask"</v>
      </c>
      <c r="C64" s="619" t="str">
        <f ca="1">IFERROR(__xludf.DUMMYFUNCTION("""COMPUTED_VALUE"""),"=OR(Items!AI3;Items!AJ3)")</f>
        <v>=OR(Items!AI3;Items!AJ3)</v>
      </c>
      <c r="D64" s="619"/>
      <c r="E64" s="619"/>
      <c r="F64" s="619"/>
      <c r="G64" s="619"/>
      <c r="H64" s="619"/>
      <c r="I64" s="619"/>
      <c r="J64" s="619"/>
      <c r="K64" s="619"/>
      <c r="L64" s="619"/>
      <c r="M64" s="619"/>
      <c r="N64" s="619"/>
      <c r="O64" s="619"/>
      <c r="P64" s="621" t="str">
        <f ca="1">IFERROR(__xludf.DUMMYFUNCTION("""COMPUTED_VALUE"""),"=P63 + 1")</f>
        <v>=P63 + 1</v>
      </c>
      <c r="Q64" s="618" t="str">
        <f ca="1">IFERROR(__xludf.DUMMYFUNCTION("""COMPUTED_VALUE"""),"=Q63 + 0,05")</f>
        <v>=Q63 + 0,05</v>
      </c>
      <c r="R64" s="569"/>
    </row>
    <row r="65" spans="1:18" ht="15" customHeight="1">
      <c r="A65" s="569"/>
      <c r="B65" s="617" t="str">
        <f ca="1">IFERROR(__xludf.DUMMYFUNCTION("""COMPUTED_VALUE"""),"=""Gargoyle""")</f>
        <v>="Gargoyle"</v>
      </c>
      <c r="C65" s="617" t="str">
        <f ca="1">IFERROR(__xludf.DUMMYFUNCTION("""COMPUTED_VALUE"""),"=OR(Items!AI55; Items!AJ55)")</f>
        <v>=OR(Items!AI55; Items!AJ55)</v>
      </c>
      <c r="D65" s="617"/>
      <c r="E65" s="617"/>
      <c r="F65" s="617"/>
      <c r="G65" s="617"/>
      <c r="H65" s="617"/>
      <c r="I65" s="617"/>
      <c r="J65" s="617"/>
      <c r="K65" s="617"/>
      <c r="L65" s="617"/>
      <c r="M65" s="617"/>
      <c r="N65" s="617"/>
      <c r="O65" s="617"/>
      <c r="P65" s="620" t="str">
        <f ca="1">IFERROR(__xludf.DUMMYFUNCTION("""COMPUTED_VALUE"""),"=P64 + 1")</f>
        <v>=P64 + 1</v>
      </c>
      <c r="Q65" s="616" t="str">
        <f ca="1">IFERROR(__xludf.DUMMYFUNCTION("""COMPUTED_VALUE"""),"=Q64 + 0,05")</f>
        <v>=Q64 + 0,05</v>
      </c>
      <c r="R65" s="569"/>
    </row>
    <row r="66" spans="1:18" ht="15" customHeight="1">
      <c r="A66" s="569"/>
      <c r="B66" s="619" t="str">
        <f ca="1">IFERROR(__xludf.DUMMYFUNCTION("""COMPUTED_VALUE"""),"=""Jak'Sho""")</f>
        <v>="Jak'Sho"</v>
      </c>
      <c r="C66" s="619" t="str">
        <f ca="1">IFERROR(__xludf.DUMMYFUNCTION("""COMPUTED_VALUE"""),"=AND(OR(Items!AI175; Items!AJ175; Items!AJ205; Items!AI205); Steroid_Items)")</f>
        <v>=AND(OR(Items!AI175; Items!AJ175; Items!AJ205; Items!AI205); Steroid_Items)</v>
      </c>
      <c r="D66" s="619"/>
      <c r="E66" s="619"/>
      <c r="F66" s="619"/>
      <c r="G66" s="619"/>
      <c r="H66" s="619"/>
      <c r="I66" s="619"/>
      <c r="J66" s="619"/>
      <c r="K66" s="619"/>
      <c r="L66" s="619"/>
      <c r="M66" s="619"/>
      <c r="N66" s="734" t="str">
        <f ca="1">IFERROR(__xludf.DUMMYFUNCTION("""COMPUTED_VALUE"""),"=""Skillpoints""")</f>
        <v>="Skillpoints"</v>
      </c>
      <c r="O66" s="657"/>
      <c r="P66" s="621" t="str">
        <f ca="1">IFERROR(__xludf.DUMMYFUNCTION("""COMPUTED_VALUE"""),"=P65 + 1")</f>
        <v>=P65 + 1</v>
      </c>
      <c r="Q66" s="618" t="str">
        <f ca="1">IFERROR(__xludf.DUMMYFUNCTION("""COMPUTED_VALUE"""),"=Q65 + 0,05")</f>
        <v>=Q65 + 0,05</v>
      </c>
      <c r="R66" s="569"/>
    </row>
    <row r="67" spans="1:18" ht="15" customHeight="1">
      <c r="A67" s="569"/>
      <c r="B67" s="617" t="str">
        <f ca="1">IFERROR(__xludf.DUMMYFUNCTION("""COMPUTED_VALUE"""),"=""Radiant""")</f>
        <v>="Radiant"</v>
      </c>
      <c r="C67" s="617" t="str">
        <f ca="1">IFERROR(__xludf.DUMMYFUNCTION("""COMPUTED_VALUE"""),"=AND(OR(Items!AI182; Items!AJ182; Items!AI212; Items!AJ212); Steroid_Items)")</f>
        <v>=AND(OR(Items!AI182; Items!AJ182; Items!AI212; Items!AJ212); Steroid_Items)</v>
      </c>
      <c r="D67" s="617"/>
      <c r="E67" s="617"/>
      <c r="F67" s="617"/>
      <c r="G67" s="617"/>
      <c r="H67" s="617"/>
      <c r="I67" s="617"/>
      <c r="J67" s="617"/>
      <c r="K67" s="617"/>
      <c r="L67" s="617"/>
      <c r="M67" s="617"/>
      <c r="N67" s="72" t="str">
        <f ca="1">IFERROR(__xludf.DUMMYFUNCTION("""COMPUTED_VALUE"""),"=""Points Q""")</f>
        <v>="Points Q"</v>
      </c>
      <c r="O67" s="616" t="str">
        <f ca="1">IFERROR(__xludf.DUMMYFUNCTION("""COMPUTED_VALUE"""),"=Interface!L4")</f>
        <v>=Interface!L4</v>
      </c>
      <c r="P67" s="620" t="str">
        <f ca="1">IFERROR(__xludf.DUMMYFUNCTION("""COMPUTED_VALUE"""),"=P66 + 1")</f>
        <v>=P66 + 1</v>
      </c>
      <c r="Q67" s="616" t="str">
        <f ca="1">IFERROR(__xludf.DUMMYFUNCTION("""COMPUTED_VALUE"""),"=Q66 + 0,05")</f>
        <v>=Q66 + 0,05</v>
      </c>
      <c r="R67" s="569"/>
    </row>
    <row r="68" spans="1:18" ht="15" customHeight="1">
      <c r="A68" s="569"/>
      <c r="B68" s="619" t="str">
        <f ca="1">IFERROR(__xludf.DUMMYFUNCTION("""COMPUTED_VALUE"""),"=""Heartsteel""")</f>
        <v>="Heartsteel"</v>
      </c>
      <c r="C68" s="619" t="str">
        <f ca="1">IFERROR(__xludf.DUMMYFUNCTION("""COMPUTED_VALUE"""),"=OR(Items!AI171; Items!AJ171; Items!AI201; Items!AJ201)")</f>
        <v>=OR(Items!AI171; Items!AJ171; Items!AI201; Items!AJ201)</v>
      </c>
      <c r="D68" s="619"/>
      <c r="E68" s="619" t="str">
        <f ca="1">IFERROR(__xludf.DUMMYFUNCTION("""COMPUTED_VALUE"""),"=0,005 * Self_BoMP")</f>
        <v>=0,005 * Self_BoMP</v>
      </c>
      <c r="F68" s="619"/>
      <c r="G68" s="619"/>
      <c r="H68" s="619"/>
      <c r="I68" s="619"/>
      <c r="J68" s="619"/>
      <c r="K68" s="619"/>
      <c r="L68" s="619"/>
      <c r="M68" s="619"/>
      <c r="N68" s="76" t="str">
        <f ca="1">IFERROR(__xludf.DUMMYFUNCTION("""COMPUTED_VALUE"""),"=""Points W""")</f>
        <v>="Points W"</v>
      </c>
      <c r="O68" s="625" t="str">
        <f ca="1">IFERROR(__xludf.DUMMYFUNCTION("""COMPUTED_VALUE"""),"=Interface!L5")</f>
        <v>=Interface!L5</v>
      </c>
      <c r="P68" s="621" t="str">
        <f ca="1">IFERROR(__xludf.DUMMYFUNCTION("""COMPUTED_VALUE"""),"=P67 + 1")</f>
        <v>=P67 + 1</v>
      </c>
      <c r="Q68" s="618" t="str">
        <f ca="1">IFERROR(__xludf.DUMMYFUNCTION("""COMPUTED_VALUE"""),"=Q67 + 0,05")</f>
        <v>=Q67 + 0,05</v>
      </c>
      <c r="R68" s="569"/>
    </row>
    <row r="69" spans="1:18" ht="15" customHeight="1">
      <c r="A69" s="569"/>
      <c r="B69" s="617" t="str">
        <f ca="1">IFERROR(__xludf.DUMMYFUNCTION("""COMPUTED_VALUE"""),"=""E_Randiuns""")</f>
        <v>="E_Randiuns"</v>
      </c>
      <c r="C69" s="617" t="str">
        <f ca="1">IFERROR(__xludf.DUMMYFUNCTION("""COMPUTED_VALUE"""),"=IF(Items!AM105;TRUE;FALSE)")</f>
        <v>=IF(Items!AM105;TRUE;FALSE)</v>
      </c>
      <c r="D69" s="617"/>
      <c r="E69" s="617"/>
      <c r="F69" s="617"/>
      <c r="G69" s="617"/>
      <c r="H69" s="617"/>
      <c r="I69" s="617"/>
      <c r="J69" s="617"/>
      <c r="K69" s="617"/>
      <c r="L69" s="617"/>
      <c r="M69" s="617"/>
      <c r="N69" s="72" t="str">
        <f ca="1">IFERROR(__xludf.DUMMYFUNCTION("""COMPUTED_VALUE"""),"=""Points E""")</f>
        <v>="Points E"</v>
      </c>
      <c r="O69" s="626" t="str">
        <f ca="1">IFERROR(__xludf.DUMMYFUNCTION("""COMPUTED_VALUE"""),"=Interface!L6")</f>
        <v>=Interface!L6</v>
      </c>
      <c r="P69" s="620" t="str">
        <f ca="1">IFERROR(__xludf.DUMMYFUNCTION("""COMPUTED_VALUE"""),"=P68 + 1")</f>
        <v>=P68 + 1</v>
      </c>
      <c r="Q69" s="616" t="str">
        <f ca="1">IFERROR(__xludf.DUMMYFUNCTION("""COMPUTED_VALUE"""),"=Q68 + 0,05")</f>
        <v>=Q68 + 0,05</v>
      </c>
      <c r="R69" s="569"/>
    </row>
    <row r="70" spans="1:18" ht="15" customHeight="1">
      <c r="A70" s="569"/>
      <c r="B70" s="619" t="str">
        <f ca="1">IFERROR(__xludf.DUMMYFUNCTION("""COMPUTED_VALUE"""),"=""Spear""")</f>
        <v>="Spear"</v>
      </c>
      <c r="C70" s="619" t="str">
        <f ca="1">IFERROR(__xludf.DUMMYFUNCTION("""COMPUTED_VALUE"""),"=OR(Items!AI127; Items!AJ127)")</f>
        <v>=OR(Items!AI127; Items!AJ127)</v>
      </c>
      <c r="D70" s="619"/>
      <c r="E70" s="619"/>
      <c r="F70" s="619"/>
      <c r="G70" s="619"/>
      <c r="H70" s="619"/>
      <c r="I70" s="619"/>
      <c r="J70" s="619"/>
      <c r="K70" s="619"/>
      <c r="L70" s="619"/>
      <c r="M70" s="619"/>
      <c r="N70" s="76" t="str">
        <f ca="1">IFERROR(__xludf.DUMMYFUNCTION("""COMPUTED_VALUE"""),"=""Points R""")</f>
        <v>="Points R"</v>
      </c>
      <c r="O70" s="625" t="str">
        <f ca="1">IFERROR(__xludf.DUMMYFUNCTION("""COMPUTED_VALUE"""),"=Interface!L7")</f>
        <v>=Interface!L7</v>
      </c>
      <c r="P70" s="621" t="str">
        <f ca="1">IFERROR(__xludf.DUMMYFUNCTION("""COMPUTED_VALUE"""),"=P69 + 1")</f>
        <v>=P69 + 1</v>
      </c>
      <c r="Q70" s="618" t="str">
        <f ca="1">IFERROR(__xludf.DUMMYFUNCTION("""COMPUTED_VALUE"""),"=Q69 + 0,05")</f>
        <v>=Q69 + 0,05</v>
      </c>
      <c r="R70" s="569"/>
    </row>
    <row r="71" spans="1:18" ht="15" customHeight="1">
      <c r="A71" s="569"/>
      <c r="B71" s="617" t="str">
        <f ca="1">IFERROR(__xludf.DUMMYFUNCTION("""COMPUTED_VALUE"""),"=""Navori""")</f>
        <v>="Navori"</v>
      </c>
      <c r="C71" s="617" t="str">
        <f ca="1">IFERROR(__xludf.DUMMYFUNCTION("""COMPUTED_VALUE"""),"=OR(Items!AI180;Items!AJ180;Items!AI210;Items!AJ210)")</f>
        <v>=OR(Items!AI180;Items!AJ180;Items!AI210;Items!AJ210)</v>
      </c>
      <c r="D71" s="617"/>
      <c r="E71" s="617"/>
      <c r="F71" s="617"/>
      <c r="G71" s="617"/>
      <c r="H71" s="617"/>
      <c r="I71" s="617"/>
      <c r="J71" s="617"/>
      <c r="K71" s="617"/>
      <c r="L71" s="617"/>
      <c r="M71" s="617"/>
      <c r="N71" s="735" t="str">
        <f ca="1">IFERROR(__xludf.DUMMYFUNCTION("""COMPUTED_VALUE"""),"=""Steroids""")</f>
        <v>="Steroids"</v>
      </c>
      <c r="O71" s="657"/>
      <c r="P71" s="620" t="str">
        <f ca="1">IFERROR(__xludf.DUMMYFUNCTION("""COMPUTED_VALUE"""),"=P70 + 1")</f>
        <v>=P70 + 1</v>
      </c>
      <c r="Q71" s="616" t="str">
        <f ca="1">IFERROR(__xludf.DUMMYFUNCTION("""COMPUTED_VALUE"""),"=Q70 + 0,05")</f>
        <v>=Q70 + 0,05</v>
      </c>
      <c r="R71" s="569"/>
    </row>
    <row r="72" spans="1:18" ht="15" customHeight="1">
      <c r="A72" s="569"/>
      <c r="B72" s="619" t="str">
        <f ca="1">IFERROR(__xludf.DUMMYFUNCTION("""COMPUTED_VALUE"""),"=""Seraph's""")</f>
        <v>="Seraph's"</v>
      </c>
      <c r="C72" s="619" t="str">
        <f ca="1">IFERROR(__xludf.DUMMYFUNCTION("""COMPUTED_VALUE"""),"=OR(Items!AI118;Items!AJ118)")</f>
        <v>=OR(Items!AI118;Items!AJ118)</v>
      </c>
      <c r="D72" s="619"/>
      <c r="E72" s="619"/>
      <c r="F72" s="619"/>
      <c r="G72" s="619"/>
      <c r="H72" s="619"/>
      <c r="I72" s="619"/>
      <c r="J72" s="619"/>
      <c r="K72" s="619"/>
      <c r="L72" s="619"/>
      <c r="M72" s="619"/>
      <c r="N72" s="108" t="str">
        <f ca="1">IFERROR(__xludf.DUMMYFUNCTION("""COMPUTED_VALUE"""),"=""Steroid Q""")</f>
        <v>="Steroid Q"</v>
      </c>
      <c r="O72" s="618" t="str">
        <f ca="1">IFERROR(__xludf.DUMMYFUNCTION("""COMPUTED_VALUE"""),"=OR(Interface!L18;O79)")</f>
        <v>=OR(Interface!L18;O79)</v>
      </c>
      <c r="P72" s="621" t="str">
        <f ca="1">IFERROR(__xludf.DUMMYFUNCTION("""COMPUTED_VALUE"""),"=P71 + 1")</f>
        <v>=P71 + 1</v>
      </c>
      <c r="Q72" s="618" t="str">
        <f ca="1">IFERROR(__xludf.DUMMYFUNCTION("""COMPUTED_VALUE"""),"=Q71 + 0,05")</f>
        <v>=Q71 + 0,05</v>
      </c>
      <c r="R72" s="569"/>
    </row>
    <row r="73" spans="1:18" ht="15" customHeight="1">
      <c r="A73" s="569"/>
      <c r="B73" s="617" t="str">
        <f ca="1">IFERROR(__xludf.DUMMYFUNCTION("""COMPUTED_VALUE"""),"=""Archangel""")</f>
        <v>="Archangel"</v>
      </c>
      <c r="C73" s="617" t="str">
        <f ca="1">IFERROR(__xludf.DUMMYFUNCTION("""COMPUTED_VALUE"""),"=OR(Items!AI8;Items!AJ8)")</f>
        <v>=OR(Items!AI8;Items!AJ8)</v>
      </c>
      <c r="D73" s="617"/>
      <c r="E73" s="617"/>
      <c r="F73" s="617"/>
      <c r="G73" s="617"/>
      <c r="H73" s="617"/>
      <c r="I73" s="617"/>
      <c r="J73" s="617"/>
      <c r="K73" s="617"/>
      <c r="L73" s="617"/>
      <c r="M73" s="617"/>
      <c r="N73" s="623" t="str">
        <f ca="1">IFERROR(__xludf.DUMMYFUNCTION("""COMPUTED_VALUE"""),"=""Steroid W""")</f>
        <v>="Steroid W"</v>
      </c>
      <c r="O73" s="616" t="str">
        <f ca="1">IFERROR(__xludf.DUMMYFUNCTION("""COMPUTED_VALUE"""),"=OR(Interface!L19;O79)")</f>
        <v>=OR(Interface!L19;O79)</v>
      </c>
      <c r="P73" s="620" t="str">
        <f ca="1">IFERROR(__xludf.DUMMYFUNCTION("""COMPUTED_VALUE"""),"=P72 + 1")</f>
        <v>=P72 + 1</v>
      </c>
      <c r="Q73" s="616" t="str">
        <f ca="1">IFERROR(__xludf.DUMMYFUNCTION("""COMPUTED_VALUE"""),"=Q72 + 0,05")</f>
        <v>=Q72 + 0,05</v>
      </c>
      <c r="R73" s="569"/>
    </row>
    <row r="74" spans="1:18" ht="15" customHeight="1">
      <c r="A74" s="569"/>
      <c r="B74" s="618" t="str">
        <f ca="1">IFERROR(__xludf.DUMMYFUNCTION("""COMPUTED_VALUE"""),"=""Runes""")</f>
        <v>="Runes"</v>
      </c>
      <c r="C74" s="619"/>
      <c r="D74" s="619"/>
      <c r="E74" s="619"/>
      <c r="F74" s="619"/>
      <c r="G74" s="619"/>
      <c r="H74" s="619"/>
      <c r="I74" s="619"/>
      <c r="J74" s="619"/>
      <c r="K74" s="619"/>
      <c r="L74" s="619"/>
      <c r="M74" s="619"/>
      <c r="N74" s="108" t="str">
        <f ca="1">IFERROR(__xludf.DUMMYFUNCTION("""COMPUTED_VALUE"""),"=""Steroid E""")</f>
        <v>="Steroid E"</v>
      </c>
      <c r="O74" s="627" t="str">
        <f ca="1">IFERROR(__xludf.DUMMYFUNCTION("""COMPUTED_VALUE"""),"=OR(Interface!L20;O79)")</f>
        <v>=OR(Interface!L20;O79)</v>
      </c>
      <c r="P74" s="734" t="str">
        <f ca="1">IFERROR(__xludf.DUMMYFUNCTION("""COMPUTED_VALUE"""),"=""Summoner Values""")</f>
        <v>="Summoner Values"</v>
      </c>
      <c r="Q74" s="657"/>
      <c r="R74" s="569"/>
    </row>
    <row r="75" spans="1:18" ht="15" customHeight="1">
      <c r="A75" s="569"/>
      <c r="B75" s="72" t="str">
        <f ca="1">IFERROR(__xludf.DUMMYFUNCTION("""COMPUTED_VALUE"""),"=""-""")</f>
        <v>="-"</v>
      </c>
      <c r="C75" s="617"/>
      <c r="D75" s="617"/>
      <c r="E75" s="617"/>
      <c r="F75" s="617"/>
      <c r="G75" s="617"/>
      <c r="H75" s="617"/>
      <c r="I75" s="617"/>
      <c r="J75" s="617"/>
      <c r="K75" s="617"/>
      <c r="L75" s="617"/>
      <c r="M75" s="617"/>
      <c r="N75" s="623" t="str">
        <f ca="1">IFERROR(__xludf.DUMMYFUNCTION("""COMPUTED_VALUE"""),"=""Steroid R""")</f>
        <v>="Steroid R"</v>
      </c>
      <c r="O75" s="622" t="str">
        <f ca="1">IFERROR(__xludf.DUMMYFUNCTION("""COMPUTED_VALUE"""),"=OR(Interface!L21;O79)")</f>
        <v>=OR(Interface!L21;O79)</v>
      </c>
      <c r="P75" s="72" t="str">
        <f ca="1">IFERROR(__xludf.DUMMYFUNCTION("""COMPUTED_VALUE"""),"=""-""")</f>
        <v>="-"</v>
      </c>
      <c r="Q75" s="620" t="str">
        <f ca="1">IFERROR(__xludf.DUMMYFUNCTION("""COMPUTED_VALUE"""),"=0")</f>
        <v>=0</v>
      </c>
      <c r="R75" s="569"/>
    </row>
    <row r="76" spans="1:18" ht="15" customHeight="1">
      <c r="A76" s="569"/>
      <c r="B76" s="76" t="str">
        <f ca="1">IFERROR(__xludf.DUMMYFUNCTION("""COMPUTED_VALUE"""),"=""Rune 1""")</f>
        <v>="Rune 1"</v>
      </c>
      <c r="C76" s="619"/>
      <c r="D76" s="619"/>
      <c r="E76" s="619"/>
      <c r="F76" s="619"/>
      <c r="G76" s="619"/>
      <c r="H76" s="619"/>
      <c r="I76" s="619"/>
      <c r="J76" s="619"/>
      <c r="K76" s="619"/>
      <c r="L76" s="619"/>
      <c r="M76" s="619"/>
      <c r="N76" s="108" t="str">
        <f ca="1">IFERROR(__xludf.DUMMYFUNCTION("""COMPUTED_VALUE"""),"=""Steroid P""")</f>
        <v>="Steroid P"</v>
      </c>
      <c r="O76" s="627" t="str">
        <f ca="1">IFERROR(__xludf.DUMMYFUNCTION("""COMPUTED_VALUE"""),"=OR(Interface!L22;O79)")</f>
        <v>=OR(Interface!L22;O79)</v>
      </c>
      <c r="P76" s="76" t="str">
        <f ca="1">IFERROR(__xludf.DUMMYFUNCTION("""COMPUTED_VALUE"""),"=""Ignite""")</f>
        <v>="Ignite"</v>
      </c>
      <c r="Q76" s="621" t="str">
        <f ca="1">IFERROR(__xludf.DUMMYFUNCTION("""COMPUTED_VALUE"""),"=20*Self_Level+50")</f>
        <v>=20*Self_Level+50</v>
      </c>
      <c r="R76" s="569"/>
    </row>
    <row r="77" spans="1:18" ht="15" customHeight="1">
      <c r="A77" s="569"/>
      <c r="B77" s="72" t="str">
        <f ca="1">IFERROR(__xludf.DUMMYFUNCTION("""COMPUTED_VALUE"""),"=""Rune 2""")</f>
        <v>="Rune 2"</v>
      </c>
      <c r="C77" s="617"/>
      <c r="D77" s="617"/>
      <c r="E77" s="617"/>
      <c r="F77" s="617"/>
      <c r="G77" s="617"/>
      <c r="H77" s="617"/>
      <c r="I77" s="617"/>
      <c r="J77" s="617"/>
      <c r="K77" s="617"/>
      <c r="L77" s="617"/>
      <c r="M77" s="617"/>
      <c r="N77" s="623" t="str">
        <f ca="1">IFERROR(__xludf.DUMMYFUNCTION("""COMPUTED_VALUE"""),"=""Steroid Item""")</f>
        <v>="Steroid Item"</v>
      </c>
      <c r="O77" s="622" t="str">
        <f ca="1">IFERROR(__xludf.DUMMYFUNCTION("""COMPUTED_VALUE"""),"=OR(Interface!L23;O79)")</f>
        <v>=OR(Interface!L23;O79)</v>
      </c>
      <c r="P77" s="72" t="str">
        <f ca="1">IFERROR(__xludf.DUMMYFUNCTION("""COMPUTED_VALUE"""),"=""Smite""")</f>
        <v>="Smite"</v>
      </c>
      <c r="Q77" s="620" t="str">
        <f ca="1">IFERROR(__xludf.DUMMYFUNCTION("""COMPUTED_VALUE"""),"=80 + 80 * Sc_Lin")</f>
        <v>=80 + 80 * Sc_Lin</v>
      </c>
      <c r="R77" s="569"/>
    </row>
    <row r="78" spans="1:18" ht="15" customHeight="1">
      <c r="A78" s="569"/>
      <c r="B78" s="76" t="str">
        <f ca="1">IFERROR(__xludf.DUMMYFUNCTION("""COMPUTED_VALUE"""),"=""Rune 3""")</f>
        <v>="Rune 3"</v>
      </c>
      <c r="C78" s="619"/>
      <c r="D78" s="619"/>
      <c r="E78" s="619"/>
      <c r="F78" s="619"/>
      <c r="G78" s="619"/>
      <c r="H78" s="619"/>
      <c r="I78" s="619"/>
      <c r="J78" s="619"/>
      <c r="K78" s="619"/>
      <c r="L78" s="619"/>
      <c r="M78" s="619"/>
      <c r="N78" s="108" t="str">
        <f ca="1">IFERROR(__xludf.DUMMYFUNCTION("""COMPUTED_VALUE"""),"=""Steroid Runes""")</f>
        <v>="Steroid Runes"</v>
      </c>
      <c r="O78" s="627" t="str">
        <f ca="1">IFERROR(__xludf.DUMMYFUNCTION("""COMPUTED_VALUE"""),"=OR(Interface!L24;O79)")</f>
        <v>=OR(Interface!L24;O79)</v>
      </c>
      <c r="P78" s="76"/>
      <c r="Q78" s="621"/>
      <c r="R78" s="569"/>
    </row>
    <row r="79" spans="1:18" ht="15" customHeight="1">
      <c r="A79" s="569"/>
      <c r="B79" s="72" t="str">
        <f ca="1">IFERROR(__xludf.DUMMYFUNCTION("""COMPUTED_VALUE"""),"=""Rune 4""")</f>
        <v>="Rune 4"</v>
      </c>
      <c r="C79" s="617"/>
      <c r="D79" s="617"/>
      <c r="E79" s="617"/>
      <c r="F79" s="617"/>
      <c r="G79" s="617"/>
      <c r="H79" s="617"/>
      <c r="I79" s="617"/>
      <c r="J79" s="617"/>
      <c r="K79" s="617"/>
      <c r="L79" s="617"/>
      <c r="M79" s="617"/>
      <c r="N79" s="623" t="str">
        <f ca="1">IFERROR(__xludf.DUMMYFUNCTION("""COMPUTED_VALUE"""),"=""Steroid All""")</f>
        <v>="Steroid All"</v>
      </c>
      <c r="O79" s="622" t="str">
        <f ca="1">IFERROR(__xludf.DUMMYFUNCTION("""COMPUTED_VALUE"""),"=Interface!L17")</f>
        <v>=Interface!L17</v>
      </c>
      <c r="P79" s="72" t="str">
        <f ca="1">IFERROR(__xludf.DUMMYFUNCTION("""COMPUTED_VALUE"""),"=""Barrier""")</f>
        <v>="Barrier"</v>
      </c>
      <c r="Q79" s="620" t="str">
        <f ca="1">IFERROR(__xludf.DUMMYFUNCTION("""COMPUTED_VALUE"""),"=18*Self_Level+87")</f>
        <v>=18*Self_Level+87</v>
      </c>
      <c r="R79" s="569"/>
    </row>
    <row r="80" spans="1:18" ht="15" customHeight="1">
      <c r="A80" s="569"/>
      <c r="B80" s="619"/>
      <c r="C80" s="619"/>
      <c r="D80" s="619"/>
      <c r="E80" s="619"/>
      <c r="F80" s="619"/>
      <c r="G80" s="619"/>
      <c r="H80" s="619"/>
      <c r="I80" s="619"/>
      <c r="J80" s="619"/>
      <c r="K80" s="619"/>
      <c r="L80" s="619"/>
      <c r="M80" s="619"/>
      <c r="N80" s="76" t="str">
        <f ca="1">IFERROR(__xludf.DUMMYFUNCTION("""COMPUTED_VALUE"""),"=""Form""")</f>
        <v>="Form"</v>
      </c>
      <c r="O80" s="618" t="str">
        <f ca="1">IFERROR(__xludf.DUMMYFUNCTION("""COMPUTED_VALUE"""),"=Interface!L25")</f>
        <v>=Interface!L25</v>
      </c>
      <c r="P80" s="76" t="str">
        <f ca="1">IFERROR(__xludf.DUMMYFUNCTION("""COMPUTED_VALUE"""),"=""Heal""")</f>
        <v>="Heal"</v>
      </c>
      <c r="Q80" s="621" t="str">
        <f ca="1">IFERROR(__xludf.DUMMYFUNCTION("""COMPUTED_VALUE"""),"=14*Self_Level+66")</f>
        <v>=14*Self_Level+66</v>
      </c>
      <c r="R80" s="569"/>
    </row>
    <row r="81" spans="1:18" ht="13.2">
      <c r="A81" s="569"/>
      <c r="B81" s="569"/>
      <c r="C81" s="569"/>
      <c r="D81" s="569"/>
      <c r="E81" s="569"/>
      <c r="F81" s="569"/>
      <c r="G81" s="569"/>
      <c r="H81" s="569"/>
      <c r="I81" s="569"/>
      <c r="J81" s="569"/>
      <c r="K81" s="569"/>
      <c r="L81" s="569"/>
      <c r="M81" s="569"/>
      <c r="N81" s="569"/>
      <c r="O81" s="569"/>
      <c r="P81" s="569"/>
      <c r="Q81" s="569"/>
      <c r="R81" s="569"/>
    </row>
  </sheetData>
  <mergeCells count="33">
    <mergeCell ref="N28:Q28"/>
    <mergeCell ref="D28:E28"/>
    <mergeCell ref="F28:G28"/>
    <mergeCell ref="H28:I28"/>
    <mergeCell ref="J28:K28"/>
    <mergeCell ref="L28:M28"/>
    <mergeCell ref="P52:Q52"/>
    <mergeCell ref="N66:O66"/>
    <mergeCell ref="N71:O71"/>
    <mergeCell ref="P74:Q74"/>
    <mergeCell ref="B2:C2"/>
    <mergeCell ref="B16:C16"/>
    <mergeCell ref="D16:E16"/>
    <mergeCell ref="F16:G16"/>
    <mergeCell ref="H16:I16"/>
    <mergeCell ref="J16:K16"/>
    <mergeCell ref="L16:M16"/>
    <mergeCell ref="B34:C34"/>
    <mergeCell ref="B40:Q40"/>
    <mergeCell ref="B41:C41"/>
    <mergeCell ref="L44:M44"/>
    <mergeCell ref="B28:C28"/>
    <mergeCell ref="N2:O2"/>
    <mergeCell ref="P2:Q2"/>
    <mergeCell ref="N16:O16"/>
    <mergeCell ref="P16:Q16"/>
    <mergeCell ref="N22:O22"/>
    <mergeCell ref="P22:Q22"/>
    <mergeCell ref="D2:E2"/>
    <mergeCell ref="F2:G2"/>
    <mergeCell ref="H2:I2"/>
    <mergeCell ref="J2:K2"/>
    <mergeCell ref="L2:M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AJ200"/>
  <sheetViews>
    <sheetView workbookViewId="0"/>
  </sheetViews>
  <sheetFormatPr baseColWidth="10" defaultColWidth="12.6640625" defaultRowHeight="15" customHeight="1"/>
  <cols>
    <col min="1" max="1" width="17.21875" customWidth="1"/>
    <col min="2" max="36" width="5.77734375" customWidth="1"/>
  </cols>
  <sheetData>
    <row r="1" spans="1:36">
      <c r="A1" s="267" t="s">
        <v>153</v>
      </c>
      <c r="B1" s="268" t="s">
        <v>154</v>
      </c>
      <c r="C1" s="268" t="s">
        <v>155</v>
      </c>
      <c r="D1" s="268" t="s">
        <v>156</v>
      </c>
      <c r="E1" s="269" t="s">
        <v>157</v>
      </c>
      <c r="F1" s="270" t="s">
        <v>158</v>
      </c>
      <c r="G1" s="270" t="s">
        <v>159</v>
      </c>
      <c r="H1" s="270" t="s">
        <v>160</v>
      </c>
      <c r="I1" s="271" t="s">
        <v>161</v>
      </c>
      <c r="J1" s="272" t="s">
        <v>162</v>
      </c>
      <c r="K1" s="273" t="s">
        <v>163</v>
      </c>
      <c r="L1" s="274" t="s">
        <v>164</v>
      </c>
      <c r="M1" s="274" t="s">
        <v>165</v>
      </c>
      <c r="N1" s="275" t="s">
        <v>166</v>
      </c>
      <c r="O1" s="276" t="s">
        <v>167</v>
      </c>
      <c r="P1" s="276" t="s">
        <v>168</v>
      </c>
      <c r="Q1" s="277" t="s">
        <v>169</v>
      </c>
      <c r="R1" s="278" t="s">
        <v>170</v>
      </c>
      <c r="S1" s="279" t="s">
        <v>171</v>
      </c>
      <c r="T1" s="280" t="s">
        <v>44</v>
      </c>
      <c r="U1" s="281" t="s">
        <v>172</v>
      </c>
      <c r="V1" s="282" t="s">
        <v>173</v>
      </c>
      <c r="W1" s="282" t="s">
        <v>174</v>
      </c>
      <c r="X1" s="282" t="s">
        <v>175</v>
      </c>
      <c r="Y1" s="283" t="s">
        <v>176</v>
      </c>
      <c r="Z1" s="284" t="s">
        <v>177</v>
      </c>
      <c r="AA1" s="285" t="s">
        <v>178</v>
      </c>
      <c r="AB1" s="285" t="s">
        <v>179</v>
      </c>
      <c r="AC1" s="285" t="s">
        <v>180</v>
      </c>
      <c r="AD1" s="286" t="s">
        <v>181</v>
      </c>
      <c r="AE1" s="284" t="s">
        <v>182</v>
      </c>
      <c r="AF1" s="285" t="s">
        <v>183</v>
      </c>
      <c r="AG1" s="282" t="s">
        <v>184</v>
      </c>
      <c r="AH1" s="282" t="s">
        <v>185</v>
      </c>
      <c r="AI1" s="282" t="s">
        <v>186</v>
      </c>
      <c r="AJ1" s="283" t="s">
        <v>187</v>
      </c>
    </row>
    <row r="2" spans="1:36">
      <c r="A2" s="267" t="str">
        <f ca="1">IFERROR(__xludf.DUMMYFUNCTION("IMPORTRANGE(""19QEmeWlm_IOMUgVC5P_7ofY_CkEZ4ULFNEedQ8mho9M"",""DatasourceChamp!A2:AJ200"")"),"-")</f>
        <v>-</v>
      </c>
      <c r="B2" s="287" t="str">
        <f ca="1">IFERROR(__xludf.DUMMYFUNCTION("""COMPUTED_VALUE"""),"=0")</f>
        <v>=0</v>
      </c>
      <c r="C2" s="287" t="str">
        <f ca="1">IFERROR(__xludf.DUMMYFUNCTION("""COMPUTED_VALUE"""),"=0")</f>
        <v>=0</v>
      </c>
      <c r="D2" s="288" t="str">
        <f ca="1">IFERROR(__xludf.DUMMYFUNCTION("""COMPUTED_VALUE"""),"=0")</f>
        <v>=0</v>
      </c>
      <c r="E2" s="289" t="str">
        <f ca="1">IFERROR(__xludf.DUMMYFUNCTION("""COMPUTED_VALUE"""),"=0")</f>
        <v>=0</v>
      </c>
      <c r="F2" s="288" t="str">
        <f ca="1">IFERROR(__xludf.DUMMYFUNCTION("""COMPUTED_VALUE"""),"=0")</f>
        <v>=0</v>
      </c>
      <c r="G2" s="288" t="str">
        <f ca="1">IFERROR(__xludf.DUMMYFUNCTION("""COMPUTED_VALUE"""),"=0")</f>
        <v>=0</v>
      </c>
      <c r="H2" s="288" t="str">
        <f ca="1">IFERROR(__xludf.DUMMYFUNCTION("""COMPUTED_VALUE"""),"=0")</f>
        <v>=0</v>
      </c>
      <c r="I2" s="289" t="str">
        <f ca="1">IFERROR(__xludf.DUMMYFUNCTION("""COMPUTED_VALUE"""),"=0")</f>
        <v>=0</v>
      </c>
      <c r="J2" s="290" t="str">
        <f ca="1">IFERROR(__xludf.DUMMYFUNCTION("""COMPUTED_VALUE"""),"=0")</f>
        <v>=0</v>
      </c>
      <c r="K2" s="288" t="str">
        <f ca="1">IFERROR(__xludf.DUMMYFUNCTION("""COMPUTED_VALUE"""),"=0")</f>
        <v>=0</v>
      </c>
      <c r="L2" s="291" t="str">
        <f ca="1">IFERROR(__xludf.DUMMYFUNCTION("""COMPUTED_VALUE"""),"=0")</f>
        <v>=0</v>
      </c>
      <c r="M2" s="291" t="str">
        <f ca="1">IFERROR(__xludf.DUMMYFUNCTION("""COMPUTED_VALUE"""),"=0")</f>
        <v>=0</v>
      </c>
      <c r="N2" s="292" t="str">
        <f ca="1">IFERROR(__xludf.DUMMYFUNCTION("""COMPUTED_VALUE"""),"=0%")</f>
        <v>=0%</v>
      </c>
      <c r="O2" s="287" t="str">
        <f ca="1">IFERROR(__xludf.DUMMYFUNCTION("""COMPUTED_VALUE"""),"=0")</f>
        <v>=0</v>
      </c>
      <c r="P2" s="287" t="str">
        <f ca="1">IFERROR(__xludf.DUMMYFUNCTION("""COMPUTED_VALUE"""),"=0")</f>
        <v>=0</v>
      </c>
      <c r="Q2" s="288" t="str">
        <f ca="1">IFERROR(__xludf.DUMMYFUNCTION("""COMPUTED_VALUE"""),"=0")</f>
        <v>=0</v>
      </c>
      <c r="R2" s="289" t="str">
        <f ca="1">IFERROR(__xludf.DUMMYFUNCTION("""COMPUTED_VALUE"""),"=0")</f>
        <v>=0</v>
      </c>
      <c r="S2" s="287" t="str">
        <f ca="1">IFERROR(__xludf.DUMMYFUNCTION("""COMPUTED_VALUE"""),"=0")</f>
        <v>=0</v>
      </c>
      <c r="T2" s="628" t="str">
        <f ca="1">IFERROR(__xludf.DUMMYFUNCTION("""COMPUTED_VALUE"""),"=0")</f>
        <v>=0</v>
      </c>
      <c r="U2" s="295" t="str">
        <f ca="1">IFERROR(__xludf.DUMMYFUNCTION("""COMPUTED_VALUE"""),"=0")</f>
        <v>=0</v>
      </c>
      <c r="V2" s="296" t="str">
        <f ca="1">IFERROR(__xludf.DUMMYFUNCTION("""COMPUTED_VALUE"""),"=0")</f>
        <v>=0</v>
      </c>
      <c r="W2" s="296" t="str">
        <f ca="1">IFERROR(__xludf.DUMMYFUNCTION("""COMPUTED_VALUE"""),"=0")</f>
        <v>=0</v>
      </c>
      <c r="X2" s="296" t="str">
        <f ca="1">IFERROR(__xludf.DUMMYFUNCTION("""COMPUTED_VALUE"""),"=0")</f>
        <v>=0</v>
      </c>
      <c r="Y2" s="297" t="str">
        <f ca="1">IFERROR(__xludf.DUMMYFUNCTION("""COMPUTED_VALUE"""),"=0")</f>
        <v>=0</v>
      </c>
      <c r="Z2" s="281" t="str">
        <f ca="1">IFERROR(__xludf.DUMMYFUNCTION("""COMPUTED_VALUE"""),"=0")</f>
        <v>=0</v>
      </c>
      <c r="AA2" s="282" t="str">
        <f ca="1">IFERROR(__xludf.DUMMYFUNCTION("""COMPUTED_VALUE"""),"=0")</f>
        <v>=0</v>
      </c>
      <c r="AB2" s="282" t="str">
        <f ca="1">IFERROR(__xludf.DUMMYFUNCTION("""COMPUTED_VALUE"""),"=0")</f>
        <v>=0</v>
      </c>
      <c r="AC2" s="282" t="str">
        <f ca="1">IFERROR(__xludf.DUMMYFUNCTION("""COMPUTED_VALUE"""),"=0")</f>
        <v>=0</v>
      </c>
      <c r="AD2" s="283" t="str">
        <f ca="1">IFERROR(__xludf.DUMMYFUNCTION("""COMPUTED_VALUE"""),"=0")</f>
        <v>=0</v>
      </c>
      <c r="AE2" s="281" t="b">
        <f ca="1">IFERROR(__xludf.DUMMYFUNCTION("""COMPUTED_VALUE"""),TRUE)</f>
        <v>1</v>
      </c>
      <c r="AF2" s="285"/>
      <c r="AG2" s="282" t="str">
        <f ca="1">IFERROR(__xludf.DUMMYFUNCTION("""COMPUTED_VALUE"""),"=0")</f>
        <v>=0</v>
      </c>
      <c r="AH2" s="282" t="str">
        <f ca="1">IFERROR(__xludf.DUMMYFUNCTION("""COMPUTED_VALUE"""),"=0")</f>
        <v>=0</v>
      </c>
      <c r="AI2" s="282" t="b">
        <f ca="1">IFERROR(__xludf.DUMMYFUNCTION("""COMPUTED_VALUE"""),FALSE)</f>
        <v>0</v>
      </c>
      <c r="AJ2" s="283" t="b">
        <f ca="1">IFERROR(__xludf.DUMMYFUNCTION("""COMPUTED_VALUE"""),FALSE)</f>
        <v>0</v>
      </c>
    </row>
    <row r="3" spans="1:36">
      <c r="A3" s="267" t="str">
        <f ca="1">IFERROR(__xludf.DUMMYFUNCTION("""COMPUTED_VALUE"""),"Aatrox")</f>
        <v>Aatrox</v>
      </c>
      <c r="B3" s="287" t="str">
        <f ca="1">IFERROR(__xludf.DUMMYFUNCTION("""COMPUTED_VALUE"""),"=650")</f>
        <v>=650</v>
      </c>
      <c r="C3" s="287" t="str">
        <f ca="1">IFERROR(__xludf.DUMMYFUNCTION("""COMPUTED_VALUE"""),"=114")</f>
        <v>=114</v>
      </c>
      <c r="D3" s="288" t="str">
        <f ca="1">IFERROR(__xludf.DUMMYFUNCTION("""COMPUTED_VALUE"""),"=3")</f>
        <v>=3</v>
      </c>
      <c r="E3" s="289" t="str">
        <f ca="1">IFERROR(__xludf.DUMMYFUNCTION("""COMPUTED_VALUE"""),"=0,75")</f>
        <v>=0,75</v>
      </c>
      <c r="F3" s="288" t="str">
        <f ca="1">IFERROR(__xludf.DUMMYFUNCTION("""COMPUTED_VALUE"""),"=0")</f>
        <v>=0</v>
      </c>
      <c r="G3" s="288" t="str">
        <f ca="1">IFERROR(__xludf.DUMMYFUNCTION("""COMPUTED_VALUE"""),"=0")</f>
        <v>=0</v>
      </c>
      <c r="H3" s="288" t="str">
        <f ca="1">IFERROR(__xludf.DUMMYFUNCTION("""COMPUTED_VALUE"""),"=0")</f>
        <v>=0</v>
      </c>
      <c r="I3" s="289" t="str">
        <f ca="1">IFERROR(__xludf.DUMMYFUNCTION("""COMPUTED_VALUE"""),"=0")</f>
        <v>=0</v>
      </c>
      <c r="J3" s="290" t="str">
        <f ca="1">IFERROR(__xludf.DUMMYFUNCTION("""COMPUTED_VALUE"""),"=60")</f>
        <v>=60</v>
      </c>
      <c r="K3" s="288" t="str">
        <f ca="1">IFERROR(__xludf.DUMMYFUNCTION("""COMPUTED_VALUE"""),"=5")</f>
        <v>=5</v>
      </c>
      <c r="L3" s="291" t="str">
        <f ca="1">IFERROR(__xludf.DUMMYFUNCTION("""COMPUTED_VALUE"""),"=0,651")</f>
        <v>=0,651</v>
      </c>
      <c r="M3" s="291" t="str">
        <f ca="1">IFERROR(__xludf.DUMMYFUNCTION("""COMPUTED_VALUE"""),"=0,651")</f>
        <v>=0,651</v>
      </c>
      <c r="N3" s="292" t="str">
        <f ca="1">IFERROR(__xludf.DUMMYFUNCTION("""COMPUTED_VALUE"""),"=2,5%")</f>
        <v>=2,5%</v>
      </c>
      <c r="O3" s="287" t="str">
        <f ca="1">IFERROR(__xludf.DUMMYFUNCTION("""COMPUTED_VALUE"""),"=38")</f>
        <v>=38</v>
      </c>
      <c r="P3" s="287" t="str">
        <f ca="1">IFERROR(__xludf.DUMMYFUNCTION("""COMPUTED_VALUE"""),"=4,45")</f>
        <v>=4,45</v>
      </c>
      <c r="Q3" s="288" t="str">
        <f ca="1">IFERROR(__xludf.DUMMYFUNCTION("""COMPUTED_VALUE"""),"=32")</f>
        <v>=32</v>
      </c>
      <c r="R3" s="289" t="str">
        <f ca="1">IFERROR(__xludf.DUMMYFUNCTION("""COMPUTED_VALUE"""),"=2,05")</f>
        <v>=2,05</v>
      </c>
      <c r="S3" s="287" t="str">
        <f ca="1">IFERROR(__xludf.DUMMYFUNCTION("""COMPUTED_VALUE"""),"=345")</f>
        <v>=345</v>
      </c>
      <c r="T3" s="628" t="str">
        <f ca="1">IFERROR(__xludf.DUMMYFUNCTION("""COMPUTED_VALUE"""),"=175")</f>
        <v>=175</v>
      </c>
      <c r="U3" s="298" t="str">
        <f ca="1">IFERROR(__xludf.DUMMYFUNCTION("""COMPUTED_VALUE"""),"=((0,55+0,05*P_Q)*Self_AD+20*P_Q-10)*3,75*MOD_Phys*IF(Steroid_Q;1,6;1)")</f>
        <v>=((0,55+0,05*P_Q)*Self_AD+20*P_Q-10)*3,75*MOD_Phys*IF(Steroid_Q;1,6;1)</v>
      </c>
      <c r="V3" s="299" t="str">
        <f ca="1">IFERROR(__xludf.DUMMYFUNCTION("""COMPUTED_VALUE"""),"=(0,8*Self_AD+20*P_W+40)*MOD_Phys")</f>
        <v>=(0,8*Self_AD+20*P_W+40)*MOD_Phys</v>
      </c>
      <c r="W3" s="299" t="str">
        <f ca="1">IFERROR(__xludf.DUMMYFUNCTION("""COMPUTED_VALUE"""),"=0")</f>
        <v>=0</v>
      </c>
      <c r="X3" s="299" t="str">
        <f ca="1">IFERROR(__xludf.DUMMYFUNCTION("""COMPUTED_VALUE"""),"=0")</f>
        <v>=0</v>
      </c>
      <c r="Y3" s="300" t="str">
        <f ca="1">IFERROR(__xludf.DUMMYFUNCTION("""COMPUTED_VALUE"""),"=(0,04 + Sc_Lin * 0,08) * E_MHP * MOD_Phys")</f>
        <v>=(0,04 + Sc_Lin * 0,08) * E_MHP * MOD_Phys</v>
      </c>
      <c r="Z3" s="281" t="str">
        <f ca="1">IFERROR(__xludf.DUMMYFUNCTION("""COMPUTED_VALUE"""),"=16-2*P_Q")</f>
        <v>=16-2*P_Q</v>
      </c>
      <c r="AA3" s="282" t="str">
        <f ca="1">IFERROR(__xludf.DUMMYFUNCTION("""COMPUTED_VALUE"""),"=22 - 2 * P_W")</f>
        <v>=22 - 2 * P_W</v>
      </c>
      <c r="AB3" s="282" t="str">
        <f ca="1">IFERROR(__xludf.DUMMYFUNCTION("""COMPUTED_VALUE"""),"=10-1*P_E")</f>
        <v>=10-1*P_E</v>
      </c>
      <c r="AC3" s="282" t="str">
        <f ca="1">IFERROR(__xludf.DUMMYFUNCTION("""COMPUTED_VALUE"""),"=160 - 20 * P_R")</f>
        <v>=160 - 20 * P_R</v>
      </c>
      <c r="AD3" s="283" t="str">
        <f ca="1">IFERROR(__xludf.DUMMYFUNCTION("""COMPUTED_VALUE"""),"=24-((Self_Level-1)/17)*12")</f>
        <v>=24-((Self_Level-1)/17)*12</v>
      </c>
      <c r="AE3" s="281" t="b">
        <f ca="1">IFERROR(__xludf.DUMMYFUNCTION("""COMPUTED_VALUE"""),TRUE)</f>
        <v>1</v>
      </c>
      <c r="AF3" s="282" t="str">
        <f ca="1">IFERROR(__xludf.DUMMYFUNCTION("""COMPUTED_VALUE"""),"=Image(""https://ddragon.leagueoflegends.com/cdn/11.19.1/img/champion/Aatrox.png"")")</f>
        <v>=Image("https://ddragon.leagueoflegends.com/cdn/11.19.1/img/champion/Aatrox.png")</v>
      </c>
      <c r="AG3" s="282" t="str">
        <f ca="1">IFERROR(__xludf.DUMMYFUNCTION("""COMPUTED_VALUE"""),"=IF(OR(REGEXMATCH(FORMULATEXT(U3);""HMOD"");NOT(P_Q&gt;0));0;U3)+IF(OR(REGEXMATCH(FORMULATEXT(V3);""HMOD"");NOT(P_W&gt;0));0;V3)+IF(OR(REGEXMATCH(FORMULATEXT(W3);""HMOD"");NOT(P_E&gt;0));0;W3)+IF(OR(REGEXMATCH(FORMULATEXT(X3);""HMOD"");NOT(P_R&gt;0));0;X3)+IF(REGEXMA"&amp;"TCH(FORMULATEXT(Y3);""HMOD"");0;Y3)+Self_Proc_Item+Self_Proc_Summ+Self_Proc_Rune+3*Self_DPS")</f>
        <v>=IF(OR(REGEXMATCH(FORMULATEXT(U3);"HMOD");NOT(P_Q&gt;0));0;U3)+IF(OR(REGEXMATCH(FORMULATEXT(V3);"HMOD");NOT(P_W&gt;0));0;V3)+IF(OR(REGEXMATCH(FORMULATEXT(W3);"HMOD");NOT(P_E&gt;0));0;W3)+IF(OR(REGEXMATCH(FORMULATEXT(X3);"HMOD");NOT(P_R&gt;0));0;X3)+IF(REGEXMATCH(FORMULATEXT(Y3);"HMOD");0;Y3)+Self_Proc_Item+Self_Proc_Summ+Self_Proc_Rune+3*Self_DPS</v>
      </c>
      <c r="AH3" s="282" t="str">
        <f ca="1">IFERROR(__xludf.DUMMYFUNCTION("""COMPUTED_VALUE"""),"=0")</f>
        <v>=0</v>
      </c>
      <c r="AI3" s="282" t="b">
        <f ca="1">IFERROR(__xludf.DUMMYFUNCTION("""COMPUTED_VALUE"""),FALSE)</f>
        <v>0</v>
      </c>
      <c r="AJ3" s="283" t="b">
        <f ca="1">IFERROR(__xludf.DUMMYFUNCTION("""COMPUTED_VALUE"""),TRUE)</f>
        <v>1</v>
      </c>
    </row>
    <row r="4" spans="1:36">
      <c r="A4" s="267" t="str">
        <f ca="1">IFERROR(__xludf.DUMMYFUNCTION("""COMPUTED_VALUE"""),"Ahri")</f>
        <v>Ahri</v>
      </c>
      <c r="B4" s="287" t="str">
        <f ca="1">IFERROR(__xludf.DUMMYFUNCTION("""COMPUTED_VALUE"""),"=590")</f>
        <v>=590</v>
      </c>
      <c r="C4" s="287" t="str">
        <f ca="1">IFERROR(__xludf.DUMMYFUNCTION("""COMPUTED_VALUE"""),"=96")</f>
        <v>=96</v>
      </c>
      <c r="D4" s="288" t="str">
        <f ca="1">IFERROR(__xludf.DUMMYFUNCTION("""COMPUTED_VALUE"""),"=2,5")</f>
        <v>=2,5</v>
      </c>
      <c r="E4" s="289" t="str">
        <f ca="1">IFERROR(__xludf.DUMMYFUNCTION("""COMPUTED_VALUE"""),"=0,6")</f>
        <v>=0,6</v>
      </c>
      <c r="F4" s="288" t="str">
        <f ca="1">IFERROR(__xludf.DUMMYFUNCTION("""COMPUTED_VALUE"""),"=418")</f>
        <v>=418</v>
      </c>
      <c r="G4" s="288" t="str">
        <f ca="1">IFERROR(__xludf.DUMMYFUNCTION("""COMPUTED_VALUE"""),"=25")</f>
        <v>=25</v>
      </c>
      <c r="H4" s="288" t="str">
        <f ca="1">IFERROR(__xludf.DUMMYFUNCTION("""COMPUTED_VALUE"""),"=8")</f>
        <v>=8</v>
      </c>
      <c r="I4" s="289" t="str">
        <f ca="1">IFERROR(__xludf.DUMMYFUNCTION("""COMPUTED_VALUE"""),"=0,8")</f>
        <v>=0,8</v>
      </c>
      <c r="J4" s="290" t="str">
        <f ca="1">IFERROR(__xludf.DUMMYFUNCTION("""COMPUTED_VALUE"""),"=53")</f>
        <v>=53</v>
      </c>
      <c r="K4" s="288" t="str">
        <f ca="1">IFERROR(__xludf.DUMMYFUNCTION("""COMPUTED_VALUE"""),"=3")</f>
        <v>=3</v>
      </c>
      <c r="L4" s="291" t="str">
        <f ca="1">IFERROR(__xludf.DUMMYFUNCTION("""COMPUTED_VALUE"""),"=0,668")</f>
        <v>=0,668</v>
      </c>
      <c r="M4" s="291" t="str">
        <f ca="1">IFERROR(__xludf.DUMMYFUNCTION("""COMPUTED_VALUE"""),"=0,668")</f>
        <v>=0,668</v>
      </c>
      <c r="N4" s="292" t="str">
        <f ca="1">IFERROR(__xludf.DUMMYFUNCTION("""COMPUTED_VALUE"""),"=2%")</f>
        <v>=2%</v>
      </c>
      <c r="O4" s="287" t="str">
        <f ca="1">IFERROR(__xludf.DUMMYFUNCTION("""COMPUTED_VALUE"""),"=21")</f>
        <v>=21</v>
      </c>
      <c r="P4" s="287" t="str">
        <f ca="1">IFERROR(__xludf.DUMMYFUNCTION("""COMPUTED_VALUE"""),"=4,7")</f>
        <v>=4,7</v>
      </c>
      <c r="Q4" s="288" t="str">
        <f ca="1">IFERROR(__xludf.DUMMYFUNCTION("""COMPUTED_VALUE"""),"=30")</f>
        <v>=30</v>
      </c>
      <c r="R4" s="289" t="str">
        <f ca="1">IFERROR(__xludf.DUMMYFUNCTION("""COMPUTED_VALUE"""),"=1,3")</f>
        <v>=1,3</v>
      </c>
      <c r="S4" s="287" t="str">
        <f ca="1">IFERROR(__xludf.DUMMYFUNCTION("""COMPUTED_VALUE"""),"=330")</f>
        <v>=330</v>
      </c>
      <c r="T4" s="628" t="str">
        <f ca="1">IFERROR(__xludf.DUMMYFUNCTION("""COMPUTED_VALUE"""),"=550")</f>
        <v>=550</v>
      </c>
      <c r="U4" s="295" t="str">
        <f ca="1">IFERROR(__xludf.DUMMYFUNCTION("""COMPUTED_VALUE"""),"=(0,45 * Self_AP + 25 * P_Q + 15) * MOD_Magic + (0,45 * Self_AP + 25 * P_Q + 15) * Calc!O10")</f>
        <v>=(0,45 * Self_AP + 25 * P_Q + 15) * MOD_Magic + (0,45 * Self_AP + 25 * P_Q + 15) * Calc!O10</v>
      </c>
      <c r="V4" s="296" t="str">
        <f ca="1">IFERROR(__xludf.DUMMYFUNCTION("""COMPUTED_VALUE"""),"=(0,3 * Self_AP + 25 * P_W + 25) * MOD_Magic * IF(Steroid_W;1,6;1)")</f>
        <v>=(0,3 * Self_AP + 25 * P_W + 25) * MOD_Magic * IF(Steroid_W;1,6;1)</v>
      </c>
      <c r="W4" s="296" t="str">
        <f ca="1">IFERROR(__xludf.DUMMYFUNCTION("""COMPUTED_VALUE"""),"=(0,6 * Self_AP + 30 * P_E + 50) * MOD_Magic")</f>
        <v>=(0,6 * Self_AP + 30 * P_E + 50) * MOD_Magic</v>
      </c>
      <c r="X4" s="296" t="str">
        <f ca="1">IFERROR(__xludf.DUMMYFUNCTION("""COMPUTED_VALUE"""),"=(0,35*Self_AP+30*P_R+30)*MOD_Magic*IF(Steroid_R;3;1)")</f>
        <v>=(0,35*Self_AP+30*P_R+30)*MOD_Magic*IF(Steroid_R;3;1)</v>
      </c>
      <c r="Y4" s="297" t="str">
        <f ca="1">IFERROR(__xludf.DUMMYFUNCTION("""COMPUTED_VALUE"""),"=(75 + 90 * Sc_Lin + 0,3 * Self_AP)*MOD_Heal")</f>
        <v>=(75 + 90 * Sc_Lin + 0,3 * Self_AP)*MOD_Heal</v>
      </c>
      <c r="Z4" s="281" t="str">
        <f ca="1">IFERROR(__xludf.DUMMYFUNCTION("""COMPUTED_VALUE"""),"=7")</f>
        <v>=7</v>
      </c>
      <c r="AA4" s="282" t="str">
        <f ca="1">IFERROR(__xludf.DUMMYFUNCTION("""COMPUTED_VALUE"""),"=10-P_W")</f>
        <v>=10-P_W</v>
      </c>
      <c r="AB4" s="282" t="str">
        <f ca="1">IFERROR(__xludf.DUMMYFUNCTION("""COMPUTED_VALUE"""),"=14")</f>
        <v>=14</v>
      </c>
      <c r="AC4" s="282" t="str">
        <f ca="1">IFERROR(__xludf.DUMMYFUNCTION("""COMPUTED_VALUE"""),"=155-25*P_R")</f>
        <v>=155-25*P_R</v>
      </c>
      <c r="AD4" s="283" t="str">
        <f ca="1">IFERROR(__xludf.DUMMYFUNCTION("""COMPUTED_VALUE"""),"=1")</f>
        <v>=1</v>
      </c>
      <c r="AE4" s="281" t="b">
        <f ca="1">IFERROR(__xludf.DUMMYFUNCTION("""COMPUTED_VALUE"""),FALSE)</f>
        <v>0</v>
      </c>
      <c r="AF4" s="282" t="str">
        <f ca="1">IFERROR(__xludf.DUMMYFUNCTION("""COMPUTED_VALUE"""),"=Image(""https://ddragon.leagueoflegends.com/cdn/11.8.1/img/champion/Ahri.png"")")</f>
        <v>=Image("https://ddragon.leagueoflegends.com/cdn/11.8.1/img/champion/Ahri.png")</v>
      </c>
      <c r="AG4" s="282" t="str">
        <f ca="1">IFERROR(__xludf.DUMMYFUNCTION("""COMPUTED_VALUE"""),"=IF(OR(REGEXMATCH(FORMULATEXT(U4);""HMOD"");NOT(P_Q&gt;0));0;U4)+IF(OR(REGEXMATCH(FORMULATEXT(V4);""HMOD"");NOT(P_W&gt;0));0;V4)+IF(OR(REGEXMATCH(FORMULATEXT(W4);""HMOD"");NOT(P_E&gt;0));0;W4)+IF(OR(REGEXMATCH(FORMULATEXT(X4);""HMOD"");NOT(P_R&gt;0));0;X4)+IF(REGEXMA"&amp;"TCH(FORMULATEXT(Y4);""HMOD"");0;Y4)+Self_Proc_Item+Self_Proc_Summ+Self_Proc_Rune+3*Self_DPS")</f>
        <v>=IF(OR(REGEXMATCH(FORMULATEXT(U4);"HMOD");NOT(P_Q&gt;0));0;U4)+IF(OR(REGEXMATCH(FORMULATEXT(V4);"HMOD");NOT(P_W&gt;0));0;V4)+IF(OR(REGEXMATCH(FORMULATEXT(W4);"HMOD");NOT(P_E&gt;0));0;W4)+IF(OR(REGEXMATCH(FORMULATEXT(X4);"HMOD");NOT(P_R&gt;0));0;X4)+IF(REGEXMATCH(FORMULATEXT(Y4);"HMOD");0;Y4)+Self_Proc_Item+Self_Proc_Summ+Self_Proc_Rune+3*Self_DPS</v>
      </c>
      <c r="AH4" s="282" t="str">
        <f ca="1">IFERROR(__xludf.DUMMYFUNCTION("""COMPUTED_VALUE"""),"=0")</f>
        <v>=0</v>
      </c>
      <c r="AI4" s="282" t="b">
        <f ca="1">IFERROR(__xludf.DUMMYFUNCTION("""COMPUTED_VALUE"""),FALSE)</f>
        <v>0</v>
      </c>
      <c r="AJ4" s="283" t="b">
        <f ca="1">IFERROR(__xludf.DUMMYFUNCTION("""COMPUTED_VALUE"""),FALSE)</f>
        <v>0</v>
      </c>
    </row>
    <row r="5" spans="1:36">
      <c r="A5" s="267" t="str">
        <f ca="1">IFERROR(__xludf.DUMMYFUNCTION("""COMPUTED_VALUE"""),"Akali")</f>
        <v>Akali</v>
      </c>
      <c r="B5" s="287" t="str">
        <f ca="1">IFERROR(__xludf.DUMMYFUNCTION("""COMPUTED_VALUE"""),"=570")</f>
        <v>=570</v>
      </c>
      <c r="C5" s="287" t="str">
        <f ca="1">IFERROR(__xludf.DUMMYFUNCTION("""COMPUTED_VALUE"""),"=119")</f>
        <v>=119</v>
      </c>
      <c r="D5" s="288" t="str">
        <f ca="1">IFERROR(__xludf.DUMMYFUNCTION("""COMPUTED_VALUE"""),"=9")</f>
        <v>=9</v>
      </c>
      <c r="E5" s="289" t="str">
        <f ca="1">IFERROR(__xludf.DUMMYFUNCTION("""COMPUTED_VALUE"""),"=0,9")</f>
        <v>=0,9</v>
      </c>
      <c r="F5" s="288" t="str">
        <f ca="1">IFERROR(__xludf.DUMMYFUNCTION("""COMPUTED_VALUE"""),"=200")</f>
        <v>=200</v>
      </c>
      <c r="G5" s="288" t="str">
        <f ca="1">IFERROR(__xludf.DUMMYFUNCTION("""COMPUTED_VALUE"""),"=0")</f>
        <v>=0</v>
      </c>
      <c r="H5" s="288" t="str">
        <f ca="1">IFERROR(__xludf.DUMMYFUNCTION("""COMPUTED_VALUE"""),"=50")</f>
        <v>=50</v>
      </c>
      <c r="I5" s="289" t="str">
        <f ca="1">IFERROR(__xludf.DUMMYFUNCTION("""COMPUTED_VALUE"""),"=0")</f>
        <v>=0</v>
      </c>
      <c r="J5" s="290" t="str">
        <f ca="1">IFERROR(__xludf.DUMMYFUNCTION("""COMPUTED_VALUE"""),"=62")</f>
        <v>=62</v>
      </c>
      <c r="K5" s="288" t="str">
        <f ca="1">IFERROR(__xludf.DUMMYFUNCTION("""COMPUTED_VALUE"""),"=3,3")</f>
        <v>=3,3</v>
      </c>
      <c r="L5" s="291" t="str">
        <f ca="1">IFERROR(__xludf.DUMMYFUNCTION("""COMPUTED_VALUE"""),"=0,625")</f>
        <v>=0,625</v>
      </c>
      <c r="M5" s="291" t="str">
        <f ca="1">IFERROR(__xludf.DUMMYFUNCTION("""COMPUTED_VALUE"""),"=0,625")</f>
        <v>=0,625</v>
      </c>
      <c r="N5" s="292" t="str">
        <f ca="1">IFERROR(__xludf.DUMMYFUNCTION("""COMPUTED_VALUE"""),"=3,2%")</f>
        <v>=3,2%</v>
      </c>
      <c r="O5" s="287" t="str">
        <f ca="1">IFERROR(__xludf.DUMMYFUNCTION("""COMPUTED_VALUE"""),"=23")</f>
        <v>=23</v>
      </c>
      <c r="P5" s="287" t="str">
        <f ca="1">IFERROR(__xludf.DUMMYFUNCTION("""COMPUTED_VALUE"""),"=4,7")</f>
        <v>=4,7</v>
      </c>
      <c r="Q5" s="288" t="str">
        <f ca="1">IFERROR(__xludf.DUMMYFUNCTION("""COMPUTED_VALUE"""),"=37")</f>
        <v>=37</v>
      </c>
      <c r="R5" s="289" t="str">
        <f ca="1">IFERROR(__xludf.DUMMYFUNCTION("""COMPUTED_VALUE"""),"=2,05")</f>
        <v>=2,05</v>
      </c>
      <c r="S5" s="287" t="str">
        <f ca="1">IFERROR(__xludf.DUMMYFUNCTION("""COMPUTED_VALUE"""),"=345")</f>
        <v>=345</v>
      </c>
      <c r="T5" s="628" t="str">
        <f ca="1">IFERROR(__xludf.DUMMYFUNCTION("""COMPUTED_VALUE"""),"=125")</f>
        <v>=125</v>
      </c>
      <c r="U5" s="298" t="str">
        <f ca="1">IFERROR(__xludf.DUMMYFUNCTION("""COMPUTED_VALUE"""),"=(15 + 25 * P_Q + 0,6 * Self_AP + 0,65 * Self_AD) * MOD_Magic")</f>
        <v>=(15 + 25 * P_Q + 0,6 * Self_AP + 0,65 * Self_AD) * MOD_Magic</v>
      </c>
      <c r="V5" s="299" t="str">
        <f ca="1">IFERROR(__xludf.DUMMYFUNCTION("""COMPUTED_VALUE"""),"=0")</f>
        <v>=0</v>
      </c>
      <c r="W5" s="299" t="str">
        <f ca="1">IFERROR(__xludf.DUMMYFUNCTION("""COMPUTED_VALUE"""),"=(12,5+87,5*P_E+0,85*Self_AD+1,2*Self_AP)*MOD_Magic")</f>
        <v>=(12,5+87,5*P_E+0,85*Self_AD+1,2*Self_AP)*MOD_Magic</v>
      </c>
      <c r="X5" s="299" t="str">
        <f ca="1">IFERROR(__xludf.DUMMYFUNCTION("""COMPUTED_VALUE"""),"=(-60+140*P_R+0,5*Self_BoAD+0,3*Self_AP)*MOD_Magic+((0,3*Self_AP-10+70*P_R)*(1+2*(1-(MAX(30;E_CHP)-30)/70)))*MOD_Magic")</f>
        <v>=(-60+140*P_R+0,5*Self_BoAD+0,3*Self_AP)*MOD_Magic+((0,3*Self_AP-10+70*P_R)*(1+2*(1-(MAX(30;E_CHP)-30)/70)))*MOD_Magic</v>
      </c>
      <c r="Y5" s="300" t="str">
        <f ca="1">IFERROR(__xludf.DUMMYFUNCTION("""COMPUTED_VALUE"""),"=(0,6 * Self_BoAD + 0,55 * Self_AP + 32 + Self_Level * 3 + MAX(6 * (Self_Level - 7); 0) + MAX(6 * (Self_Level - 13); 0)) * MOD_Magic")</f>
        <v>=(0,6 * Self_BoAD + 0,55 * Self_AP + 32 + Self_Level * 3 + MAX(6 * (Self_Level - 7); 0) + MAX(6 * (Self_Level - 13); 0)) * MOD_Magic</v>
      </c>
      <c r="Z5" s="281" t="str">
        <f ca="1">IFERROR(__xludf.DUMMYFUNCTION("""COMPUTED_VALUE"""),"=1,5")</f>
        <v>=1,5</v>
      </c>
      <c r="AA5" s="282" t="str">
        <f ca="1">IFERROR(__xludf.DUMMYFUNCTION("""COMPUTED_VALUE"""),"=20")</f>
        <v>=20</v>
      </c>
      <c r="AB5" s="282" t="str">
        <f ca="1">IFERROR(__xludf.DUMMYFUNCTION("""COMPUTED_VALUE"""),"=17,5-1,5*P_E")</f>
        <v>=17,5-1,5*P_E</v>
      </c>
      <c r="AC5" s="282" t="str">
        <f ca="1">IFERROR(__xludf.DUMMYFUNCTION("""COMPUTED_VALUE"""),"=120-20*P_R")</f>
        <v>=120-20*P_R</v>
      </c>
      <c r="AD5" s="283" t="str">
        <f ca="1">IFERROR(__xludf.DUMMYFUNCTION("""COMPUTED_VALUE"""),"=1")</f>
        <v>=1</v>
      </c>
      <c r="AE5" s="281" t="b">
        <f ca="1">IFERROR(__xludf.DUMMYFUNCTION("""COMPUTED_VALUE"""),TRUE)</f>
        <v>1</v>
      </c>
      <c r="AF5" s="282" t="str">
        <f ca="1">IFERROR(__xludf.DUMMYFUNCTION("""COMPUTED_VALUE"""),"=Image(""https://ddragon.leagueoflegends.com/cdn/11.19.1/img/champion/Akali.png"")")</f>
        <v>=Image("https://ddragon.leagueoflegends.com/cdn/11.19.1/img/champion/Akali.png")</v>
      </c>
      <c r="AG5" s="282" t="str">
        <f ca="1">IFERROR(__xludf.DUMMYFUNCTION("""COMPUTED_VALUE"""),"=IF(OR(REGEXMATCH(FORMULATEXT(U5);""HMOD"");NOT(P_Q&gt;0));0;U5)+IF(OR(REGEXMATCH(FORMULATEXT(V5);""HMOD"");NOT(P_W&gt;0));0;V5)+IF(OR(REGEXMATCH(FORMULATEXT(W5);""HMOD"");NOT(P_E&gt;0));0;W5)+IF(OR(REGEXMATCH(FORMULATEXT(X5);""HMOD"");NOT(P_R&gt;0));0;X5)+IF(REGEXMA"&amp;"TCH(FORMULATEXT(Y5);""HMOD"");0;Y5)+Self_Proc_Item+Self_Proc_Summ+Self_Proc_Rune+3*Self_DPS")</f>
        <v>=IF(OR(REGEXMATCH(FORMULATEXT(U5);"HMOD");NOT(P_Q&gt;0));0;U5)+IF(OR(REGEXMATCH(FORMULATEXT(V5);"HMOD");NOT(P_W&gt;0));0;V5)+IF(OR(REGEXMATCH(FORMULATEXT(W5);"HMOD");NOT(P_E&gt;0));0;W5)+IF(OR(REGEXMATCH(FORMULATEXT(X5);"HMOD");NOT(P_R&gt;0));0;X5)+IF(REGEXMATCH(FORMULATEXT(Y5);"HMOD");0;Y5)+Self_Proc_Item+Self_Proc_Summ+Self_Proc_Rune+3*Self_DPS</v>
      </c>
      <c r="AH5" s="282" t="str">
        <f ca="1">IFERROR(__xludf.DUMMYFUNCTION("""COMPUTED_VALUE"""),"=0")</f>
        <v>=0</v>
      </c>
      <c r="AI5" s="282" t="b">
        <f ca="1">IFERROR(__xludf.DUMMYFUNCTION("""COMPUTED_VALUE"""),TRUE)</f>
        <v>1</v>
      </c>
      <c r="AJ5" s="283" t="b">
        <f ca="1">IFERROR(__xludf.DUMMYFUNCTION("""COMPUTED_VALUE"""),FALSE)</f>
        <v>0</v>
      </c>
    </row>
    <row r="6" spans="1:36">
      <c r="A6" s="267" t="str">
        <f ca="1">IFERROR(__xludf.DUMMYFUNCTION("""COMPUTED_VALUE"""),"Akshan")</f>
        <v>Akshan</v>
      </c>
      <c r="B6" s="287" t="str">
        <f ca="1">IFERROR(__xludf.DUMMYFUNCTION("""COMPUTED_VALUE"""),"=630")</f>
        <v>=630</v>
      </c>
      <c r="C6" s="287" t="str">
        <f ca="1">IFERROR(__xludf.DUMMYFUNCTION("""COMPUTED_VALUE"""),"=104")</f>
        <v>=104</v>
      </c>
      <c r="D6" s="288" t="str">
        <f ca="1">IFERROR(__xludf.DUMMYFUNCTION("""COMPUTED_VALUE"""),"=3,75")</f>
        <v>=3,75</v>
      </c>
      <c r="E6" s="289" t="str">
        <f ca="1">IFERROR(__xludf.DUMMYFUNCTION("""COMPUTED_VALUE"""),"=0,65")</f>
        <v>=0,65</v>
      </c>
      <c r="F6" s="288" t="str">
        <f ca="1">IFERROR(__xludf.DUMMYFUNCTION("""COMPUTED_VALUE"""),"=350")</f>
        <v>=350</v>
      </c>
      <c r="G6" s="288" t="str">
        <f ca="1">IFERROR(__xludf.DUMMYFUNCTION("""COMPUTED_VALUE"""),"=40")</f>
        <v>=40</v>
      </c>
      <c r="H6" s="288" t="str">
        <f ca="1">IFERROR(__xludf.DUMMYFUNCTION("""COMPUTED_VALUE"""),"=8,175")</f>
        <v>=8,175</v>
      </c>
      <c r="I6" s="289" t="str">
        <f ca="1">IFERROR(__xludf.DUMMYFUNCTION("""COMPUTED_VALUE"""),"=0,7")</f>
        <v>=0,7</v>
      </c>
      <c r="J6" s="290" t="str">
        <f ca="1">IFERROR(__xludf.DUMMYFUNCTION("""COMPUTED_VALUE"""),"=52")</f>
        <v>=52</v>
      </c>
      <c r="K6" s="288" t="str">
        <f ca="1">IFERROR(__xludf.DUMMYFUNCTION("""COMPUTED_VALUE"""),"=3,5")</f>
        <v>=3,5</v>
      </c>
      <c r="L6" s="291" t="str">
        <f ca="1">IFERROR(__xludf.DUMMYFUNCTION("""COMPUTED_VALUE"""),"=0,638")</f>
        <v>=0,638</v>
      </c>
      <c r="M6" s="291" t="str">
        <f ca="1">IFERROR(__xludf.DUMMYFUNCTION("""COMPUTED_VALUE"""),"=0,4")</f>
        <v>=0,4</v>
      </c>
      <c r="N6" s="292" t="str">
        <f ca="1">IFERROR(__xludf.DUMMYFUNCTION("""COMPUTED_VALUE"""),"=0,04")</f>
        <v>=0,04</v>
      </c>
      <c r="O6" s="287" t="str">
        <f ca="1">IFERROR(__xludf.DUMMYFUNCTION("""COMPUTED_VALUE"""),"=26")</f>
        <v>=26</v>
      </c>
      <c r="P6" s="287" t="str">
        <f ca="1">IFERROR(__xludf.DUMMYFUNCTION("""COMPUTED_VALUE"""),"=4,2")</f>
        <v>=4,2</v>
      </c>
      <c r="Q6" s="288" t="str">
        <f ca="1">IFERROR(__xludf.DUMMYFUNCTION("""COMPUTED_VALUE"""),"=30")</f>
        <v>=30</v>
      </c>
      <c r="R6" s="289" t="str">
        <f ca="1">IFERROR(__xludf.DUMMYFUNCTION("""COMPUTED_VALUE"""),"=1,3")</f>
        <v>=1,3</v>
      </c>
      <c r="S6" s="287" t="str">
        <f ca="1">IFERROR(__xludf.DUMMYFUNCTION("""COMPUTED_VALUE"""),"=330")</f>
        <v>=330</v>
      </c>
      <c r="T6" s="628" t="str">
        <f ca="1">IFERROR(__xludf.DUMMYFUNCTION("""COMPUTED_VALUE"""),"=500")</f>
        <v>=500</v>
      </c>
      <c r="U6" s="295" t="str">
        <f ca="1">IFERROR(__xludf.DUMMYFUNCTION("""COMPUTED_VALUE"""),"=(40 * P_Q + 1,6 * Self_AD -30) * MOD_Phys")</f>
        <v>=(40 * P_Q + 1,6 * Self_AD -30) * MOD_Phys</v>
      </c>
      <c r="V6" s="296" t="str">
        <f ca="1">IFERROR(__xludf.DUMMYFUNCTION("""COMPUTED_VALUE"""),"=0")</f>
        <v>=0</v>
      </c>
      <c r="W6" s="296" t="str">
        <f ca="1">IFERROR(__xludf.DUMMYFUNCTION("""COMPUTED_VALUE"""),"=((15 * P_E + 15 + 0,175 * Self_BoAD) * (1 + 0,3 * Self_BoAS) * (1 + Self_Crit * Self_CritDMG * 0,9) * MOD_Phys + (OH_Magic + OH_Phys + OH_True) * 0,25) * IF(Steroid_E; 6; 3) + IF(Steroid_E; 2; 1) * Y6")</f>
        <v>=((15 * P_E + 15 + 0,175 * Self_BoAD) * (1 + 0,3 * Self_BoAS) * (1 + Self_Crit * Self_CritDMG * 0,9) * MOD_Phys + (OH_Magic + OH_Phys + OH_True) * 0,25) * IF(Steroid_E; 6; 3) + IF(Steroid_E; 2; 1) * Y6</v>
      </c>
      <c r="X6" s="296" t="str">
        <f ca="1">IFERROR(__xludf.DUMMYFUNCTION("""COMPUTED_VALUE"""),"=(15 + 5 * P_R + 0,1 * Self_AD) * (4 + P_R) * (1 + Self_Crit * (Self_CritDMG) * 0,5) * IF(Steroid_R; 4; 1) * MOD_Phys + ((4 + P_R) / 3) * (Y6 + Calc!O34)")</f>
        <v>=(15 + 5 * P_R + 0,1 * Self_AD) * (4 + P_R) * (1 + Self_Crit * (Self_CritDMG) * 0,5) * IF(Steroid_R; 4; 1) * MOD_Phys + ((4 + P_R) / 3) * (Y6 + Calc!O34)</v>
      </c>
      <c r="Y6" s="297" t="str">
        <f ca="1">IFERROR(__xludf.DUMMYFUNCTION("""COMPUTED_VALUE"""),"=(5 + 0,6 * Self_AP + 5 * Self_Level + MAX(5 * (Self_Level - 8); 0) + MAX(5 * (Self_Level - 14); 0)) * MOD_Magic")</f>
        <v>=(5 + 0,6 * Self_AP + 5 * Self_Level + MAX(5 * (Self_Level - 8); 0) + MAX(5 * (Self_Level - 14); 0)) * MOD_Magic</v>
      </c>
      <c r="Z6" s="281" t="str">
        <f ca="1">IFERROR(__xludf.DUMMYFUNCTION("""COMPUTED_VALUE"""),"=8,75-0,75*P_Q")</f>
        <v>=8,75-0,75*P_Q</v>
      </c>
      <c r="AA6" s="282" t="str">
        <f ca="1">IFERROR(__xludf.DUMMYFUNCTION("""COMPUTED_VALUE"""),"=22 - 4 * P_W")</f>
        <v>=22 - 4 * P_W</v>
      </c>
      <c r="AB6" s="282" t="str">
        <f ca="1">IFERROR(__xludf.DUMMYFUNCTION("""COMPUTED_VALUE"""),"=19,5-1,5*P_E")</f>
        <v>=19,5-1,5*P_E</v>
      </c>
      <c r="AC6" s="282" t="str">
        <f ca="1">IFERROR(__xludf.DUMMYFUNCTION("""COMPUTED_VALUE"""),"=115-15*P_R")</f>
        <v>=115-15*P_R</v>
      </c>
      <c r="AD6" s="283" t="str">
        <f ca="1">IFERROR(__xludf.DUMMYFUNCTION("""COMPUTED_VALUE"""),"=16 - 4 * ROUNDDOWN((Self_Level - 1)/5)")</f>
        <v>=16 - 4 * ROUNDDOWN((Self_Level - 1)/5)</v>
      </c>
      <c r="AE6" s="281" t="b">
        <f ca="1">IFERROR(__xludf.DUMMYFUNCTION("""COMPUTED_VALUE"""),FALSE)</f>
        <v>0</v>
      </c>
      <c r="AF6" s="282" t="str">
        <f ca="1">IFERROR(__xludf.DUMMYFUNCTION("""COMPUTED_VALUE"""),"=Image(""https://ddragon.leagueoflegends.com/cdn/11.19.1/img/champion/Akshan.png"")")</f>
        <v>=Image("https://ddragon.leagueoflegends.com/cdn/11.19.1/img/champion/Akshan.png")</v>
      </c>
      <c r="AG6" s="282" t="str">
        <f ca="1">IFERROR(__xludf.DUMMYFUNCTION("""COMPUTED_VALUE"""),"=IF(OR(REGEXMATCH(FORMULATEXT(U6);""HMOD"");NOT(P_Q&gt;0));0;U6)+IF(OR(REGEXMATCH(FORMULATEXT(V6);""HMOD"");NOT(P_W&gt;0));0;V6)+IF(OR(REGEXMATCH(FORMULATEXT(W6);""HMOD"");NOT(P_E&gt;0));0;W6)+IF(OR(REGEXMATCH(FORMULATEXT(X6);""HMOD"");NOT(P_R&gt;0));0;X6)+IF(REGEXMA"&amp;"TCH(FORMULATEXT(Y6);""HMOD"");0;Y6)+Self_Proc_Item+Self_Proc_Summ+Self_Proc_Rune+3*Self_DPS")</f>
        <v>=IF(OR(REGEXMATCH(FORMULATEXT(U6);"HMOD");NOT(P_Q&gt;0));0;U6)+IF(OR(REGEXMATCH(FORMULATEXT(V6);"HMOD");NOT(P_W&gt;0));0;V6)+IF(OR(REGEXMATCH(FORMULATEXT(W6);"HMOD");NOT(P_E&gt;0));0;W6)+IF(OR(REGEXMATCH(FORMULATEXT(X6);"HMOD");NOT(P_R&gt;0));0;X6)+IF(REGEXMATCH(FORMULATEXT(Y6);"HMOD");0;Y6)+Self_Proc_Item+Self_Proc_Summ+Self_Proc_Rune+3*Self_DPS</v>
      </c>
      <c r="AH6" s="282" t="str">
        <f ca="1">IFERROR(__xludf.DUMMYFUNCTION("""COMPUTED_VALUE"""),"=0")</f>
        <v>=0</v>
      </c>
      <c r="AI6" s="282" t="b">
        <f ca="1">IFERROR(__xludf.DUMMYFUNCTION("""COMPUTED_VALUE"""),FALSE)</f>
        <v>0</v>
      </c>
      <c r="AJ6" s="283" t="b">
        <f ca="1">IFERROR(__xludf.DUMMYFUNCTION("""COMPUTED_VALUE"""),FALSE)</f>
        <v>0</v>
      </c>
    </row>
    <row r="7" spans="1:36">
      <c r="A7" s="267" t="str">
        <f ca="1">IFERROR(__xludf.DUMMYFUNCTION("""COMPUTED_VALUE"""),"Alistar")</f>
        <v>Alistar</v>
      </c>
      <c r="B7" s="287" t="str">
        <f ca="1">IFERROR(__xludf.DUMMYFUNCTION("""COMPUTED_VALUE"""),"=685")</f>
        <v>=685</v>
      </c>
      <c r="C7" s="287" t="str">
        <f ca="1">IFERROR(__xludf.DUMMYFUNCTION("""COMPUTED_VALUE"""),"=120")</f>
        <v>=120</v>
      </c>
      <c r="D7" s="288" t="str">
        <f ca="1">IFERROR(__xludf.DUMMYFUNCTION("""COMPUTED_VALUE"""),"=8,5")</f>
        <v>=8,5</v>
      </c>
      <c r="E7" s="289" t="str">
        <f ca="1">IFERROR(__xludf.DUMMYFUNCTION("""COMPUTED_VALUE"""),"=0,85")</f>
        <v>=0,85</v>
      </c>
      <c r="F7" s="288" t="str">
        <f ca="1">IFERROR(__xludf.DUMMYFUNCTION("""COMPUTED_VALUE"""),"=350")</f>
        <v>=350</v>
      </c>
      <c r="G7" s="288" t="str">
        <f ca="1">IFERROR(__xludf.DUMMYFUNCTION("""COMPUTED_VALUE"""),"=40")</f>
        <v>=40</v>
      </c>
      <c r="H7" s="288" t="str">
        <f ca="1">IFERROR(__xludf.DUMMYFUNCTION("""COMPUTED_VALUE"""),"=8,5")</f>
        <v>=8,5</v>
      </c>
      <c r="I7" s="289" t="str">
        <f ca="1">IFERROR(__xludf.DUMMYFUNCTION("""COMPUTED_VALUE"""),"=0,8")</f>
        <v>=0,8</v>
      </c>
      <c r="J7" s="290" t="str">
        <f ca="1">IFERROR(__xludf.DUMMYFUNCTION("""COMPUTED_VALUE"""),"=62")</f>
        <v>=62</v>
      </c>
      <c r="K7" s="288" t="str">
        <f ca="1">IFERROR(__xludf.DUMMYFUNCTION("""COMPUTED_VALUE"""),"=3,75")</f>
        <v>=3,75</v>
      </c>
      <c r="L7" s="291" t="str">
        <f ca="1">IFERROR(__xludf.DUMMYFUNCTION("""COMPUTED_VALUE"""),"=0,625")</f>
        <v>=0,625</v>
      </c>
      <c r="M7" s="291" t="str">
        <f ca="1">IFERROR(__xludf.DUMMYFUNCTION("""COMPUTED_VALUE"""),"=0,625")</f>
        <v>=0,625</v>
      </c>
      <c r="N7" s="292" t="str">
        <f ca="1">IFERROR(__xludf.DUMMYFUNCTION("""COMPUTED_VALUE"""),"=2,125%")</f>
        <v>=2,125%</v>
      </c>
      <c r="O7" s="287" t="str">
        <f ca="1">IFERROR(__xludf.DUMMYFUNCTION("""COMPUTED_VALUE"""),"=47")</f>
        <v>=47</v>
      </c>
      <c r="P7" s="287" t="str">
        <f ca="1">IFERROR(__xludf.DUMMYFUNCTION("""COMPUTED_VALUE"""),"=4,7")</f>
        <v>=4,7</v>
      </c>
      <c r="Q7" s="288" t="str">
        <f ca="1">IFERROR(__xludf.DUMMYFUNCTION("""COMPUTED_VALUE"""),"=32")</f>
        <v>=32</v>
      </c>
      <c r="R7" s="289" t="str">
        <f ca="1">IFERROR(__xludf.DUMMYFUNCTION("""COMPUTED_VALUE"""),"=2,05")</f>
        <v>=2,05</v>
      </c>
      <c r="S7" s="287" t="str">
        <f ca="1">IFERROR(__xludf.DUMMYFUNCTION("""COMPUTED_VALUE"""),"=330")</f>
        <v>=330</v>
      </c>
      <c r="T7" s="628" t="str">
        <f ca="1">IFERROR(__xludf.DUMMYFUNCTION("""COMPUTED_VALUE"""),"=125")</f>
        <v>=125</v>
      </c>
      <c r="U7" s="298" t="str">
        <f ca="1">IFERROR(__xludf.DUMMYFUNCTION("""COMPUTED_VALUE"""),"=(20 + 40 * P_Q + 0,8 * Self_AP) * MOD_Magic")</f>
        <v>=(20 + 40 * P_Q + 0,8 * Self_AP) * MOD_Magic</v>
      </c>
      <c r="V7" s="299" t="str">
        <f ca="1">IFERROR(__xludf.DUMMYFUNCTION("""COMPUTED_VALUE"""),"=(55 * P_W + 1 * Self_AP) * MOD_Magic")</f>
        <v>=(55 * P_W + 1 * Self_AP) * MOD_Magic</v>
      </c>
      <c r="W7" s="299" t="str">
        <f ca="1">IFERROR(__xludf.DUMMYFUNCTION("""COMPUTED_VALUE"""),"=(50 + 30 * P_E + 0,7 * Self_AP + 5 + 15 * Self_Level) * MOD_Magic")</f>
        <v>=(50 + 30 * P_E + 0,7 * Self_AP + 5 + 15 * Self_Level) * MOD_Magic</v>
      </c>
      <c r="X7" s="299" t="str">
        <f ca="1">IFERROR(__xludf.DUMMYFUNCTION("""COMPUTED_VALUE"""),"=0")</f>
        <v>=0</v>
      </c>
      <c r="Y7" s="300" t="str">
        <f ca="1">IFERROR(__xludf.DUMMYFUNCTION("""COMPUTED_VALUE"""),"=(0,05 * Self_MHP) * MOD_Heal")</f>
        <v>=(0,05 * Self_MHP) * MOD_Heal</v>
      </c>
      <c r="Z7" s="281" t="str">
        <f ca="1">IFERROR(__xludf.DUMMYFUNCTION("""COMPUTED_VALUE"""),"=15-P_Q")</f>
        <v>=15-P_Q</v>
      </c>
      <c r="AA7" s="282" t="str">
        <f ca="1">IFERROR(__xludf.DUMMYFUNCTION("""COMPUTED_VALUE"""),"=15-P_W")</f>
        <v>=15-P_W</v>
      </c>
      <c r="AB7" s="282" t="str">
        <f ca="1">IFERROR(__xludf.DUMMYFUNCTION("""COMPUTED_VALUE"""),"=12,5-0,5*P_E")</f>
        <v>=12,5-0,5*P_E</v>
      </c>
      <c r="AC7" s="282" t="str">
        <f ca="1">IFERROR(__xludf.DUMMYFUNCTION("""COMPUTED_VALUE"""),"=140 - 20 * P_R")</f>
        <v>=140 - 20 * P_R</v>
      </c>
      <c r="AD7" s="283" t="str">
        <f ca="1">IFERROR(__xludf.DUMMYFUNCTION("""COMPUTED_VALUE"""),"=3")</f>
        <v>=3</v>
      </c>
      <c r="AE7" s="281" t="b">
        <f ca="1">IFERROR(__xludf.DUMMYFUNCTION("""COMPUTED_VALUE"""),TRUE)</f>
        <v>1</v>
      </c>
      <c r="AF7" s="282" t="str">
        <f ca="1">IFERROR(__xludf.DUMMYFUNCTION("""COMPUTED_VALUE"""),"=Image(""https://ddragon.leagueoflegends.com/cdn/11.19.1/img/champion/Alistar.png"")")</f>
        <v>=Image("https://ddragon.leagueoflegends.com/cdn/11.19.1/img/champion/Alistar.png")</v>
      </c>
      <c r="AG7" s="282" t="str">
        <f ca="1">IFERROR(__xludf.DUMMYFUNCTION("""COMPUTED_VALUE"""),"=IF(OR(REGEXMATCH(FORMULATEXT(U7);""HMOD"");NOT(P_Q&gt;0));0;U7)+IF(OR(REGEXMATCH(FORMULATEXT(V7);""HMOD"");NOT(P_W&gt;0));0;V7)+IF(OR(REGEXMATCH(FORMULATEXT(W7);""HMOD"");NOT(P_E&gt;0));0;W7)+IF(OR(REGEXMATCH(FORMULATEXT(X7);""HMOD"");NOT(P_R&gt;0));0;X7)+IF(REGEXMA"&amp;"TCH(FORMULATEXT(Y7);""HMOD"");0;Y7)+Self_Proc_Item+Self_Proc_Summ+Self_Proc_Rune+3*Self_DPS")</f>
        <v>=IF(OR(REGEXMATCH(FORMULATEXT(U7);"HMOD");NOT(P_Q&gt;0));0;U7)+IF(OR(REGEXMATCH(FORMULATEXT(V7);"HMOD");NOT(P_W&gt;0));0;V7)+IF(OR(REGEXMATCH(FORMULATEXT(W7);"HMOD");NOT(P_E&gt;0));0;W7)+IF(OR(REGEXMATCH(FORMULATEXT(X7);"HMOD");NOT(P_R&gt;0));0;X7)+IF(REGEXMATCH(FORMULATEXT(Y7);"HMOD");0;Y7)+Self_Proc_Item+Self_Proc_Summ+Self_Proc_Rune+3*Self_DPS</v>
      </c>
      <c r="AH7" s="282" t="str">
        <f ca="1">IFERROR(__xludf.DUMMYFUNCTION("""COMPUTED_VALUE"""),"=0")</f>
        <v>=0</v>
      </c>
      <c r="AI7" s="282" t="b">
        <f ca="1">IFERROR(__xludf.DUMMYFUNCTION("""COMPUTED_VALUE"""),FALSE)</f>
        <v>0</v>
      </c>
      <c r="AJ7" s="283" t="b">
        <f ca="1">IFERROR(__xludf.DUMMYFUNCTION("""COMPUTED_VALUE"""),FALSE)</f>
        <v>0</v>
      </c>
    </row>
    <row r="8" spans="1:36">
      <c r="A8" s="267" t="str">
        <f ca="1">IFERROR(__xludf.DUMMYFUNCTION("""COMPUTED_VALUE"""),"Amumu")</f>
        <v>Amumu</v>
      </c>
      <c r="B8" s="287" t="str">
        <f ca="1">IFERROR(__xludf.DUMMYFUNCTION("""COMPUTED_VALUE"""),"=685")</f>
        <v>=685</v>
      </c>
      <c r="C8" s="287" t="str">
        <f ca="1">IFERROR(__xludf.DUMMYFUNCTION("""COMPUTED_VALUE"""),"=94")</f>
        <v>=94</v>
      </c>
      <c r="D8" s="288" t="str">
        <f ca="1">IFERROR(__xludf.DUMMYFUNCTION("""COMPUTED_VALUE"""),"=9")</f>
        <v>=9</v>
      </c>
      <c r="E8" s="289" t="str">
        <f ca="1">IFERROR(__xludf.DUMMYFUNCTION("""COMPUTED_VALUE"""),"=0,85")</f>
        <v>=0,85</v>
      </c>
      <c r="F8" s="288" t="str">
        <f ca="1">IFERROR(__xludf.DUMMYFUNCTION("""COMPUTED_VALUE"""),"=287")</f>
        <v>=287</v>
      </c>
      <c r="G8" s="288" t="str">
        <f ca="1">IFERROR(__xludf.DUMMYFUNCTION("""COMPUTED_VALUE"""),"=40")</f>
        <v>=40</v>
      </c>
      <c r="H8" s="288" t="str">
        <f ca="1">IFERROR(__xludf.DUMMYFUNCTION("""COMPUTED_VALUE"""),"=7,4")</f>
        <v>=7,4</v>
      </c>
      <c r="I8" s="289" t="str">
        <f ca="1">IFERROR(__xludf.DUMMYFUNCTION("""COMPUTED_VALUE"""),"=0,525")</f>
        <v>=0,525</v>
      </c>
      <c r="J8" s="290" t="str">
        <f ca="1">IFERROR(__xludf.DUMMYFUNCTION("""COMPUTED_VALUE"""),"=53")</f>
        <v>=53</v>
      </c>
      <c r="K8" s="288" t="str">
        <f ca="1">IFERROR(__xludf.DUMMYFUNCTION("""COMPUTED_VALUE"""),"=3,8")</f>
        <v>=3,8</v>
      </c>
      <c r="L8" s="291" t="str">
        <f ca="1">IFERROR(__xludf.DUMMYFUNCTION("""COMPUTED_VALUE"""),"=0,736")</f>
        <v>=0,736</v>
      </c>
      <c r="M8" s="291" t="str">
        <f ca="1">IFERROR(__xludf.DUMMYFUNCTION("""COMPUTED_VALUE"""),"=0,638")</f>
        <v>=0,638</v>
      </c>
      <c r="N8" s="292" t="str">
        <f ca="1">IFERROR(__xludf.DUMMYFUNCTION("""COMPUTED_VALUE"""),"=2,18%")</f>
        <v>=2,18%</v>
      </c>
      <c r="O8" s="287" t="str">
        <f ca="1">IFERROR(__xludf.DUMMYFUNCTION("""COMPUTED_VALUE"""),"=30")</f>
        <v>=30</v>
      </c>
      <c r="P8" s="287" t="str">
        <f ca="1">IFERROR(__xludf.DUMMYFUNCTION("""COMPUTED_VALUE"""),"=4")</f>
        <v>=4</v>
      </c>
      <c r="Q8" s="288" t="str">
        <f ca="1">IFERROR(__xludf.DUMMYFUNCTION("""COMPUTED_VALUE"""),"=32")</f>
        <v>=32</v>
      </c>
      <c r="R8" s="289" t="str">
        <f ca="1">IFERROR(__xludf.DUMMYFUNCTION("""COMPUTED_VALUE"""),"=2,05")</f>
        <v>=2,05</v>
      </c>
      <c r="S8" s="287" t="str">
        <f ca="1">IFERROR(__xludf.DUMMYFUNCTION("""COMPUTED_VALUE"""),"=335")</f>
        <v>=335</v>
      </c>
      <c r="T8" s="628" t="str">
        <f ca="1">IFERROR(__xludf.DUMMYFUNCTION("""COMPUTED_VALUE"""),"=125")</f>
        <v>=125</v>
      </c>
      <c r="U8" s="295" t="str">
        <f ca="1">IFERROR(__xludf.DUMMYFUNCTION("""COMPUTED_VALUE"""),"=(45 + 25 * P_Q + 0,85 * Self_AP) * (MOD_Magic + IF(Steroid_P; 0,1 * Calc!O10; 0))")</f>
        <v>=(45 + 25 * P_Q + 0,85 * Self_AP) * (MOD_Magic + IF(Steroid_P; 0,1 * Calc!O10; 0))</v>
      </c>
      <c r="V8" s="296" t="str">
        <f ca="1">IFERROR(__xludf.DUMMYFUNCTION("""COMPUTED_VALUE"""),"=(14 + (0,0075 + 0,0025 * P_W + 0,00005 * Self_AP) * E_MHP) * (MOD_Magic + IF(Steroid_P; 0,1 * Calc!O10; 0))")</f>
        <v>=(14 + (0,0075 + 0,0025 * P_W + 0,00005 * Self_AP) * E_MHP) * (MOD_Magic + IF(Steroid_P; 0,1 * Calc!O10; 0))</v>
      </c>
      <c r="W8" s="296" t="str">
        <f ca="1">IFERROR(__xludf.DUMMYFUNCTION("""COMPUTED_VALUE"""),"=(30 + 35 * P_E + 0,5 * Self_AP) * (MOD_Magic + IF(Steroid_P; 0,1 * Calc!O10; 0))")</f>
        <v>=(30 + 35 * P_E + 0,5 * Self_AP) * (MOD_Magic + IF(Steroid_P; 0,1 * Calc!O10; 0))</v>
      </c>
      <c r="X8" s="296" t="str">
        <f ca="1">IFERROR(__xludf.DUMMYFUNCTION("""COMPUTED_VALUE"""),"=(100 + 100 * P_R + 0,8 * Self_AP) * (MOD_Magic + IF(Steroid_P; 0,1 * MOD_True; 0))")</f>
        <v>=(100 + 100 * P_R + 0,8 * Self_AP) * (MOD_Magic + IF(Steroid_P; 0,1 * MOD_True; 0))</v>
      </c>
      <c r="Y8" s="297" t="str">
        <f ca="1">IFERROR(__xludf.DUMMYFUNCTION("""COMPUTED_VALUE"""),"=0")</f>
        <v>=0</v>
      </c>
      <c r="Z8" s="281" t="str">
        <f ca="1">IFERROR(__xludf.DUMMYFUNCTION("""COMPUTED_VALUE"""),"=16,5-0,5*P_Q")</f>
        <v>=16,5-0,5*P_Q</v>
      </c>
      <c r="AA8" s="282" t="str">
        <f ca="1">IFERROR(__xludf.DUMMYFUNCTION("""COMPUTED_VALUE"""),"=1")</f>
        <v>=1</v>
      </c>
      <c r="AB8" s="282" t="str">
        <f ca="1">IFERROR(__xludf.DUMMYFUNCTION("""COMPUTED_VALUE"""),"=10-P_E")</f>
        <v>=10-P_E</v>
      </c>
      <c r="AC8" s="282" t="str">
        <f ca="1">IFERROR(__xludf.DUMMYFUNCTION("""COMPUTED_VALUE"""),"=175-25*P_R")</f>
        <v>=175-25*P_R</v>
      </c>
      <c r="AD8" s="283" t="str">
        <f ca="1">IFERROR(__xludf.DUMMYFUNCTION("""COMPUTED_VALUE"""),"=1")</f>
        <v>=1</v>
      </c>
      <c r="AE8" s="281" t="b">
        <f ca="1">IFERROR(__xludf.DUMMYFUNCTION("""COMPUTED_VALUE"""),TRUE)</f>
        <v>1</v>
      </c>
      <c r="AF8" s="282" t="str">
        <f ca="1">IFERROR(__xludf.DUMMYFUNCTION("""COMPUTED_VALUE"""),"=Image(""https://ddragon.leagueoflegends.com/cdn/11.19.1/img/champion/Amumu.png"")")</f>
        <v>=Image("https://ddragon.leagueoflegends.com/cdn/11.19.1/img/champion/Amumu.png")</v>
      </c>
      <c r="AG8" s="282" t="str">
        <f ca="1">IFERROR(__xludf.DUMMYFUNCTION("""COMPUTED_VALUE"""),"=IF(OR(REGEXMATCH(FORMULATEXT(U8);""HMOD"");NOT(P_Q&gt;0));0;U8)+IF(OR(REGEXMATCH(FORMULATEXT(V8);""HMOD"");NOT(P_W&gt;0));0;V8)+IF(OR(REGEXMATCH(FORMULATEXT(W8);""HMOD"");NOT(P_E&gt;0));0;W8)+IF(OR(REGEXMATCH(FORMULATEXT(X8);""HMOD"");NOT(P_R&gt;0));0;X8)+IF(REGEXMA"&amp;"TCH(FORMULATEXT(Y8);""HMOD"");0;Y8)+Self_Proc_Item+Self_Proc_Summ+Self_Proc_Rune+3*Self_DPS")</f>
        <v>=IF(OR(REGEXMATCH(FORMULATEXT(U8);"HMOD");NOT(P_Q&gt;0));0;U8)+IF(OR(REGEXMATCH(FORMULATEXT(V8);"HMOD");NOT(P_W&gt;0));0;V8)+IF(OR(REGEXMATCH(FORMULATEXT(W8);"HMOD");NOT(P_E&gt;0));0;W8)+IF(OR(REGEXMATCH(FORMULATEXT(X8);"HMOD");NOT(P_R&gt;0));0;X8)+IF(REGEXMATCH(FORMULATEXT(Y8);"HMOD");0;Y8)+Self_Proc_Item+Self_Proc_Summ+Self_Proc_Rune+3*Self_DPS</v>
      </c>
      <c r="AH8" s="282" t="str">
        <f ca="1">IFERROR(__xludf.DUMMYFUNCTION("""COMPUTED_VALUE"""),"=0")</f>
        <v>=0</v>
      </c>
      <c r="AI8" s="282" t="b">
        <f ca="1">IFERROR(__xludf.DUMMYFUNCTION("""COMPUTED_VALUE"""),FALSE)</f>
        <v>0</v>
      </c>
      <c r="AJ8" s="283" t="b">
        <f ca="1">IFERROR(__xludf.DUMMYFUNCTION("""COMPUTED_VALUE"""),FALSE)</f>
        <v>0</v>
      </c>
    </row>
    <row r="9" spans="1:36">
      <c r="A9" s="267" t="str">
        <f ca="1">IFERROR(__xludf.DUMMYFUNCTION("""COMPUTED_VALUE"""),"Anivia")</f>
        <v>Anivia</v>
      </c>
      <c r="B9" s="287" t="str">
        <f ca="1">IFERROR(__xludf.DUMMYFUNCTION("""COMPUTED_VALUE"""),"=550")</f>
        <v>=550</v>
      </c>
      <c r="C9" s="287" t="str">
        <f ca="1">IFERROR(__xludf.DUMMYFUNCTION("""COMPUTED_VALUE"""),"=92")</f>
        <v>=92</v>
      </c>
      <c r="D9" s="288" t="str">
        <f ca="1">IFERROR(__xludf.DUMMYFUNCTION("""COMPUTED_VALUE"""),"=5,5")</f>
        <v>=5,5</v>
      </c>
      <c r="E9" s="289" t="str">
        <f ca="1">IFERROR(__xludf.DUMMYFUNCTION("""COMPUTED_VALUE"""),"=0,55")</f>
        <v>=0,55</v>
      </c>
      <c r="F9" s="288" t="str">
        <f ca="1">IFERROR(__xludf.DUMMYFUNCTION("""COMPUTED_VALUE"""),"=495")</f>
        <v>=495</v>
      </c>
      <c r="G9" s="288" t="str">
        <f ca="1">IFERROR(__xludf.DUMMYFUNCTION("""COMPUTED_VALUE"""),"=45")</f>
        <v>=45</v>
      </c>
      <c r="H9" s="288" t="str">
        <f ca="1">IFERROR(__xludf.DUMMYFUNCTION("""COMPUTED_VALUE"""),"=8")</f>
        <v>=8</v>
      </c>
      <c r="I9" s="289" t="str">
        <f ca="1">IFERROR(__xludf.DUMMYFUNCTION("""COMPUTED_VALUE"""),"=0,8")</f>
        <v>=0,8</v>
      </c>
      <c r="J9" s="290" t="str">
        <f ca="1">IFERROR(__xludf.DUMMYFUNCTION("""COMPUTED_VALUE"""),"=51")</f>
        <v>=51</v>
      </c>
      <c r="K9" s="288" t="str">
        <f ca="1">IFERROR(__xludf.DUMMYFUNCTION("""COMPUTED_VALUE"""),"=3,2")</f>
        <v>=3,2</v>
      </c>
      <c r="L9" s="291" t="str">
        <f ca="1">IFERROR(__xludf.DUMMYFUNCTION("""COMPUTED_VALUE"""),"=0,625")</f>
        <v>=0,625</v>
      </c>
      <c r="M9" s="291" t="str">
        <f ca="1">IFERROR(__xludf.DUMMYFUNCTION("""COMPUTED_VALUE"""),"=0,625")</f>
        <v>=0,625</v>
      </c>
      <c r="N9" s="292" t="str">
        <f ca="1">IFERROR(__xludf.DUMMYFUNCTION("""COMPUTED_VALUE"""),"=1,68%")</f>
        <v>=1,68%</v>
      </c>
      <c r="O9" s="287" t="str">
        <f ca="1">IFERROR(__xludf.DUMMYFUNCTION("""COMPUTED_VALUE"""),"=21")</f>
        <v>=21</v>
      </c>
      <c r="P9" s="287" t="str">
        <f ca="1">IFERROR(__xludf.DUMMYFUNCTION("""COMPUTED_VALUE"""),"=4,9")</f>
        <v>=4,9</v>
      </c>
      <c r="Q9" s="288" t="str">
        <f ca="1">IFERROR(__xludf.DUMMYFUNCTION("""COMPUTED_VALUE"""),"=30")</f>
        <v>=30</v>
      </c>
      <c r="R9" s="289" t="str">
        <f ca="1">IFERROR(__xludf.DUMMYFUNCTION("""COMPUTED_VALUE"""),"=1,3")</f>
        <v>=1,3</v>
      </c>
      <c r="S9" s="287" t="str">
        <f ca="1">IFERROR(__xludf.DUMMYFUNCTION("""COMPUTED_VALUE"""),"=325")</f>
        <v>=325</v>
      </c>
      <c r="T9" s="628" t="str">
        <f ca="1">IFERROR(__xludf.DUMMYFUNCTION("""COMPUTED_VALUE"""),"=600")</f>
        <v>=600</v>
      </c>
      <c r="U9" s="298" t="str">
        <f ca="1">IFERROR(__xludf.DUMMYFUNCTION("""COMPUTED_VALUE"""),"=(IF(Steroid_Q;25+35*P_Q+0,45*Self_AP;0)+(30+20*P_Q+0,25*Self_AP))*MOD_Magic")</f>
        <v>=(IF(Steroid_Q;25+35*P_Q+0,45*Self_AP;0)+(30+20*P_Q+0,25*Self_AP))*MOD_Magic</v>
      </c>
      <c r="V9" s="299" t="str">
        <f ca="1">IFERROR(__xludf.DUMMYFUNCTION("""COMPUTED_VALUE"""),"=0")</f>
        <v>=0</v>
      </c>
      <c r="W9" s="299" t="str">
        <f ca="1">IFERROR(__xludf.DUMMYFUNCTION("""COMPUTED_VALUE"""),"=IF(Steroid_E;2;1)*(25+25*P_E+0,6*Self_AP)*MOD_Magic")</f>
        <v>=IF(Steroid_E;2;1)*(25+25*P_E+0,6*Self_AP)*MOD_Magic</v>
      </c>
      <c r="X9" s="299" t="str">
        <f ca="1">IFERROR(__xludf.DUMMYFUNCTION("""COMPUTED_VALUE"""),"=IF(Steroid_R;3;1)*(15+15*P_R+0,125*Self_AP)*MOD_Magic")</f>
        <v>=IF(Steroid_R;3;1)*(15+15*P_R+0,125*Self_AP)*MOD_Magic</v>
      </c>
      <c r="Y9" s="300" t="str">
        <f ca="1">IFERROR(__xludf.DUMMYFUNCTION("""COMPUTED_VALUE"""),"=0")</f>
        <v>=0</v>
      </c>
      <c r="Z9" s="281" t="str">
        <f ca="1">IFERROR(__xludf.DUMMYFUNCTION("""COMPUTED_VALUE"""),"=13-1*P_Q")</f>
        <v>=13-1*P_Q</v>
      </c>
      <c r="AA9" s="282" t="str">
        <f ca="1">IFERROR(__xludf.DUMMYFUNCTION("""COMPUTED_VALUE"""),"=17")</f>
        <v>=17</v>
      </c>
      <c r="AB9" s="282" t="str">
        <f ca="1">IFERROR(__xludf.DUMMYFUNCTION("""COMPUTED_VALUE"""),"=4")</f>
        <v>=4</v>
      </c>
      <c r="AC9" s="282" t="str">
        <f ca="1">IFERROR(__xludf.DUMMYFUNCTION("""COMPUTED_VALUE"""),"=5-1*P_R")</f>
        <v>=5-1*P_R</v>
      </c>
      <c r="AD9" s="283" t="str">
        <f ca="1">IFERROR(__xludf.DUMMYFUNCTION("""COMPUTED_VALUE"""),"=240")</f>
        <v>=240</v>
      </c>
      <c r="AE9" s="281" t="b">
        <f ca="1">IFERROR(__xludf.DUMMYFUNCTION("""COMPUTED_VALUE"""),FALSE)</f>
        <v>0</v>
      </c>
      <c r="AF9" s="282" t="str">
        <f ca="1">IFERROR(__xludf.DUMMYFUNCTION("""COMPUTED_VALUE"""),"=Image(""https://ddragon.leagueoflegends.com/cdn/11.19.1/img/champion/Anivia.png"")")</f>
        <v>=Image("https://ddragon.leagueoflegends.com/cdn/11.19.1/img/champion/Anivia.png")</v>
      </c>
      <c r="AG9" s="282" t="str">
        <f ca="1">IFERROR(__xludf.DUMMYFUNCTION("""COMPUTED_VALUE"""),"=IF(OR(REGEXMATCH(FORMULATEXT(U9);""HMOD"");NOT(P_Q&gt;0));0;U9)+IF(OR(REGEXMATCH(FORMULATEXT(V9);""HMOD"");NOT(P_W&gt;0));0;V9)+IF(OR(REGEXMATCH(FORMULATEXT(W9);""HMOD"");NOT(P_E&gt;0));0;W9)+IF(OR(REGEXMATCH(FORMULATEXT(X9);""HMOD"");NOT(P_R&gt;0));0;X9)+IF(REGEXMA"&amp;"TCH(FORMULATEXT(Y9);""HMOD"");0;Y9)+Self_Proc_Item+Self_Proc_Summ+Self_Proc_Rune+3*Self_DPS")</f>
        <v>=IF(OR(REGEXMATCH(FORMULATEXT(U9);"HMOD");NOT(P_Q&gt;0));0;U9)+IF(OR(REGEXMATCH(FORMULATEXT(V9);"HMOD");NOT(P_W&gt;0));0;V9)+IF(OR(REGEXMATCH(FORMULATEXT(W9);"HMOD");NOT(P_E&gt;0));0;W9)+IF(OR(REGEXMATCH(FORMULATEXT(X9);"HMOD");NOT(P_R&gt;0));0;X9)+IF(REGEXMATCH(FORMULATEXT(Y9);"HMOD");0;Y9)+Self_Proc_Item+Self_Proc_Summ+Self_Proc_Rune+3*Self_DPS</v>
      </c>
      <c r="AH9" s="282" t="str">
        <f ca="1">IFERROR(__xludf.DUMMYFUNCTION("""COMPUTED_VALUE"""),"=0")</f>
        <v>=0</v>
      </c>
      <c r="AI9" s="282" t="b">
        <f ca="1">IFERROR(__xludf.DUMMYFUNCTION("""COMPUTED_VALUE"""),FALSE)</f>
        <v>0</v>
      </c>
      <c r="AJ9" s="283" t="b">
        <f ca="1">IFERROR(__xludf.DUMMYFUNCTION("""COMPUTED_VALUE"""),FALSE)</f>
        <v>0</v>
      </c>
    </row>
    <row r="10" spans="1:36">
      <c r="A10" s="301" t="str">
        <f ca="1">IFERROR(__xludf.DUMMYFUNCTION("""COMPUTED_VALUE"""),"Annie")</f>
        <v>Annie</v>
      </c>
      <c r="B10" s="282" t="str">
        <f ca="1">IFERROR(__xludf.DUMMYFUNCTION("""COMPUTED_VALUE"""),"=560")</f>
        <v>=560</v>
      </c>
      <c r="C10" s="282" t="str">
        <f ca="1">IFERROR(__xludf.DUMMYFUNCTION("""COMPUTED_VALUE"""),"=102")</f>
        <v>=102</v>
      </c>
      <c r="D10" s="282" t="str">
        <f ca="1">IFERROR(__xludf.DUMMYFUNCTION("""COMPUTED_VALUE"""),"=5,5")</f>
        <v>=5,5</v>
      </c>
      <c r="E10" s="302" t="str">
        <f ca="1">IFERROR(__xludf.DUMMYFUNCTION("""COMPUTED_VALUE"""),"=0,55")</f>
        <v>=0,55</v>
      </c>
      <c r="F10" s="282" t="str">
        <f ca="1">IFERROR(__xludf.DUMMYFUNCTION("""COMPUTED_VALUE"""),"=418")</f>
        <v>=418</v>
      </c>
      <c r="G10" s="282" t="str">
        <f ca="1">IFERROR(__xludf.DUMMYFUNCTION("""COMPUTED_VALUE"""),"=25")</f>
        <v>=25</v>
      </c>
      <c r="H10" s="282" t="str">
        <f ca="1">IFERROR(__xludf.DUMMYFUNCTION("""COMPUTED_VALUE"""),"=8")</f>
        <v>=8</v>
      </c>
      <c r="I10" s="302" t="str">
        <f ca="1">IFERROR(__xludf.DUMMYFUNCTION("""COMPUTED_VALUE"""),"=0,8")</f>
        <v>=0,8</v>
      </c>
      <c r="J10" s="303" t="str">
        <f ca="1">IFERROR(__xludf.DUMMYFUNCTION("""COMPUTED_VALUE"""),"=50")</f>
        <v>=50</v>
      </c>
      <c r="K10" s="282" t="str">
        <f ca="1">IFERROR(__xludf.DUMMYFUNCTION("""COMPUTED_VALUE"""),"=2,63")</f>
        <v>=2,63</v>
      </c>
      <c r="L10" s="304" t="str">
        <f ca="1">IFERROR(__xludf.DUMMYFUNCTION("""COMPUTED_VALUE"""),"=0,579")</f>
        <v>=0,579</v>
      </c>
      <c r="M10" s="304" t="str">
        <f ca="1">IFERROR(__xludf.DUMMYFUNCTION("""COMPUTED_VALUE"""),"=0,579")</f>
        <v>=0,579</v>
      </c>
      <c r="N10" s="305" t="str">
        <f ca="1">IFERROR(__xludf.DUMMYFUNCTION("""COMPUTED_VALUE"""),"=1,36%")</f>
        <v>=1,36%</v>
      </c>
      <c r="O10" s="282" t="str">
        <f ca="1">IFERROR(__xludf.DUMMYFUNCTION("""COMPUTED_VALUE"""),"=19")</f>
        <v>=19</v>
      </c>
      <c r="P10" s="282" t="str">
        <f ca="1">IFERROR(__xludf.DUMMYFUNCTION("""COMPUTED_VALUE"""),"=5,2")</f>
        <v>=5,2</v>
      </c>
      <c r="Q10" s="282" t="str">
        <f ca="1">IFERROR(__xludf.DUMMYFUNCTION("""COMPUTED_VALUE"""),"=30")</f>
        <v>=30</v>
      </c>
      <c r="R10" s="302" t="str">
        <f ca="1">IFERROR(__xludf.DUMMYFUNCTION("""COMPUTED_VALUE"""),"=1,3")</f>
        <v>=1,3</v>
      </c>
      <c r="S10" s="282" t="str">
        <f ca="1">IFERROR(__xludf.DUMMYFUNCTION("""COMPUTED_VALUE"""),"=335")</f>
        <v>=335</v>
      </c>
      <c r="T10" s="283" t="str">
        <f ca="1">IFERROR(__xludf.DUMMYFUNCTION("""COMPUTED_VALUE"""),"=625")</f>
        <v>=625</v>
      </c>
      <c r="U10" s="295" t="str">
        <f ca="1">IFERROR(__xludf.DUMMYFUNCTION("""COMPUTED_VALUE"""),"=(45 + 35 * P_Q + 0,8 * Self_AP) * MOD_Magic")</f>
        <v>=(45 + 35 * P_Q + 0,8 * Self_AP) * MOD_Magic</v>
      </c>
      <c r="V10" s="296" t="str">
        <f ca="1">IFERROR(__xludf.DUMMYFUNCTION("""COMPUTED_VALUE"""),"=(25+45*P_W+0,85*Self_AP)*MOD_Magic")</f>
        <v>=(25+45*P_W+0,85*Self_AP)*MOD_Magic</v>
      </c>
      <c r="W10" s="296" t="str">
        <f ca="1">IFERROR(__xludf.DUMMYFUNCTION("""COMPUTED_VALUE"""),"=(15+10*P_E+0,4*Self_AP)*MOD_Magic")</f>
        <v>=(15+10*P_E+0,4*Self_AP)*MOD_Magic</v>
      </c>
      <c r="X10" s="296" t="str">
        <f ca="1">IFERROR(__xludf.DUMMYFUNCTION("""COMPUTED_VALUE"""),"=(25+125*P_R+0,65*Self_AP)*MOD_Magic")</f>
        <v>=(25+125*P_R+0,65*Self_AP)*MOD_Magic</v>
      </c>
      <c r="Y10" s="297" t="str">
        <f ca="1">IFERROR(__xludf.DUMMYFUNCTION("""COMPUTED_VALUE"""),"=0")</f>
        <v>=0</v>
      </c>
      <c r="Z10" s="281" t="str">
        <f ca="1">IFERROR(__xludf.DUMMYFUNCTION("""COMPUTED_VALUE"""),"=4")</f>
        <v>=4</v>
      </c>
      <c r="AA10" s="282" t="str">
        <f ca="1">IFERROR(__xludf.DUMMYFUNCTION("""COMPUTED_VALUE"""),"=8")</f>
        <v>=8</v>
      </c>
      <c r="AB10" s="282" t="str">
        <f ca="1">IFERROR(__xludf.DUMMYFUNCTION("""COMPUTED_VALUE"""),"=12,5-0,5*P_E")</f>
        <v>=12,5-0,5*P_E</v>
      </c>
      <c r="AC10" s="282" t="str">
        <f ca="1">IFERROR(__xludf.DUMMYFUNCTION("""COMPUTED_VALUE"""),"=145 - 15 * P_R")</f>
        <v>=145 - 15 * P_R</v>
      </c>
      <c r="AD10" s="283" t="str">
        <f ca="1">IFERROR(__xludf.DUMMYFUNCTION("""COMPUTED_VALUE"""),"=1")</f>
        <v>=1</v>
      </c>
      <c r="AE10" s="281" t="b">
        <f ca="1">IFERROR(__xludf.DUMMYFUNCTION("""COMPUTED_VALUE"""),FALSE)</f>
        <v>0</v>
      </c>
      <c r="AF10" s="282" t="str">
        <f ca="1">IFERROR(__xludf.DUMMYFUNCTION("""COMPUTED_VALUE"""),"=Image(""https://ddragon.leagueoflegends.com/cdn/11.19.1/img/champion/Annie.png"")")</f>
        <v>=Image("https://ddragon.leagueoflegends.com/cdn/11.19.1/img/champion/Annie.png")</v>
      </c>
      <c r="AG10" s="282" t="str">
        <f ca="1">IFERROR(__xludf.DUMMYFUNCTION("""COMPUTED_VALUE"""),"=IF(OR(REGEXMATCH(FORMULATEXT(U10);""HMOD"");NOT(P_Q&gt;0));0;U10)+IF(OR(REGEXMATCH(FORMULATEXT(V10);""HMOD"");NOT(P_W&gt;0));0;V10)+IF(OR(REGEXMATCH(FORMULATEXT(W10);""HMOD"");NOT(P_E&gt;0));0;W10)+IF(OR(REGEXMATCH(FORMULATEXT(X10);""HMOD"");NOT(P_R&gt;0));0;X10)+IF"&amp;"(REGEXMATCH(FORMULATEXT(Y10);""HMOD"");0;Y10)+Self_Proc_Item+Self_Proc_Summ+Self_Proc_Rune+3*Self_DPS")</f>
        <v>=IF(OR(REGEXMATCH(FORMULATEXT(U10);"HMOD");NOT(P_Q&gt;0));0;U10)+IF(OR(REGEXMATCH(FORMULATEXT(V10);"HMOD");NOT(P_W&gt;0));0;V10)+IF(OR(REGEXMATCH(FORMULATEXT(W10);"HMOD");NOT(P_E&gt;0));0;W10)+IF(OR(REGEXMATCH(FORMULATEXT(X10);"HMOD");NOT(P_R&gt;0));0;X10)+IF(REGEXMATCH(FORMULATEXT(Y10);"HMOD");0;Y10)+Self_Proc_Item+Self_Proc_Summ+Self_Proc_Rune+3*Self_DPS</v>
      </c>
      <c r="AH10" s="282" t="str">
        <f ca="1">IFERROR(__xludf.DUMMYFUNCTION("""COMPUTED_VALUE"""),"=0")</f>
        <v>=0</v>
      </c>
      <c r="AI10" s="282" t="b">
        <f ca="1">IFERROR(__xludf.DUMMYFUNCTION("""COMPUTED_VALUE"""),FALSE)</f>
        <v>0</v>
      </c>
      <c r="AJ10" s="283" t="b">
        <f ca="1">IFERROR(__xludf.DUMMYFUNCTION("""COMPUTED_VALUE"""),FALSE)</f>
        <v>0</v>
      </c>
    </row>
    <row r="11" spans="1:36">
      <c r="A11" s="267" t="str">
        <f ca="1">IFERROR(__xludf.DUMMYFUNCTION("""COMPUTED_VALUE"""),"Aphelios")</f>
        <v>Aphelios</v>
      </c>
      <c r="B11" s="287" t="str">
        <f ca="1">IFERROR(__xludf.DUMMYFUNCTION("""COMPUTED_VALUE"""),"=580")</f>
        <v>=580</v>
      </c>
      <c r="C11" s="287" t="str">
        <f ca="1">IFERROR(__xludf.DUMMYFUNCTION("""COMPUTED_VALUE"""),"=102")</f>
        <v>=102</v>
      </c>
      <c r="D11" s="288" t="str">
        <f ca="1">IFERROR(__xludf.DUMMYFUNCTION("""COMPUTED_VALUE"""),"=3,25")</f>
        <v>=3,25</v>
      </c>
      <c r="E11" s="289" t="str">
        <f ca="1">IFERROR(__xludf.DUMMYFUNCTION("""COMPUTED_VALUE"""),"=0,55")</f>
        <v>=0,55</v>
      </c>
      <c r="F11" s="288" t="str">
        <f ca="1">IFERROR(__xludf.DUMMYFUNCTION("""COMPUTED_VALUE"""),"=348")</f>
        <v>=348</v>
      </c>
      <c r="G11" s="288" t="str">
        <f ca="1">IFERROR(__xludf.DUMMYFUNCTION("""COMPUTED_VALUE"""),"=42")</f>
        <v>=42</v>
      </c>
      <c r="H11" s="288" t="str">
        <f ca="1">IFERROR(__xludf.DUMMYFUNCTION("""COMPUTED_VALUE"""),"=6,5")</f>
        <v>=6,5</v>
      </c>
      <c r="I11" s="289" t="str">
        <f ca="1">IFERROR(__xludf.DUMMYFUNCTION("""COMPUTED_VALUE"""),"=0,5")</f>
        <v>=0,5</v>
      </c>
      <c r="J11" s="290" t="str">
        <f ca="1">IFERROR(__xludf.DUMMYFUNCTION("""COMPUTED_VALUE"""),"=55")</f>
        <v>=55</v>
      </c>
      <c r="K11" s="288" t="str">
        <f ca="1">IFERROR(__xludf.DUMMYFUNCTION("""COMPUTED_VALUE"""),"=3")</f>
        <v>=3</v>
      </c>
      <c r="L11" s="291" t="str">
        <f ca="1">IFERROR(__xludf.DUMMYFUNCTION("""COMPUTED_VALUE"""),"=0,64")</f>
        <v>=0,64</v>
      </c>
      <c r="M11" s="291" t="str">
        <f ca="1">IFERROR(__xludf.DUMMYFUNCTION("""COMPUTED_VALUE"""),"=0,64")</f>
        <v>=0,64</v>
      </c>
      <c r="N11" s="292" t="str">
        <f ca="1">IFERROR(__xludf.DUMMYFUNCTION("""COMPUTED_VALUE"""),"=2,1%")</f>
        <v>=2,1%</v>
      </c>
      <c r="O11" s="287" t="str">
        <f ca="1">IFERROR(__xludf.DUMMYFUNCTION("""COMPUTED_VALUE"""),"=26")</f>
        <v>=26</v>
      </c>
      <c r="P11" s="287" t="str">
        <f ca="1">IFERROR(__xludf.DUMMYFUNCTION("""COMPUTED_VALUE"""),"=4,2")</f>
        <v>=4,2</v>
      </c>
      <c r="Q11" s="288" t="str">
        <f ca="1">IFERROR(__xludf.DUMMYFUNCTION("""COMPUTED_VALUE"""),"=30")</f>
        <v>=30</v>
      </c>
      <c r="R11" s="289" t="str">
        <f ca="1">IFERROR(__xludf.DUMMYFUNCTION("""COMPUTED_VALUE"""),"=1,3")</f>
        <v>=1,3</v>
      </c>
      <c r="S11" s="287" t="str">
        <f ca="1">IFERROR(__xludf.DUMMYFUNCTION("""COMPUTED_VALUE"""),"=325")</f>
        <v>=325</v>
      </c>
      <c r="T11" s="628" t="str">
        <f ca="1">IFERROR(__xludf.DUMMYFUNCTION("""COMPUTED_VALUE"""),"=550+if(C_Aphelios_W1=""Calibrum"";100;0)")</f>
        <v>=550+if(C_Aphelios_W1="Calibrum";100;0)</v>
      </c>
      <c r="U11" s="298" t="str">
        <f ca="1">IFERROR(__xludf.DUMMYFUNCTION("""COMPUTED_VALUE"""),"=IF(C_Aphelios_W1=""Calibrum"";((0,42+IF(ROUNDDOWN((Self_Level-1)/2)&gt;=6;6;ROUNDDOWN((Self_Level-1)/2))*0,03)*Self_BoAD+Self_AP+60+(50/3)*IF(ROUNDDOWN((Self_Level-1)/2)&gt;=6;6;ROUNDDOWN((Self_Level-1)/2)))*MOD_Phys;IF(C_Aphelios_W1=""Severum"";((10+IF(ROUNDD"&amp;"OWN((Self_Level-1)/2)&gt;=6;6;ROUNDDOWN((Self_Level-1)/2))*(30/6)+(0,2+(0,15/6)*IF(ROUNDDOWN((Self_Level-1)/2)&gt;=6;6;ROUNDDOWN((Self_Level-1)/2)))*Self_BoAD)*MOD_Phys*(1+Self_Crit*(Self_CritDMG-1))+0,25*OH_Phys+0,25*OH_Magic)*(6+2*Self_BoAS);IF(C_Aphelios_W1="&amp;"""Gravitum"";((0,26+0,015*IF(ROUNDDOWN((Self_Level-1)/2)&gt;=6;6;ROUNDDOWN((Self_Level-1)/2)))*Self_BoAD+0,7*Self_AP+10*IF(ROUNDDOWN((Self_Level-1)/2)&gt;=6;6;ROUNDDOWN((Self_Level-1)/2))+50)*MOD_Magic;IF(C_Aphelios_W1=""Infernum"";(IF(ROUNDDOWN((Self_Level-1)/"&amp;"2)&gt;=6;6;ROUNDDOWN((Self_Level-1)/2))*(20/3)+25+(0,56+0,04*IF(ROUNDDOWN((Self_Level-1)/2)&gt;=6;6;ROUNDDOWN((Self_Level-1)/2)))*Self_BoAD+0,7*Self_AP)*MOD_Phys;IF(C_Aphelios_W1=""Crescendum"";((0,4+(0,2/6)*IF(ROUNDDOWN((Self_Level-1)/2)&gt;=6;6;ROUNDDOWN((Self_L"&amp;"evel-1)/2)))*Self_BoAD+0,5*Self_AP+IF(ROUNDDOWN((Self_Level-1)/2)&gt;=6;6;ROUNDDOWN((Self_Level-1)/2))*(69/6)+31)*MOD_Phys;0)))))")</f>
        <v>=IF(C_Aphelios_W1="Calibrum";((0,42+IF(ROUNDDOWN((Self_Level-1)/2)&gt;=6;6;ROUNDDOWN((Self_Level-1)/2))*0,03)*Self_BoAD+Self_AP+60+(50/3)*IF(ROUNDDOWN((Self_Level-1)/2)&gt;=6;6;ROUNDDOWN((Self_Level-1)/2)))*MOD_Phys;IF(C_Aphelios_W1="Severum";((10+IF(ROUNDDOWN((Self_Level-1)/2)&gt;=6;6;ROUNDDOWN((Self_Level-1)/2))*(30/6)+(0,2+(0,15/6)*IF(ROUNDDOWN((Self_Level-1)/2)&gt;=6;6;ROUNDDOWN((Self_Level-1)/2)))*Self_BoAD)*MOD_Phys*(1+Self_Crit*(Self_CritDMG-1))+0,25*OH_Phys+0,25*OH_Magic)*(6+2*Self_BoAS);IF(C_Aphelios_W1="Gravitum";((0,26+0,015*IF(ROUNDDOWN((Self_Level-1)/2)&gt;=6;6;ROUNDDOWN((Self_Level-1)/2)))*Self_BoAD+0,7*Self_AP+10*IF(ROUNDDOWN((Self_Level-1)/2)&gt;=6;6;ROUNDDOWN((Self_Level-1)/2))+50)*MOD_Magic;IF(C_Aphelios_W1="Infernum";(IF(ROUNDDOWN((Self_Level-1)/2)&gt;=6;6;ROUNDDOWN((Self_Level-1)/2))*(20/3)+25+(0,56+0,04*IF(ROUNDDOWN((Self_Level-1)/2)&gt;=6;6;ROUNDDOWN((Self_Level-1)/2)))*Self_BoAD+0,7*Self_AP)*MOD_Phys;IF(C_Aphelios_W1="Crescendum";((0,4+(0,2/6)*IF(ROUNDDOWN((Self_Level-1)/2)&gt;=6;6;ROUNDDOWN((Self_Level-1)/2)))*Self_BoAD+0,5*Self_AP+IF(ROUNDDOWN((Self_Level-1)/2)&gt;=6;6;ROUNDDOWN((Self_Level-1)/2))*(69/6)+31)*MOD_Phys;0)))))</v>
      </c>
      <c r="V11" s="299" t="str">
        <f ca="1">IFERROR(__xludf.DUMMYFUNCTION("""COMPUTED_VALUE"""),"=0")</f>
        <v>=0</v>
      </c>
      <c r="W11" s="299" t="str">
        <f ca="1">IFERROR(__xludf.DUMMYFUNCTION("""COMPUTED_VALUE"""),"=0")</f>
        <v>=0</v>
      </c>
      <c r="X11" s="299" t="str">
        <f ca="1">IFERROR(__xludf.DUMMYFUNCTION("""COMPUTED_VALUE"""),"=(50 * ROUNDDOWN((Self_Level - 1) / 5) + 75 + 0,2 * Self_BoAD + Self_AP + ((0,2 + IT_CDMG) * Self_AD * Self_Crit) +
IF(C_Aphelios_W1 = ""Infernum""; 0,25 * Self_BoAD + 50 * ROUNDDOWN((Self_Level - 1) / 5);
IF(C_Aphelios_W1 = ""Calibrum""; 30 * ROUNDDOWN(("&amp;"Self_Level-1)/5) + 20;0))) * MOD_Phys")</f>
        <v>=(50 * ROUNDDOWN((Self_Level - 1) / 5) + 75 + 0,2 * Self_BoAD + Self_AP + ((0,2 + IT_CDMG) * Self_AD * Self_Crit) +
IF(C_Aphelios_W1 = "Infernum"; 0,25 * Self_BoAD + 50 * ROUNDDOWN((Self_Level - 1) / 5);
IF(C_Aphelios_W1 = "Calibrum"; 30 * ROUNDDOWN((Self_Level-1)/5) + 20;0))) * MOD_Phys</v>
      </c>
      <c r="Y11" s="300" t="str">
        <f ca="1">IFERROR(__xludf.DUMMYFUNCTION("""COMPUTED_VALUE"""),"=0")</f>
        <v>=0</v>
      </c>
      <c r="Z11" s="281" t="str">
        <f ca="1">IFERROR(__xludf.DUMMYFUNCTION("""COMPUTED_VALUE"""),"=if(C_Aphelios_W1=""Severum"";if(Self_Level&gt;=9;8;if(Self_Level&gt;=5;9;10));if(C_Aphelios_W1=""Gravitum"";12-if(rounddown((Self_Level-1)/2)&gt;=4;4;rounddown((Self_Level-1)/2))*0,5;if(C_Aphelios_W1=""Infernum"";if(Self_Level&gt;=9;6;if(Self_Level&gt;=7;7;if(Self_Leve"&amp;"l&gt;=3;8;9)));10-if(rounddown((Self_Level-1)/2)&gt;=4;4;rounddown((Self_Level-1)/2))*0,5)))")</f>
        <v>=if(C_Aphelios_W1="Severum";if(Self_Level&gt;=9;8;if(Self_Level&gt;=5;9;10));if(C_Aphelios_W1="Gravitum";12-if(rounddown((Self_Level-1)/2)&gt;=4;4;rounddown((Self_Level-1)/2))*0,5;if(C_Aphelios_W1="Infernum";if(Self_Level&gt;=9;6;if(Self_Level&gt;=7;7;if(Self_Level&gt;=3;8;9)));10-if(rounddown((Self_Level-1)/2)&gt;=4;4;rounddown((Self_Level-1)/2))*0,5)))</v>
      </c>
      <c r="AA11" s="282" t="str">
        <f ca="1">IFERROR(__xludf.DUMMYFUNCTION("""COMPUTED_VALUE"""),"=0,8")</f>
        <v>=0,8</v>
      </c>
      <c r="AB11" s="282" t="str">
        <f ca="1">IFERROR(__xludf.DUMMYFUNCTION("""COMPUTED_VALUE"""),"=1")</f>
        <v>=1</v>
      </c>
      <c r="AC11" s="282" t="str">
        <f ca="1">IFERROR(__xludf.DUMMYFUNCTION("""COMPUTED_VALUE"""),"=130-10*Rounddown((Self_Level-1)/5)")</f>
        <v>=130-10*Rounddown((Self_Level-1)/5)</v>
      </c>
      <c r="AD11" s="283" t="str">
        <f ca="1">IFERROR(__xludf.DUMMYFUNCTION("""COMPUTED_VALUE"""),"=1")</f>
        <v>=1</v>
      </c>
      <c r="AE11" s="281" t="b">
        <f ca="1">IFERROR(__xludf.DUMMYFUNCTION("""COMPUTED_VALUE"""),FALSE)</f>
        <v>0</v>
      </c>
      <c r="AF11" s="282" t="str">
        <f ca="1">IFERROR(__xludf.DUMMYFUNCTION("""COMPUTED_VALUE"""),"=Image(""https://ddragon.leagueoflegends.com/cdn/11.19.1/img/champion/Aphelios.png"")")</f>
        <v>=Image("https://ddragon.leagueoflegends.com/cdn/11.19.1/img/champion/Aphelios.png")</v>
      </c>
      <c r="AG11" s="282" t="str">
        <f ca="1">IFERROR(__xludf.DUMMYFUNCTION("""COMPUTED_VALUE"""),"=IF(OR(REGEXMATCH(FORMULATEXT(U11);""HMOD"");NOT(P_Q&gt;0));0;U11)+IF(OR(REGEXMATCH(FORMULATEXT(V11);""HMOD"");NOT(P_W&gt;0));0;V11)+IF(OR(REGEXMATCH(FORMULATEXT(W11);""HMOD"");NOT(P_E&gt;0));0;W11)+IF(OR(REGEXMATCH(FORMULATEXT(X11);""HMOD"");NOT(P_R&gt;0));0;X11)+IF"&amp;"(REGEXMATCH(FORMULATEXT(Y11);""HMOD"");0;Y11)+Self_Proc_Item+Self_Proc_Summ+Self_Proc_Rune+3*Self_DPS")</f>
        <v>=IF(OR(REGEXMATCH(FORMULATEXT(U11);"HMOD");NOT(P_Q&gt;0));0;U11)+IF(OR(REGEXMATCH(FORMULATEXT(V11);"HMOD");NOT(P_W&gt;0));0;V11)+IF(OR(REGEXMATCH(FORMULATEXT(W11);"HMOD");NOT(P_E&gt;0));0;W11)+IF(OR(REGEXMATCH(FORMULATEXT(X11);"HMOD");NOT(P_R&gt;0));0;X11)+IF(REGEXMATCH(FORMULATEXT(Y11);"HMOD");0;Y11)+Self_Proc_Item+Self_Proc_Summ+Self_Proc_Rune+3*Self_DPS</v>
      </c>
      <c r="AH11" s="282" t="str">
        <f ca="1">IFERROR(__xludf.DUMMYFUNCTION("""COMPUTED_VALUE"""),"=0")</f>
        <v>=0</v>
      </c>
      <c r="AI11" s="282" t="b">
        <f ca="1">IFERROR(__xludf.DUMMYFUNCTION("""COMPUTED_VALUE"""),FALSE)</f>
        <v>0</v>
      </c>
      <c r="AJ11" s="283" t="b">
        <f ca="1">IFERROR(__xludf.DUMMYFUNCTION("""COMPUTED_VALUE"""),FALSE)</f>
        <v>0</v>
      </c>
    </row>
    <row r="12" spans="1:36">
      <c r="A12" s="267" t="str">
        <f ca="1">IFERROR(__xludf.DUMMYFUNCTION("""COMPUTED_VALUE"""),"Ashe")</f>
        <v>Ashe</v>
      </c>
      <c r="B12" s="287" t="str">
        <f ca="1">IFERROR(__xludf.DUMMYFUNCTION("""COMPUTED_VALUE"""),"=640")</f>
        <v>=640</v>
      </c>
      <c r="C12" s="287" t="str">
        <f ca="1">IFERROR(__xludf.DUMMYFUNCTION("""COMPUTED_VALUE"""),"=101")</f>
        <v>=101</v>
      </c>
      <c r="D12" s="288" t="str">
        <f ca="1">IFERROR(__xludf.DUMMYFUNCTION("""COMPUTED_VALUE"""),"=3,5")</f>
        <v>=3,5</v>
      </c>
      <c r="E12" s="289" t="str">
        <f ca="1">IFERROR(__xludf.DUMMYFUNCTION("""COMPUTED_VALUE"""),"=0,55")</f>
        <v>=0,55</v>
      </c>
      <c r="F12" s="288" t="str">
        <f ca="1">IFERROR(__xludf.DUMMYFUNCTION("""COMPUTED_VALUE"""),"=280")</f>
        <v>=280</v>
      </c>
      <c r="G12" s="288" t="str">
        <f ca="1">IFERROR(__xludf.DUMMYFUNCTION("""COMPUTED_VALUE"""),"=35")</f>
        <v>=35</v>
      </c>
      <c r="H12" s="288" t="str">
        <f ca="1">IFERROR(__xludf.DUMMYFUNCTION("""COMPUTED_VALUE"""),"=7")</f>
        <v>=7</v>
      </c>
      <c r="I12" s="289" t="str">
        <f ca="1">IFERROR(__xludf.DUMMYFUNCTION("""COMPUTED_VALUE"""),"=0,65")</f>
        <v>=0,65</v>
      </c>
      <c r="J12" s="290" t="str">
        <f ca="1">IFERROR(__xludf.DUMMYFUNCTION("""COMPUTED_VALUE"""),"=59")</f>
        <v>=59</v>
      </c>
      <c r="K12" s="288" t="str">
        <f ca="1">IFERROR(__xludf.DUMMYFUNCTION("""COMPUTED_VALUE"""),"=2,96")</f>
        <v>=2,96</v>
      </c>
      <c r="L12" s="291" t="str">
        <f ca="1">IFERROR(__xludf.DUMMYFUNCTION("""COMPUTED_VALUE"""),"=0,658")</f>
        <v>=0,658</v>
      </c>
      <c r="M12" s="291" t="str">
        <f ca="1">IFERROR(__xludf.DUMMYFUNCTION("""COMPUTED_VALUE"""),"=0,658")</f>
        <v>=0,658</v>
      </c>
      <c r="N12" s="292" t="str">
        <f ca="1">IFERROR(__xludf.DUMMYFUNCTION("""COMPUTED_VALUE"""),"=3,33%")</f>
        <v>=3,33%</v>
      </c>
      <c r="O12" s="287" t="str">
        <f ca="1">IFERROR(__xludf.DUMMYFUNCTION("""COMPUTED_VALUE"""),"=26")</f>
        <v>=26</v>
      </c>
      <c r="P12" s="287" t="str">
        <f ca="1">IFERROR(__xludf.DUMMYFUNCTION("""COMPUTED_VALUE"""),"=4,6")</f>
        <v>=4,6</v>
      </c>
      <c r="Q12" s="288" t="str">
        <f ca="1">IFERROR(__xludf.DUMMYFUNCTION("""COMPUTED_VALUE"""),"=30")</f>
        <v>=30</v>
      </c>
      <c r="R12" s="289" t="str">
        <f ca="1">IFERROR(__xludf.DUMMYFUNCTION("""COMPUTED_VALUE"""),"=1,3")</f>
        <v>=1,3</v>
      </c>
      <c r="S12" s="287" t="str">
        <f ca="1">IFERROR(__xludf.DUMMYFUNCTION("""COMPUTED_VALUE"""),"=325")</f>
        <v>=325</v>
      </c>
      <c r="T12" s="628" t="str">
        <f ca="1">IFERROR(__xludf.DUMMYFUNCTION("""COMPUTED_VALUE"""),"=600")</f>
        <v>=600</v>
      </c>
      <c r="U12" s="295" t="str">
        <f ca="1">IFERROR(__xludf.DUMMYFUNCTION("""COMPUTED_VALUE"""),"=(Self_AD*(1+0,05*P_Q))*MOD_Phys")</f>
        <v>=(Self_AD*(1+0,05*P_Q))*MOD_Phys</v>
      </c>
      <c r="V12" s="296" t="str">
        <f ca="1">IFERROR(__xludf.DUMMYFUNCTION("""COMPUTED_VALUE"""),"=(5 + 15 * P_W + Self_AD) * MOD_Phys")</f>
        <v>=(5 + 15 * P_W + Self_AD) * MOD_Phys</v>
      </c>
      <c r="W12" s="296" t="str">
        <f ca="1">IFERROR(__xludf.DUMMYFUNCTION("""COMPUTED_VALUE"""),"=0")</f>
        <v>=0</v>
      </c>
      <c r="X12" s="296" t="str">
        <f ca="1">IFERROR(__xludf.DUMMYFUNCTION("""COMPUTED_VALUE"""),"=(200 * P_R + 1,2 * Self_AP) * MOD_Magic")</f>
        <v>=(200 * P_R + 1,2 * Self_AP) * MOD_Magic</v>
      </c>
      <c r="Y12" s="297" t="str">
        <f ca="1">IFERROR(__xludf.DUMMYFUNCTION("""COMPUTED_VALUE"""),"=Self_AD*(Calc!M10-1)*(MOD_Hit/Calc!M10)")</f>
        <v>=Self_AD*(Calc!M10-1)*(MOD_Hit/Calc!M10)</v>
      </c>
      <c r="Z12" s="281" t="str">
        <f ca="1">IFERROR(__xludf.DUMMYFUNCTION("""COMPUTED_VALUE"""),"=4/if(Self_AS&lt;=0;0,625;Self_AS)")</f>
        <v>=4/if(Self_AS&lt;=0;0,625;Self_AS)</v>
      </c>
      <c r="AA12" s="282" t="str">
        <f ca="1">IFERROR(__xludf.DUMMYFUNCTION("""COMPUTED_VALUE"""),"=21,5-3,5*P_W")</f>
        <v>=21,5-3,5*P_W</v>
      </c>
      <c r="AB12" s="282" t="str">
        <f ca="1">IFERROR(__xludf.DUMMYFUNCTION("""COMPUTED_VALUE"""),"=100-10*P_E")</f>
        <v>=100-10*P_E</v>
      </c>
      <c r="AC12" s="282" t="str">
        <f ca="1">IFERROR(__xludf.DUMMYFUNCTION("""COMPUTED_VALUE"""),"=120-20*P_R")</f>
        <v>=120-20*P_R</v>
      </c>
      <c r="AD12" s="283" t="str">
        <f ca="1">IFERROR(__xludf.DUMMYFUNCTION("""COMPUTED_VALUE"""),"=1")</f>
        <v>=1</v>
      </c>
      <c r="AE12" s="281" t="b">
        <f ca="1">IFERROR(__xludf.DUMMYFUNCTION("""COMPUTED_VALUE"""),FALSE)</f>
        <v>0</v>
      </c>
      <c r="AF12" s="282" t="str">
        <f ca="1">IFERROR(__xludf.DUMMYFUNCTION("""COMPUTED_VALUE"""),"=Image(""https://ddragon.leagueoflegends.com/cdn/11.19.1/img/champion/Ashe.png"")")</f>
        <v>=Image("https://ddragon.leagueoflegends.com/cdn/11.19.1/img/champion/Ashe.png")</v>
      </c>
      <c r="AG12" s="282" t="str">
        <f ca="1">IFERROR(__xludf.DUMMYFUNCTION("""COMPUTED_VALUE"""),"=IF(OR(REGEXMATCH(FORMULATEXT(U12);""HMOD"");NOT(P_Q&gt;0));0;U12)+IF(OR(REGEXMATCH(FORMULATEXT(V12);""HMOD"");NOT(P_W&gt;0));0;V12)+IF(OR(REGEXMATCH(FORMULATEXT(W12);""HMOD"");NOT(P_E&gt;0));0;W12)+IF(OR(REGEXMATCH(FORMULATEXT(X12);""HMOD"");NOT(P_R&gt;0));0;X12)+IF"&amp;"(REGEXMATCH(FORMULATEXT(Y12);""HMOD"");0;Y12)+Self_Proc_Item+Self_Proc_Summ+Self_Proc_Rune+3*Self_DPS")</f>
        <v>=IF(OR(REGEXMATCH(FORMULATEXT(U12);"HMOD");NOT(P_Q&gt;0));0;U12)+IF(OR(REGEXMATCH(FORMULATEXT(V12);"HMOD");NOT(P_W&gt;0));0;V12)+IF(OR(REGEXMATCH(FORMULATEXT(W12);"HMOD");NOT(P_E&gt;0));0;W12)+IF(OR(REGEXMATCH(FORMULATEXT(X12);"HMOD");NOT(P_R&gt;0));0;X12)+IF(REGEXMATCH(FORMULATEXT(Y12);"HMOD");0;Y12)+Self_Proc_Item+Self_Proc_Summ+Self_Proc_Rune+3*Self_DPS</v>
      </c>
      <c r="AH12" s="282" t="str">
        <f ca="1">IFERROR(__xludf.DUMMYFUNCTION("""COMPUTED_VALUE"""),"=0")</f>
        <v>=0</v>
      </c>
      <c r="AI12" s="282" t="b">
        <f ca="1">IFERROR(__xludf.DUMMYFUNCTION("""COMPUTED_VALUE"""),FALSE)</f>
        <v>0</v>
      </c>
      <c r="AJ12" s="283" t="b">
        <f ca="1">IFERROR(__xludf.DUMMYFUNCTION("""COMPUTED_VALUE"""),FALSE)</f>
        <v>0</v>
      </c>
    </row>
    <row r="13" spans="1:36">
      <c r="A13" s="267" t="str">
        <f ca="1">IFERROR(__xludf.DUMMYFUNCTION("""COMPUTED_VALUE"""),"Aurelion Sol")</f>
        <v>Aurelion Sol</v>
      </c>
      <c r="B13" s="287" t="str">
        <f ca="1">IFERROR(__xludf.DUMMYFUNCTION("""COMPUTED_VALUE"""),"=620")</f>
        <v>=620</v>
      </c>
      <c r="C13" s="287" t="str">
        <f ca="1">IFERROR(__xludf.DUMMYFUNCTION("""COMPUTED_VALUE"""),"=90")</f>
        <v>=90</v>
      </c>
      <c r="D13" s="288" t="str">
        <f ca="1">IFERROR(__xludf.DUMMYFUNCTION("""COMPUTED_VALUE"""),"=5,5")</f>
        <v>=5,5</v>
      </c>
      <c r="E13" s="289" t="str">
        <f ca="1">IFERROR(__xludf.DUMMYFUNCTION("""COMPUTED_VALUE"""),"=0,55")</f>
        <v>=0,55</v>
      </c>
      <c r="F13" s="288" t="str">
        <f ca="1">IFERROR(__xludf.DUMMYFUNCTION("""COMPUTED_VALUE"""),"=530")</f>
        <v>=530</v>
      </c>
      <c r="G13" s="288" t="str">
        <f ca="1">IFERROR(__xludf.DUMMYFUNCTION("""COMPUTED_VALUE"""),"=40")</f>
        <v>=40</v>
      </c>
      <c r="H13" s="288" t="str">
        <f ca="1">IFERROR(__xludf.DUMMYFUNCTION("""COMPUTED_VALUE"""),"=8")</f>
        <v>=8</v>
      </c>
      <c r="I13" s="289" t="str">
        <f ca="1">IFERROR(__xludf.DUMMYFUNCTION("""COMPUTED_VALUE"""),"=0,75")</f>
        <v>=0,75</v>
      </c>
      <c r="J13" s="290" t="str">
        <f ca="1">IFERROR(__xludf.DUMMYFUNCTION("""COMPUTED_VALUE"""),"=55")</f>
        <v>=55</v>
      </c>
      <c r="K13" s="288" t="str">
        <f ca="1">IFERROR(__xludf.DUMMYFUNCTION("""COMPUTED_VALUE"""),"=3,2")</f>
        <v>=3,2</v>
      </c>
      <c r="L13" s="291" t="str">
        <f ca="1">IFERROR(__xludf.DUMMYFUNCTION("""COMPUTED_VALUE"""),"=0,625")</f>
        <v>=0,625</v>
      </c>
      <c r="M13" s="291" t="str">
        <f ca="1">IFERROR(__xludf.DUMMYFUNCTION("""COMPUTED_VALUE"""),"=0,625")</f>
        <v>=0,625</v>
      </c>
      <c r="N13" s="292" t="str">
        <f ca="1">IFERROR(__xludf.DUMMYFUNCTION("""COMPUTED_VALUE"""),"=1,36%")</f>
        <v>=1,36%</v>
      </c>
      <c r="O13" s="287" t="str">
        <f ca="1">IFERROR(__xludf.DUMMYFUNCTION("""COMPUTED_VALUE"""),"=22")</f>
        <v>=22</v>
      </c>
      <c r="P13" s="287" t="str">
        <f ca="1">IFERROR(__xludf.DUMMYFUNCTION("""COMPUTED_VALUE"""),"=4")</f>
        <v>=4</v>
      </c>
      <c r="Q13" s="288" t="str">
        <f ca="1">IFERROR(__xludf.DUMMYFUNCTION("""COMPUTED_VALUE"""),"=30")</f>
        <v>=30</v>
      </c>
      <c r="R13" s="289" t="str">
        <f ca="1">IFERROR(__xludf.DUMMYFUNCTION("""COMPUTED_VALUE"""),"=1,3")</f>
        <v>=1,3</v>
      </c>
      <c r="S13" s="287" t="str">
        <f ca="1">IFERROR(__xludf.DUMMYFUNCTION("""COMPUTED_VALUE"""),"=325")</f>
        <v>=325</v>
      </c>
      <c r="T13" s="628" t="str">
        <f ca="1">IFERROR(__xludf.DUMMYFUNCTION("""COMPUTED_VALUE"""),"=550")</f>
        <v>=550</v>
      </c>
      <c r="U13" s="298" t="str">
        <f ca="1">IFERROR(__xludf.DUMMYFUNCTION("""COMPUTED_VALUE"""),"=((30 + 10 * P_Q + 20 + 20 * Sc_Lin + 5 + 10 * P_Q + 30 + 60 * Sc_Lin) * IF(Steroid_W; 1,125 + 0,015; 1) + 0,6 * Self_AP + 0,35 * Self_AP + (0,00031 * Minion) * E_MHP) * MOD_Magic * IF(Steroid_Q; 3; 1)")</f>
        <v>=((30 + 10 * P_Q + 20 + 20 * Sc_Lin + 5 + 10 * P_Q + 30 + 60 * Sc_Lin) * IF(Steroid_W; 1,125 + 0,015; 1) + 0,6 * Self_AP + 0,35 * Self_AP + (0,00031 * Minion) * E_MHP) * MOD_Magic * IF(Steroid_Q; 3; 1)</v>
      </c>
      <c r="V13" s="299" t="str">
        <f ca="1">IFERROR(__xludf.DUMMYFUNCTION("""COMPUTED_VALUE"""),"=0")</f>
        <v>=0</v>
      </c>
      <c r="W13" s="299" t="str">
        <f ca="1">IFERROR(__xludf.DUMMYFUNCTION("""COMPUTED_VALUE"""),"=(25 + 25 * P_E + Self_AP) * MOD_Magic")</f>
        <v>=(25 + 25 * P_E + Self_AP) * MOD_Magic</v>
      </c>
      <c r="X13" s="299" t="str">
        <f ca="1">IFERROR(__xludf.DUMMYFUNCTION("""COMPUTED_VALUE"""),"=IF(Minion &gt;= 75; 1,25; 1) * (50 + 100 * P_R + 0,65 * Self_AP) * MOD_Magic")</f>
        <v>=IF(Minion &gt;= 75; 1,25; 1) * (50 + 100 * P_R + 0,65 * Self_AP) * MOD_Magic</v>
      </c>
      <c r="Y13" s="300" t="str">
        <f ca="1">IFERROR(__xludf.DUMMYFUNCTION("""COMPUTED_VALUE"""),"=0")</f>
        <v>=0</v>
      </c>
      <c r="Z13" s="281" t="str">
        <f ca="1">IFERROR(__xludf.DUMMYFUNCTION("""COMPUTED_VALUE"""),"=3")</f>
        <v>=3</v>
      </c>
      <c r="AA13" s="282" t="str">
        <f ca="1">IFERROR(__xludf.DUMMYFUNCTION("""COMPUTED_VALUE"""),"=23,5-1,5*P_W")</f>
        <v>=23,5-1,5*P_W</v>
      </c>
      <c r="AB13" s="282" t="str">
        <f ca="1">IFERROR(__xludf.DUMMYFUNCTION("""COMPUTED_VALUE"""),"=12")</f>
        <v>=12</v>
      </c>
      <c r="AC13" s="282" t="str">
        <f ca="1">IFERROR(__xludf.DUMMYFUNCTION("""COMPUTED_VALUE"""),"=130 - 10 * P_R")</f>
        <v>=130 - 10 * P_R</v>
      </c>
      <c r="AD13" s="283" t="str">
        <f ca="1">IFERROR(__xludf.DUMMYFUNCTION("""COMPUTED_VALUE"""),"=1")</f>
        <v>=1</v>
      </c>
      <c r="AE13" s="281" t="b">
        <f ca="1">IFERROR(__xludf.DUMMYFUNCTION("""COMPUTED_VALUE"""),FALSE)</f>
        <v>0</v>
      </c>
      <c r="AF13" s="282" t="str">
        <f ca="1">IFERROR(__xludf.DUMMYFUNCTION("""COMPUTED_VALUE"""),"=Image(""https://ddragon.leagueoflegends.com/cdn/11.19.1/img/champion/AurelionSol.png"")")</f>
        <v>=Image("https://ddragon.leagueoflegends.com/cdn/11.19.1/img/champion/AurelionSol.png")</v>
      </c>
      <c r="AG13" s="282" t="str">
        <f ca="1">IFERROR(__xludf.DUMMYFUNCTION("""COMPUTED_VALUE"""),"=IF(OR(REGEXMATCH(FORMULATEXT(U13);""HMOD"");NOT(P_Q&gt;0));0;U13)+IF(OR(REGEXMATCH(FORMULATEXT(V13);""HMOD"");NOT(P_W&gt;0));0;V13)+IF(OR(REGEXMATCH(FORMULATEXT(W13);""HMOD"");NOT(P_E&gt;0));0;W13)+IF(OR(REGEXMATCH(FORMULATEXT(X13);""HMOD"");NOT(P_R&gt;0));0;X13)+IF"&amp;"(REGEXMATCH(FORMULATEXT(Y13);""HMOD"");0;Y13)+Self_Proc_Item+Self_Proc_Summ+Self_Proc_Rune+3*Self_DPS")</f>
        <v>=IF(OR(REGEXMATCH(FORMULATEXT(U13);"HMOD");NOT(P_Q&gt;0));0;U13)+IF(OR(REGEXMATCH(FORMULATEXT(V13);"HMOD");NOT(P_W&gt;0));0;V13)+IF(OR(REGEXMATCH(FORMULATEXT(W13);"HMOD");NOT(P_E&gt;0));0;W13)+IF(OR(REGEXMATCH(FORMULATEXT(X13);"HMOD");NOT(P_R&gt;0));0;X13)+IF(REGEXMATCH(FORMULATEXT(Y13);"HMOD");0;Y13)+Self_Proc_Item+Self_Proc_Summ+Self_Proc_Rune+3*Self_DPS</v>
      </c>
      <c r="AH13" s="282" t="str">
        <f ca="1">IFERROR(__xludf.DUMMYFUNCTION("""COMPUTED_VALUE"""),"=0")</f>
        <v>=0</v>
      </c>
      <c r="AI13" s="282" t="b">
        <f ca="1">IFERROR(__xludf.DUMMYFUNCTION("""COMPUTED_VALUE"""),FALSE)</f>
        <v>0</v>
      </c>
      <c r="AJ13" s="283" t="b">
        <f ca="1">IFERROR(__xludf.DUMMYFUNCTION("""COMPUTED_VALUE"""),FALSE)</f>
        <v>0</v>
      </c>
    </row>
    <row r="14" spans="1:36">
      <c r="A14" s="267" t="str">
        <f ca="1">IFERROR(__xludf.DUMMYFUNCTION("""COMPUTED_VALUE"""),"Azir")</f>
        <v>Azir</v>
      </c>
      <c r="B14" s="287" t="str">
        <f ca="1">IFERROR(__xludf.DUMMYFUNCTION("""COMPUTED_VALUE"""),"=550")</f>
        <v>=550</v>
      </c>
      <c r="C14" s="287" t="str">
        <f ca="1">IFERROR(__xludf.DUMMYFUNCTION("""COMPUTED_VALUE"""),"=119")</f>
        <v>=119</v>
      </c>
      <c r="D14" s="288" t="str">
        <f ca="1">IFERROR(__xludf.DUMMYFUNCTION("""COMPUTED_VALUE"""),"=7")</f>
        <v>=7</v>
      </c>
      <c r="E14" s="289" t="str">
        <f ca="1">IFERROR(__xludf.DUMMYFUNCTION("""COMPUTED_VALUE"""),"=0,75")</f>
        <v>=0,75</v>
      </c>
      <c r="F14" s="288" t="str">
        <f ca="1">IFERROR(__xludf.DUMMYFUNCTION("""COMPUTED_VALUE"""),"=320")</f>
        <v>=320</v>
      </c>
      <c r="G14" s="288" t="str">
        <f ca="1">IFERROR(__xludf.DUMMYFUNCTION("""COMPUTED_VALUE"""),"=40")</f>
        <v>=40</v>
      </c>
      <c r="H14" s="288" t="str">
        <f ca="1">IFERROR(__xludf.DUMMYFUNCTION("""COMPUTED_VALUE"""),"=8")</f>
        <v>=8</v>
      </c>
      <c r="I14" s="289" t="str">
        <f ca="1">IFERROR(__xludf.DUMMYFUNCTION("""COMPUTED_VALUE"""),"=0,8")</f>
        <v>=0,8</v>
      </c>
      <c r="J14" s="290" t="str">
        <f ca="1">IFERROR(__xludf.DUMMYFUNCTION("""COMPUTED_VALUE"""),"=52")</f>
        <v>=52</v>
      </c>
      <c r="K14" s="288" t="str">
        <f ca="1">IFERROR(__xludf.DUMMYFUNCTION("""COMPUTED_VALUE"""),"=3,5")</f>
        <v>=3,5</v>
      </c>
      <c r="L14" s="291" t="str">
        <f ca="1">IFERROR(__xludf.DUMMYFUNCTION("""COMPUTED_VALUE"""),"=0,625")</f>
        <v>=0,625</v>
      </c>
      <c r="M14" s="291" t="str">
        <f ca="1">IFERROR(__xludf.DUMMYFUNCTION("""COMPUTED_VALUE"""),"=0,694")</f>
        <v>=0,694</v>
      </c>
      <c r="N14" s="292" t="str">
        <f ca="1">IFERROR(__xludf.DUMMYFUNCTION("""COMPUTED_VALUE"""),"=6%")</f>
        <v>=6%</v>
      </c>
      <c r="O14" s="287" t="str">
        <f ca="1">IFERROR(__xludf.DUMMYFUNCTION("""COMPUTED_VALUE"""),"=22")</f>
        <v>=22</v>
      </c>
      <c r="P14" s="287" t="str">
        <f ca="1">IFERROR(__xludf.DUMMYFUNCTION("""COMPUTED_VALUE"""),"=5")</f>
        <v>=5</v>
      </c>
      <c r="Q14" s="288" t="str">
        <f ca="1">IFERROR(__xludf.DUMMYFUNCTION("""COMPUTED_VALUE"""),"=30")</f>
        <v>=30</v>
      </c>
      <c r="R14" s="289" t="str">
        <f ca="1">IFERROR(__xludf.DUMMYFUNCTION("""COMPUTED_VALUE"""),"=1,3")</f>
        <v>=1,3</v>
      </c>
      <c r="S14" s="287" t="str">
        <f ca="1">IFERROR(__xludf.DUMMYFUNCTION("""COMPUTED_VALUE"""),"=335")</f>
        <v>=335</v>
      </c>
      <c r="T14" s="628" t="str">
        <f ca="1">IFERROR(__xludf.DUMMYFUNCTION("""COMPUTED_VALUE"""),"=525")</f>
        <v>=525</v>
      </c>
      <c r="U14" s="295" t="str">
        <f ca="1">IFERROR(__xludf.DUMMYFUNCTION("""COMPUTED_VALUE"""),"=(40 + 20 * P_Q + 0,35 * Self_AP) * MOD_Magic")</f>
        <v>=(40 + 20 * P_Q + 0,35 * Self_AP) * MOD_Magic</v>
      </c>
      <c r="V14" s="296" t="str">
        <f ca="1">IFERROR(__xludf.DUMMYFUNCTION("""COMPUTED_VALUE"""),"=(33 + 17 * P_W + 2 * (Self_Level - 1) + MAX(Self_Level - 8; 0) + MAX(2 * (Self_Level - 9); 0) + MAX(5 * (Self_Level - 14); 0) + 0,6 * Self_AP) * MOD_Magic")</f>
        <v>=(33 + 17 * P_W + 2 * (Self_Level - 1) + MAX(Self_Level - 8; 0) + MAX(2 * (Self_Level - 9); 0) + MAX(5 * (Self_Level - 14); 0) + 0,6 * Self_AP) * MOD_Magic</v>
      </c>
      <c r="W14" s="296" t="str">
        <f ca="1">IFERROR(__xludf.DUMMYFUNCTION("""COMPUTED_VALUE"""),"=(20 + 40 * P_E + 0,4 * Self_AP) * MOD_Magic")</f>
        <v>=(20 + 40 * P_E + 0,4 * Self_AP) * MOD_Magic</v>
      </c>
      <c r="X14" s="296" t="str">
        <f ca="1">IFERROR(__xludf.DUMMYFUNCTION("""COMPUTED_VALUE"""),"=(200*P_R+0,75*Self_AP)*MOD_Magic")</f>
        <v>=(200*P_R+0,75*Self_AP)*MOD_Magic</v>
      </c>
      <c r="Y14" s="297" t="str">
        <f ca="1">IFERROR(__xludf.DUMMYFUNCTION("""COMPUTED_VALUE"""),"=(0,4 * Self_AP + 230 + 180 * Sc_Lin) * MOD_Magic")</f>
        <v>=(0,4 * Self_AP + 230 + 180 * Sc_Lin) * MOD_Magic</v>
      </c>
      <c r="Z14" s="281" t="str">
        <f ca="1">IFERROR(__xludf.DUMMYFUNCTION("""COMPUTED_VALUE"""),"=13,5-1,5*P_Q")</f>
        <v>=13,5-1,5*P_Q</v>
      </c>
      <c r="AA14" s="282" t="str">
        <f ca="1">IFERROR(__xludf.DUMMYFUNCTION("""COMPUTED_VALUE"""),"=11 - 1 * P_W")</f>
        <v>=11 - 1 * P_W</v>
      </c>
      <c r="AB14" s="282" t="str">
        <f ca="1">IFERROR(__xludf.DUMMYFUNCTION("""COMPUTED_VALUE"""),"=23,5 - 1,5 * P_E")</f>
        <v>=23,5 - 1,5 * P_E</v>
      </c>
      <c r="AC14" s="282" t="str">
        <f ca="1">IFERROR(__xludf.DUMMYFUNCTION("""COMPUTED_VALUE"""),"=135-15*P_R")</f>
        <v>=135-15*P_R</v>
      </c>
      <c r="AD14" s="283" t="str">
        <f ca="1">IFERROR(__xludf.DUMMYFUNCTION("""COMPUTED_VALUE"""),"=180")</f>
        <v>=180</v>
      </c>
      <c r="AE14" s="281" t="b">
        <f ca="1">IFERROR(__xludf.DUMMYFUNCTION("""COMPUTED_VALUE"""),FALSE)</f>
        <v>0</v>
      </c>
      <c r="AF14" s="282" t="str">
        <f ca="1">IFERROR(__xludf.DUMMYFUNCTION("""COMPUTED_VALUE"""),"=Image(""https://ddragon.leagueoflegends.com/cdn/11.19.1/img/champion/Azir.png"")")</f>
        <v>=Image("https://ddragon.leagueoflegends.com/cdn/11.19.1/img/champion/Azir.png")</v>
      </c>
      <c r="AG14" s="282" t="str">
        <f ca="1">IFERROR(__xludf.DUMMYFUNCTION("""COMPUTED_VALUE"""),"=IF(OR(REGEXMATCH(FORMULATEXT(U14);""HMOD"");NOT(P_Q&gt;0));0;U14)+IF(OR(REGEXMATCH(FORMULATEXT(V14);""HMOD"");NOT(P_W&gt;0));0;V14)+IF(OR(REGEXMATCH(FORMULATEXT(W14);""HMOD"");NOT(P_E&gt;0));0;W14)+IF(OR(REGEXMATCH(FORMULATEXT(X14);""HMOD"");NOT(P_R&gt;0));0;X14)+IF"&amp;"(REGEXMATCH(FORMULATEXT(Y14);""HMOD"");0;Y14)+Self_Proc_Item+Self_Proc_Summ+Self_Proc_Rune+3*Self_DPS")</f>
        <v>=IF(OR(REGEXMATCH(FORMULATEXT(U14);"HMOD");NOT(P_Q&gt;0));0;U14)+IF(OR(REGEXMATCH(FORMULATEXT(V14);"HMOD");NOT(P_W&gt;0));0;V14)+IF(OR(REGEXMATCH(FORMULATEXT(W14);"HMOD");NOT(P_E&gt;0));0;W14)+IF(OR(REGEXMATCH(FORMULATEXT(X14);"HMOD");NOT(P_R&gt;0));0;X14)+IF(REGEXMATCH(FORMULATEXT(Y14);"HMOD");0;Y14)+Self_Proc_Item+Self_Proc_Summ+Self_Proc_Rune+3*Self_DPS</v>
      </c>
      <c r="AH14" s="282" t="str">
        <f ca="1">IFERROR(__xludf.DUMMYFUNCTION("""COMPUTED_VALUE"""),"=0")</f>
        <v>=0</v>
      </c>
      <c r="AI14" s="282" t="b">
        <f ca="1">IFERROR(__xludf.DUMMYFUNCTION("""COMPUTED_VALUE"""),FALSE)</f>
        <v>0</v>
      </c>
      <c r="AJ14" s="283" t="b">
        <f ca="1">IFERROR(__xludf.DUMMYFUNCTION("""COMPUTED_VALUE"""),FALSE)</f>
        <v>0</v>
      </c>
    </row>
    <row r="15" spans="1:36">
      <c r="A15" s="267" t="str">
        <f ca="1">IFERROR(__xludf.DUMMYFUNCTION("""COMPUTED_VALUE"""),"Bard")</f>
        <v>Bard</v>
      </c>
      <c r="B15" s="287" t="str">
        <f ca="1">IFERROR(__xludf.DUMMYFUNCTION("""COMPUTED_VALUE"""),"=630")</f>
        <v>=630</v>
      </c>
      <c r="C15" s="287" t="str">
        <f ca="1">IFERROR(__xludf.DUMMYFUNCTION("""COMPUTED_VALUE"""),"=103")</f>
        <v>=103</v>
      </c>
      <c r="D15" s="288" t="str">
        <f ca="1">IFERROR(__xludf.DUMMYFUNCTION("""COMPUTED_VALUE"""),"=5,5")</f>
        <v>=5,5</v>
      </c>
      <c r="E15" s="289" t="str">
        <f ca="1">IFERROR(__xludf.DUMMYFUNCTION("""COMPUTED_VALUE"""),"=0,55")</f>
        <v>=0,55</v>
      </c>
      <c r="F15" s="288" t="str">
        <f ca="1">IFERROR(__xludf.DUMMYFUNCTION("""COMPUTED_VALUE"""),"=350")</f>
        <v>=350</v>
      </c>
      <c r="G15" s="288" t="str">
        <f ca="1">IFERROR(__xludf.DUMMYFUNCTION("""COMPUTED_VALUE"""),"=50")</f>
        <v>=50</v>
      </c>
      <c r="H15" s="288" t="str">
        <f ca="1">IFERROR(__xludf.DUMMYFUNCTION("""COMPUTED_VALUE"""),"=6")</f>
        <v>=6</v>
      </c>
      <c r="I15" s="289" t="str">
        <f ca="1">IFERROR(__xludf.DUMMYFUNCTION("""COMPUTED_VALUE"""),"=0,45")</f>
        <v>=0,45</v>
      </c>
      <c r="J15" s="290" t="str">
        <f ca="1">IFERROR(__xludf.DUMMYFUNCTION("""COMPUTED_VALUE"""),"=52")</f>
        <v>=52</v>
      </c>
      <c r="K15" s="288" t="str">
        <f ca="1">IFERROR(__xludf.DUMMYFUNCTION("""COMPUTED_VALUE"""),"=3")</f>
        <v>=3</v>
      </c>
      <c r="L15" s="291" t="str">
        <f ca="1">IFERROR(__xludf.DUMMYFUNCTION("""COMPUTED_VALUE"""),"=0,625")</f>
        <v>=0,625</v>
      </c>
      <c r="M15" s="291" t="str">
        <f ca="1">IFERROR(__xludf.DUMMYFUNCTION("""COMPUTED_VALUE"""),"=0,625")</f>
        <v>=0,625</v>
      </c>
      <c r="N15" s="292" t="str">
        <f ca="1">IFERROR(__xludf.DUMMYFUNCTION("""COMPUTED_VALUE"""),"=2%")</f>
        <v>=2%</v>
      </c>
      <c r="O15" s="287" t="str">
        <f ca="1">IFERROR(__xludf.DUMMYFUNCTION("""COMPUTED_VALUE"""),"=34")</f>
        <v>=34</v>
      </c>
      <c r="P15" s="287" t="str">
        <f ca="1">IFERROR(__xludf.DUMMYFUNCTION("""COMPUTED_VALUE"""),"=5,2")</f>
        <v>=5,2</v>
      </c>
      <c r="Q15" s="288" t="str">
        <f ca="1">IFERROR(__xludf.DUMMYFUNCTION("""COMPUTED_VALUE"""),"=30")</f>
        <v>=30</v>
      </c>
      <c r="R15" s="289" t="str">
        <f ca="1">IFERROR(__xludf.DUMMYFUNCTION("""COMPUTED_VALUE"""),"=1,3")</f>
        <v>=1,3</v>
      </c>
      <c r="S15" s="287" t="str">
        <f ca="1">IFERROR(__xludf.DUMMYFUNCTION("""COMPUTED_VALUE"""),"=330")</f>
        <v>=330</v>
      </c>
      <c r="T15" s="628" t="str">
        <f ca="1">IFERROR(__xludf.DUMMYFUNCTION("""COMPUTED_VALUE"""),"=500")</f>
        <v>=500</v>
      </c>
      <c r="U15" s="298" t="str">
        <f ca="1">IFERROR(__xludf.DUMMYFUNCTION("""COMPUTED_VALUE"""),"=(35+45*P_Q+0,65*Self_AP)*MOD_Magic")</f>
        <v>=(35+45*P_Q+0,65*Self_AP)*MOD_Magic</v>
      </c>
      <c r="V15" s="299" t="str">
        <f ca="1">IFERROR(__xludf.DUMMYFUNCTION("""COMPUTED_VALUE"""),"=(10+40*P_W+0,6*Self_AP)*MOD_Heal")</f>
        <v>=(10+40*P_W+0,6*Self_AP)*MOD_Heal</v>
      </c>
      <c r="W15" s="299" t="str">
        <f ca="1">IFERROR(__xludf.DUMMYFUNCTION("""COMPUTED_VALUE"""),"=0")</f>
        <v>=0</v>
      </c>
      <c r="X15" s="299" t="str">
        <f ca="1">IFERROR(__xludf.DUMMYFUNCTION("""COMPUTED_VALUE"""),"=0")</f>
        <v>=0</v>
      </c>
      <c r="Y15" s="300" t="str">
        <f ca="1">IFERROR(__xludf.DUMMYFUNCTION("""COMPUTED_VALUE"""),"=(35+14*ROUNDDOWN((Gametime*2,4)/5)+0,3*Self_AP)*MOD_Magic")</f>
        <v>=(35+14*ROUNDDOWN((Gametime*2,4)/5)+0,3*Self_AP)*MOD_Magic</v>
      </c>
      <c r="Z15" s="281" t="str">
        <f ca="1">IFERROR(__xludf.DUMMYFUNCTION("""COMPUTED_VALUE"""),"=12-P_Q")</f>
        <v>=12-P_Q</v>
      </c>
      <c r="AA15" s="282" t="str">
        <f ca="1">IFERROR(__xludf.DUMMYFUNCTION("""COMPUTED_VALUE"""),"=14")</f>
        <v>=14</v>
      </c>
      <c r="AB15" s="282" t="str">
        <f ca="1">IFERROR(__xludf.DUMMYFUNCTION("""COMPUTED_VALUE"""),"=23,5 - 1,5 * P_E")</f>
        <v>=23,5 - 1,5 * P_E</v>
      </c>
      <c r="AC15" s="282" t="str">
        <f ca="1">IFERROR(__xludf.DUMMYFUNCTION("""COMPUTED_VALUE"""),"=125-15*P_R")</f>
        <v>=125-15*P_R</v>
      </c>
      <c r="AD15" s="283" t="str">
        <f ca="1">IFERROR(__xludf.DUMMYFUNCTION("""COMPUTED_VALUE"""),"=1")</f>
        <v>=1</v>
      </c>
      <c r="AE15" s="281" t="b">
        <f ca="1">IFERROR(__xludf.DUMMYFUNCTION("""COMPUTED_VALUE"""),FALSE)</f>
        <v>0</v>
      </c>
      <c r="AF15" s="282" t="str">
        <f ca="1">IFERROR(__xludf.DUMMYFUNCTION("""COMPUTED_VALUE"""),"=Image(""https://ddragon.leagueoflegends.com/cdn/11.19.1/img/champion/Bard.png"")")</f>
        <v>=Image("https://ddragon.leagueoflegends.com/cdn/11.19.1/img/champion/Bard.png")</v>
      </c>
      <c r="AG15" s="282" t="str">
        <f ca="1">IFERROR(__xludf.DUMMYFUNCTION("""COMPUTED_VALUE"""),"=IF(OR(REGEXMATCH(FORMULATEXT(U15);""HMOD"");NOT(P_Q&gt;0));0;U15)+IF(OR(REGEXMATCH(FORMULATEXT(V15);""HMOD"");NOT(P_W&gt;0));0;V15)+IF(OR(REGEXMATCH(FORMULATEXT(W15);""HMOD"");NOT(P_E&gt;0));0;W15)+IF(OR(REGEXMATCH(FORMULATEXT(X15);""HMOD"");NOT(P_R&gt;0));0;X15)+IF"&amp;"(REGEXMATCH(FORMULATEXT(Y15);""HMOD"");0;Y15)+Self_Proc_Item+Self_Proc_Summ+Self_Proc_Rune+3*Self_DPS")</f>
        <v>=IF(OR(REGEXMATCH(FORMULATEXT(U15);"HMOD");NOT(P_Q&gt;0));0;U15)+IF(OR(REGEXMATCH(FORMULATEXT(V15);"HMOD");NOT(P_W&gt;0));0;V15)+IF(OR(REGEXMATCH(FORMULATEXT(W15);"HMOD");NOT(P_E&gt;0));0;W15)+IF(OR(REGEXMATCH(FORMULATEXT(X15);"HMOD");NOT(P_R&gt;0));0;X15)+IF(REGEXMATCH(FORMULATEXT(Y15);"HMOD");0;Y15)+Self_Proc_Item+Self_Proc_Summ+Self_Proc_Rune+3*Self_DPS</v>
      </c>
      <c r="AH15" s="282" t="str">
        <f ca="1">IFERROR(__xludf.DUMMYFUNCTION("""COMPUTED_VALUE"""),"=0")</f>
        <v>=0</v>
      </c>
      <c r="AI15" s="282" t="b">
        <f ca="1">IFERROR(__xludf.DUMMYFUNCTION("""COMPUTED_VALUE"""),FALSE)</f>
        <v>0</v>
      </c>
      <c r="AJ15" s="283" t="b">
        <f ca="1">IFERROR(__xludf.DUMMYFUNCTION("""COMPUTED_VALUE"""),FALSE)</f>
        <v>0</v>
      </c>
    </row>
    <row r="16" spans="1:36">
      <c r="A16" s="267" t="str">
        <f ca="1">IFERROR(__xludf.DUMMYFUNCTION("""COMPUTED_VALUE"""),"Blitzcrank")</f>
        <v>Blitzcrank</v>
      </c>
      <c r="B16" s="287" t="str">
        <f ca="1">IFERROR(__xludf.DUMMYFUNCTION("""COMPUTED_VALUE"""),"=633")</f>
        <v>=633</v>
      </c>
      <c r="C16" s="287" t="str">
        <f ca="1">IFERROR(__xludf.DUMMYFUNCTION("""COMPUTED_VALUE"""),"=109")</f>
        <v>=109</v>
      </c>
      <c r="D16" s="288" t="str">
        <f ca="1">IFERROR(__xludf.DUMMYFUNCTION("""COMPUTED_VALUE"""),"=7,5")</f>
        <v>=7,5</v>
      </c>
      <c r="E16" s="289" t="str">
        <f ca="1">IFERROR(__xludf.DUMMYFUNCTION("""COMPUTED_VALUE"""),"=0,75")</f>
        <v>=0,75</v>
      </c>
      <c r="F16" s="288" t="str">
        <f ca="1">IFERROR(__xludf.DUMMYFUNCTION("""COMPUTED_VALUE"""),"=267")</f>
        <v>=267</v>
      </c>
      <c r="G16" s="288" t="str">
        <f ca="1">IFERROR(__xludf.DUMMYFUNCTION("""COMPUTED_VALUE"""),"=40")</f>
        <v>=40</v>
      </c>
      <c r="H16" s="288" t="str">
        <f ca="1">IFERROR(__xludf.DUMMYFUNCTION("""COMPUTED_VALUE"""),"=8,5")</f>
        <v>=8,5</v>
      </c>
      <c r="I16" s="289" t="str">
        <f ca="1">IFERROR(__xludf.DUMMYFUNCTION("""COMPUTED_VALUE"""),"=0,8")</f>
        <v>=0,8</v>
      </c>
      <c r="J16" s="290" t="str">
        <f ca="1">IFERROR(__xludf.DUMMYFUNCTION("""COMPUTED_VALUE"""),"=60")</f>
        <v>=60</v>
      </c>
      <c r="K16" s="288" t="str">
        <f ca="1">IFERROR(__xludf.DUMMYFUNCTION("""COMPUTED_VALUE"""),"=3,5")</f>
        <v>=3,5</v>
      </c>
      <c r="L16" s="291" t="str">
        <f ca="1">IFERROR(__xludf.DUMMYFUNCTION("""COMPUTED_VALUE"""),"=0,625")</f>
        <v>=0,625</v>
      </c>
      <c r="M16" s="291" t="str">
        <f ca="1">IFERROR(__xludf.DUMMYFUNCTION("""COMPUTED_VALUE"""),"=0,7")</f>
        <v>=0,7</v>
      </c>
      <c r="N16" s="292" t="str">
        <f ca="1">IFERROR(__xludf.DUMMYFUNCTION("""COMPUTED_VALUE"""),"=1,13%")</f>
        <v>=1,13%</v>
      </c>
      <c r="O16" s="287" t="str">
        <f ca="1">IFERROR(__xludf.DUMMYFUNCTION("""COMPUTED_VALUE"""),"=40")</f>
        <v>=40</v>
      </c>
      <c r="P16" s="287" t="str">
        <f ca="1">IFERROR(__xludf.DUMMYFUNCTION("""COMPUTED_VALUE"""),"=4,7")</f>
        <v>=4,7</v>
      </c>
      <c r="Q16" s="288" t="str">
        <f ca="1">IFERROR(__xludf.DUMMYFUNCTION("""COMPUTED_VALUE"""),"=28")</f>
        <v>=28</v>
      </c>
      <c r="R16" s="289" t="str">
        <f ca="1">IFERROR(__xludf.DUMMYFUNCTION("""COMPUTED_VALUE"""),"=2,05")</f>
        <v>=2,05</v>
      </c>
      <c r="S16" s="287" t="str">
        <f ca="1">IFERROR(__xludf.DUMMYFUNCTION("""COMPUTED_VALUE"""),"=325")</f>
        <v>=325</v>
      </c>
      <c r="T16" s="628" t="str">
        <f ca="1">IFERROR(__xludf.DUMMYFUNCTION("""COMPUTED_VALUE"""),"=125")</f>
        <v>=125</v>
      </c>
      <c r="U16" s="295" t="str">
        <f ca="1">IFERROR(__xludf.DUMMYFUNCTION("""COMPUTED_VALUE"""),"=(55 + 50 * P_Q + 1,2 * Self_AP) * MOD_Magic")</f>
        <v>=(55 + 50 * P_Q + 1,2 * Self_AP) * MOD_Magic</v>
      </c>
      <c r="V16" s="296" t="str">
        <f ca="1">IFERROR(__xludf.DUMMYFUNCTION("""COMPUTED_VALUE"""),"=0")</f>
        <v>=0</v>
      </c>
      <c r="W16" s="296" t="str">
        <f ca="1">IFERROR(__xludf.DUMMYFUNCTION("""COMPUTED_VALUE"""),"=(Self_AD * 1,75 + 0,25 * Self_AP) * MOD_Phys")</f>
        <v>=(Self_AD * 1,75 + 0,25 * Self_AP) * MOD_Phys</v>
      </c>
      <c r="X16" s="296" t="str">
        <f ca="1">IFERROR(__xludf.DUMMYFUNCTION("""COMPUTED_VALUE"""),"=(150 + 125 * P_R + 1,25 * Self_AP) * MOD_Magic")</f>
        <v>=(150 + 125 * P_R + 1,25 * Self_AP) * MOD_Magic</v>
      </c>
      <c r="Y16" s="297" t="str">
        <f ca="1">IFERROR(__xludf.DUMMYFUNCTION("""COMPUTED_VALUE"""),"=(0,15 + 0,3 * Sc_Lin)*MOD_SelfHeal*Self_MP")</f>
        <v>=(0,15 + 0,3 * Sc_Lin)*MOD_SelfHeal*Self_MP</v>
      </c>
      <c r="Z16" s="281" t="str">
        <f ca="1">IFERROR(__xludf.DUMMYFUNCTION("""COMPUTED_VALUE"""),"=21-P_Q")</f>
        <v>=21-P_Q</v>
      </c>
      <c r="AA16" s="282" t="str">
        <f ca="1">IFERROR(__xludf.DUMMYFUNCTION("""COMPUTED_VALUE"""),"=15")</f>
        <v>=15</v>
      </c>
      <c r="AB16" s="282" t="str">
        <f ca="1">IFERROR(__xludf.DUMMYFUNCTION("""COMPUTED_VALUE"""),"=10-P_E")</f>
        <v>=10-P_E</v>
      </c>
      <c r="AC16" s="282" t="str">
        <f ca="1">IFERROR(__xludf.DUMMYFUNCTION("""COMPUTED_VALUE"""),"=80-20*P_R")</f>
        <v>=80-20*P_R</v>
      </c>
      <c r="AD16" s="283" t="str">
        <f ca="1">IFERROR(__xludf.DUMMYFUNCTION("""COMPUTED_VALUE"""),"=90")</f>
        <v>=90</v>
      </c>
      <c r="AE16" s="281" t="b">
        <f ca="1">IFERROR(__xludf.DUMMYFUNCTION("""COMPUTED_VALUE"""),TRUE)</f>
        <v>1</v>
      </c>
      <c r="AF16" s="282" t="str">
        <f ca="1">IFERROR(__xludf.DUMMYFUNCTION("""COMPUTED_VALUE"""),"=Image(""https://ddragon.leagueoflegends.com/cdn/11.19.1/img/champion/Blitzcrank.png"")")</f>
        <v>=Image("https://ddragon.leagueoflegends.com/cdn/11.19.1/img/champion/Blitzcrank.png")</v>
      </c>
      <c r="AG16" s="282" t="str">
        <f ca="1">IFERROR(__xludf.DUMMYFUNCTION("""COMPUTED_VALUE"""),"=IF(OR(REGEXMATCH(FORMULATEXT(U16);""HMOD"");NOT(P_Q&gt;0));0;U16)+IF(OR(REGEXMATCH(FORMULATEXT(V16);""HMOD"");NOT(P_W&gt;0));0;V16)+IF(OR(REGEXMATCH(FORMULATEXT(W16);""HMOD"");NOT(P_E&gt;0));0;W16)+IF(OR(REGEXMATCH(FORMULATEXT(X16);""HMOD"");NOT(P_R&gt;0));0;X16)+IF"&amp;"(REGEXMATCH(FORMULATEXT(Y16);""HMOD"");0;Y16)+Self_Proc_Item+Self_Proc_Summ+Self_Proc_Rune+3*Self_DPS")</f>
        <v>=IF(OR(REGEXMATCH(FORMULATEXT(U16);"HMOD");NOT(P_Q&gt;0));0;U16)+IF(OR(REGEXMATCH(FORMULATEXT(V16);"HMOD");NOT(P_W&gt;0));0;V16)+IF(OR(REGEXMATCH(FORMULATEXT(W16);"HMOD");NOT(P_E&gt;0));0;W16)+IF(OR(REGEXMATCH(FORMULATEXT(X16);"HMOD");NOT(P_R&gt;0));0;X16)+IF(REGEXMATCH(FORMULATEXT(Y16);"HMOD");0;Y16)+Self_Proc_Item+Self_Proc_Summ+Self_Proc_Rune+3*Self_DPS</v>
      </c>
      <c r="AH16" s="282" t="str">
        <f ca="1">IFERROR(__xludf.DUMMYFUNCTION("""COMPUTED_VALUE"""),"=0")</f>
        <v>=0</v>
      </c>
      <c r="AI16" s="282" t="b">
        <f ca="1">IFERROR(__xludf.DUMMYFUNCTION("""COMPUTED_VALUE"""),FALSE)</f>
        <v>0</v>
      </c>
      <c r="AJ16" s="283" t="b">
        <f ca="1">IFERROR(__xludf.DUMMYFUNCTION("""COMPUTED_VALUE"""),FALSE)</f>
        <v>0</v>
      </c>
    </row>
    <row r="17" spans="1:36">
      <c r="A17" s="267" t="str">
        <f ca="1">IFERROR(__xludf.DUMMYFUNCTION("""COMPUTED_VALUE"""),"Brand")</f>
        <v>Brand</v>
      </c>
      <c r="B17" s="287" t="str">
        <f ca="1">IFERROR(__xludf.DUMMYFUNCTION("""COMPUTED_VALUE"""),"=590")</f>
        <v>=590</v>
      </c>
      <c r="C17" s="287" t="str">
        <f ca="1">IFERROR(__xludf.DUMMYFUNCTION("""COMPUTED_VALUE"""),"=102")</f>
        <v>=102</v>
      </c>
      <c r="D17" s="288" t="str">
        <f ca="1">IFERROR(__xludf.DUMMYFUNCTION("""COMPUTED_VALUE"""),"=5,5")</f>
        <v>=5,5</v>
      </c>
      <c r="E17" s="289" t="str">
        <f ca="1">IFERROR(__xludf.DUMMYFUNCTION("""COMPUTED_VALUE"""),"=0,55")</f>
        <v>=0,55</v>
      </c>
      <c r="F17" s="288" t="str">
        <f ca="1">IFERROR(__xludf.DUMMYFUNCTION("""COMPUTED_VALUE"""),"=496")</f>
        <v>=496</v>
      </c>
      <c r="G17" s="288" t="str">
        <f ca="1">IFERROR(__xludf.DUMMYFUNCTION("""COMPUTED_VALUE"""),"=21")</f>
        <v>=21</v>
      </c>
      <c r="H17" s="288" t="str">
        <f ca="1">IFERROR(__xludf.DUMMYFUNCTION("""COMPUTED_VALUE"""),"=10,65")</f>
        <v>=10,65</v>
      </c>
      <c r="I17" s="289" t="str">
        <f ca="1">IFERROR(__xludf.DUMMYFUNCTION("""COMPUTED_VALUE"""),"=0,6")</f>
        <v>=0,6</v>
      </c>
      <c r="J17" s="290" t="str">
        <f ca="1">IFERROR(__xludf.DUMMYFUNCTION("""COMPUTED_VALUE"""),"=57")</f>
        <v>=57</v>
      </c>
      <c r="K17" s="288" t="str">
        <f ca="1">IFERROR(__xludf.DUMMYFUNCTION("""COMPUTED_VALUE"""),"=3")</f>
        <v>=3</v>
      </c>
      <c r="L17" s="291" t="str">
        <f ca="1">IFERROR(__xludf.DUMMYFUNCTION("""COMPUTED_VALUE"""),"=0,625")</f>
        <v>=0,625</v>
      </c>
      <c r="M17" s="291" t="str">
        <f ca="1">IFERROR(__xludf.DUMMYFUNCTION("""COMPUTED_VALUE"""),"=0,625")</f>
        <v>=0,625</v>
      </c>
      <c r="N17" s="292" t="str">
        <f ca="1">IFERROR(__xludf.DUMMYFUNCTION("""COMPUTED_VALUE"""),"=1,36%")</f>
        <v>=1,36%</v>
      </c>
      <c r="O17" s="287" t="str">
        <f ca="1">IFERROR(__xludf.DUMMYFUNCTION("""COMPUTED_VALUE"""),"=22")</f>
        <v>=22</v>
      </c>
      <c r="P17" s="287" t="str">
        <f ca="1">IFERROR(__xludf.DUMMYFUNCTION("""COMPUTED_VALUE"""),"=4,7")</f>
        <v>=4,7</v>
      </c>
      <c r="Q17" s="288" t="str">
        <f ca="1">IFERROR(__xludf.DUMMYFUNCTION("""COMPUTED_VALUE"""),"=30")</f>
        <v>=30</v>
      </c>
      <c r="R17" s="289" t="str">
        <f ca="1">IFERROR(__xludf.DUMMYFUNCTION("""COMPUTED_VALUE"""),"=1,3")</f>
        <v>=1,3</v>
      </c>
      <c r="S17" s="287" t="str">
        <f ca="1">IFERROR(__xludf.DUMMYFUNCTION("""COMPUTED_VALUE"""),"=340")</f>
        <v>=340</v>
      </c>
      <c r="T17" s="628" t="str">
        <f ca="1">IFERROR(__xludf.DUMMYFUNCTION("""COMPUTED_VALUE"""),"=550")</f>
        <v>=550</v>
      </c>
      <c r="U17" s="298" t="str">
        <f ca="1">IFERROR(__xludf.DUMMYFUNCTION("""COMPUTED_VALUE"""),"=(50+30*P_Q+0,55*Self_AP)*MOD_Magic")</f>
        <v>=(50+30*P_Q+0,55*Self_AP)*MOD_Magic</v>
      </c>
      <c r="V17" s="299" t="str">
        <f ca="1">IFERROR(__xludf.DUMMYFUNCTION("""COMPUTED_VALUE"""),"=(30+45*P_W+0,6*Self_AP)*MOD_Magic*IF(Steroid_W;1,25;1)")</f>
        <v>=(30+45*P_W+0,6*Self_AP)*MOD_Magic*IF(Steroid_W;1,25;1)</v>
      </c>
      <c r="W17" s="299" t="str">
        <f ca="1">IFERROR(__xludf.DUMMYFUNCTION("""COMPUTED_VALUE"""),"=(45+25*P_E+0,45*Self_AP)*MOD_Magic")</f>
        <v>=(45+25*P_E+0,45*Self_AP)*MOD_Magic</v>
      </c>
      <c r="X17" s="299" t="str">
        <f ca="1">IFERROR(__xludf.DUMMYFUNCTION("""COMPUTED_VALUE"""),"=(100*P_R+0,25*Self_AP)*MOD_Magic")</f>
        <v>=(100*P_R+0,25*Self_AP)*MOD_Magic</v>
      </c>
      <c r="Y17" s="300" t="str">
        <f ca="1">IFERROR(__xludf.DUMMYFUNCTION("""COMPUTED_VALUE"""),"=((MIN(16; Self_Level - 1) * (0,04 / 16) + 0,09 + 0,0002 * Self_AP) * E_MHP) * MOD_Magic")</f>
        <v>=((MIN(16; Self_Level - 1) * (0,04 / 16) + 0,09 + 0,0002 * Self_AP) * E_MHP) * MOD_Magic</v>
      </c>
      <c r="Z17" s="281" t="str">
        <f ca="1">IFERROR(__xludf.DUMMYFUNCTION("""COMPUTED_VALUE"""),"=8,5-0,5*P_Q")</f>
        <v>=8,5-0,5*P_Q</v>
      </c>
      <c r="AA17" s="282" t="str">
        <f ca="1">IFERROR(__xludf.DUMMYFUNCTION("""COMPUTED_VALUE"""),"=10,5-0,5*P_W")</f>
        <v>=10,5-0,5*P_W</v>
      </c>
      <c r="AB17" s="282" t="str">
        <f ca="1">IFERROR(__xludf.DUMMYFUNCTION("""COMPUTED_VALUE"""),"=13-P_E")</f>
        <v>=13-P_E</v>
      </c>
      <c r="AC17" s="282" t="str">
        <f ca="1">IFERROR(__xludf.DUMMYFUNCTION("""COMPUTED_VALUE"""),"=120-15*P_R")</f>
        <v>=120-15*P_R</v>
      </c>
      <c r="AD17" s="283" t="str">
        <f ca="1">IFERROR(__xludf.DUMMYFUNCTION("""COMPUTED_VALUE"""),"=1")</f>
        <v>=1</v>
      </c>
      <c r="AE17" s="281" t="b">
        <f ca="1">IFERROR(__xludf.DUMMYFUNCTION("""COMPUTED_VALUE"""),FALSE)</f>
        <v>0</v>
      </c>
      <c r="AF17" s="282" t="str">
        <f ca="1">IFERROR(__xludf.DUMMYFUNCTION("""COMPUTED_VALUE"""),"=Image(""https://ddragon.leagueoflegends.com/cdn/11.19.1/img/champion/Brand.png"")")</f>
        <v>=Image("https://ddragon.leagueoflegends.com/cdn/11.19.1/img/champion/Brand.png")</v>
      </c>
      <c r="AG17" s="282" t="str">
        <f ca="1">IFERROR(__xludf.DUMMYFUNCTION("""COMPUTED_VALUE"""),"=IF(OR(REGEXMATCH(FORMULATEXT(U17);""HMOD"");NOT(P_Q&gt;0));0;U17)+IF(OR(REGEXMATCH(FORMULATEXT(V17);""HMOD"");NOT(P_W&gt;0));0;V17)+IF(OR(REGEXMATCH(FORMULATEXT(W17);""HMOD"");NOT(P_E&gt;0));0;W17)+IF(OR(REGEXMATCH(FORMULATEXT(X17);""HMOD"");NOT(P_R&gt;0));0;X17)+IF"&amp;"(REGEXMATCH(FORMULATEXT(Y17);""HMOD"");0;Y17)+Self_Proc_Item+Self_Proc_Summ+Self_Proc_Rune+3*Self_DPS")</f>
        <v>=IF(OR(REGEXMATCH(FORMULATEXT(U17);"HMOD");NOT(P_Q&gt;0));0;U17)+IF(OR(REGEXMATCH(FORMULATEXT(V17);"HMOD");NOT(P_W&gt;0));0;V17)+IF(OR(REGEXMATCH(FORMULATEXT(W17);"HMOD");NOT(P_E&gt;0));0;W17)+IF(OR(REGEXMATCH(FORMULATEXT(X17);"HMOD");NOT(P_R&gt;0));0;X17)+IF(REGEXMATCH(FORMULATEXT(Y17);"HMOD");0;Y17)+Self_Proc_Item+Self_Proc_Summ+Self_Proc_Rune+3*Self_DPS</v>
      </c>
      <c r="AH17" s="282" t="str">
        <f ca="1">IFERROR(__xludf.DUMMYFUNCTION("""COMPUTED_VALUE"""),"=0")</f>
        <v>=0</v>
      </c>
      <c r="AI17" s="282" t="b">
        <f ca="1">IFERROR(__xludf.DUMMYFUNCTION("""COMPUTED_VALUE"""),FALSE)</f>
        <v>0</v>
      </c>
      <c r="AJ17" s="283" t="b">
        <f ca="1">IFERROR(__xludf.DUMMYFUNCTION("""COMPUTED_VALUE"""),FALSE)</f>
        <v>0</v>
      </c>
    </row>
    <row r="18" spans="1:36">
      <c r="A18" s="267" t="str">
        <f ca="1">IFERROR(__xludf.DUMMYFUNCTION("""COMPUTED_VALUE"""),"Braum")</f>
        <v>Braum</v>
      </c>
      <c r="B18" s="287" t="str">
        <f ca="1">IFERROR(__xludf.DUMMYFUNCTION("""COMPUTED_VALUE"""),"=610")</f>
        <v>=610</v>
      </c>
      <c r="C18" s="287" t="str">
        <f ca="1">IFERROR(__xludf.DUMMYFUNCTION("""COMPUTED_VALUE"""),"=112")</f>
        <v>=112</v>
      </c>
      <c r="D18" s="288" t="str">
        <f ca="1">IFERROR(__xludf.DUMMYFUNCTION("""COMPUTED_VALUE"""),"=8,5")</f>
        <v>=8,5</v>
      </c>
      <c r="E18" s="289" t="str">
        <f ca="1">IFERROR(__xludf.DUMMYFUNCTION("""COMPUTED_VALUE"""),"=1")</f>
        <v>=1</v>
      </c>
      <c r="F18" s="288" t="str">
        <f ca="1">IFERROR(__xludf.DUMMYFUNCTION("""COMPUTED_VALUE"""),"=311")</f>
        <v>=311</v>
      </c>
      <c r="G18" s="288" t="str">
        <f ca="1">IFERROR(__xludf.DUMMYFUNCTION("""COMPUTED_VALUE"""),"=45")</f>
        <v>=45</v>
      </c>
      <c r="H18" s="288" t="str">
        <f ca="1">IFERROR(__xludf.DUMMYFUNCTION("""COMPUTED_VALUE"""),"=6")</f>
        <v>=6</v>
      </c>
      <c r="I18" s="289" t="str">
        <f ca="1">IFERROR(__xludf.DUMMYFUNCTION("""COMPUTED_VALUE"""),"=0,8")</f>
        <v>=0,8</v>
      </c>
      <c r="J18" s="290" t="str">
        <f ca="1">IFERROR(__xludf.DUMMYFUNCTION("""COMPUTED_VALUE"""),"=55")</f>
        <v>=55</v>
      </c>
      <c r="K18" s="288" t="str">
        <f ca="1">IFERROR(__xludf.DUMMYFUNCTION("""COMPUTED_VALUE"""),"=3,2")</f>
        <v>=3,2</v>
      </c>
      <c r="L18" s="291" t="str">
        <f ca="1">IFERROR(__xludf.DUMMYFUNCTION("""COMPUTED_VALUE"""),"=0,644")</f>
        <v>=0,644</v>
      </c>
      <c r="M18" s="291" t="str">
        <f ca="1">IFERROR(__xludf.DUMMYFUNCTION("""COMPUTED_VALUE"""),"=0,644")</f>
        <v>=0,644</v>
      </c>
      <c r="N18" s="292" t="str">
        <f ca="1">IFERROR(__xludf.DUMMYFUNCTION("""COMPUTED_VALUE"""),"=3,5%")</f>
        <v>=3,5%</v>
      </c>
      <c r="O18" s="287" t="str">
        <f ca="1">IFERROR(__xludf.DUMMYFUNCTION("""COMPUTED_VALUE"""),"=47")</f>
        <v>=47</v>
      </c>
      <c r="P18" s="287" t="str">
        <f ca="1">IFERROR(__xludf.DUMMYFUNCTION("""COMPUTED_VALUE"""),"=5,2")</f>
        <v>=5,2</v>
      </c>
      <c r="Q18" s="288" t="str">
        <f ca="1">IFERROR(__xludf.DUMMYFUNCTION("""COMPUTED_VALUE"""),"=32")</f>
        <v>=32</v>
      </c>
      <c r="R18" s="289" t="str">
        <f ca="1">IFERROR(__xludf.DUMMYFUNCTION("""COMPUTED_VALUE"""),"=2,05")</f>
        <v>=2,05</v>
      </c>
      <c r="S18" s="287" t="str">
        <f ca="1">IFERROR(__xludf.DUMMYFUNCTION("""COMPUTED_VALUE"""),"=335")</f>
        <v>=335</v>
      </c>
      <c r="T18" s="628" t="str">
        <f ca="1">IFERROR(__xludf.DUMMYFUNCTION("""COMPUTED_VALUE"""),"=125")</f>
        <v>=125</v>
      </c>
      <c r="U18" s="295" t="str">
        <f ca="1">IFERROR(__xludf.DUMMYFUNCTION("""COMPUTED_VALUE"""),"=(30 + 45 * P_Q + Self_MHP * 0,025) * MOD_Magic")</f>
        <v>=(30 + 45 * P_Q + Self_MHP * 0,025) * MOD_Magic</v>
      </c>
      <c r="V18" s="296" t="str">
        <f ca="1">IFERROR(__xludf.DUMMYFUNCTION("""COMPUTED_VALUE"""),"=0")</f>
        <v>=0</v>
      </c>
      <c r="W18" s="296" t="str">
        <f ca="1">IFERROR(__xludf.DUMMYFUNCTION("""COMPUTED_VALUE"""),"=0")</f>
        <v>=0</v>
      </c>
      <c r="X18" s="296" t="str">
        <f ca="1">IFERROR(__xludf.DUMMYFUNCTION("""COMPUTED_VALUE"""),"=(150*P_R+0,6*Self_AP)*MOD_Magic")</f>
        <v>=(150*P_R+0,6*Self_AP)*MOD_Magic</v>
      </c>
      <c r="Y18" s="297" t="str">
        <f ca="1">IFERROR(__xludf.DUMMYFUNCTION("""COMPUTED_VALUE"""),"=(16+10*Self_Level)*MOD_Magic")</f>
        <v>=(16+10*Self_Level)*MOD_Magic</v>
      </c>
      <c r="Z18" s="281" t="str">
        <f ca="1">IFERROR(__xludf.DUMMYFUNCTION("""COMPUTED_VALUE"""),"=8,5-0,5*P_Q")</f>
        <v>=8,5-0,5*P_Q</v>
      </c>
      <c r="AA18" s="282" t="str">
        <f ca="1">IFERROR(__xludf.DUMMYFUNCTION("""COMPUTED_VALUE"""),"=13-P_W")</f>
        <v>=13-P_W</v>
      </c>
      <c r="AB18" s="282" t="str">
        <f ca="1">IFERROR(__xludf.DUMMYFUNCTION("""COMPUTED_VALUE"""),"=18-2*P_E")</f>
        <v>=18-2*P_E</v>
      </c>
      <c r="AC18" s="282" t="str">
        <f ca="1">IFERROR(__xludf.DUMMYFUNCTION("""COMPUTED_VALUE"""),"=140 - 20 * P_R")</f>
        <v>=140 - 20 * P_R</v>
      </c>
      <c r="AD18" s="283" t="str">
        <f ca="1">IFERROR(__xludf.DUMMYFUNCTION("""COMPUTED_VALUE"""),"=MAX(8 - ROUNDDOWN((Self_Level - 1) / 5) * 2; 4)")</f>
        <v>=MAX(8 - ROUNDDOWN((Self_Level - 1) / 5) * 2; 4)</v>
      </c>
      <c r="AE18" s="281" t="b">
        <f ca="1">IFERROR(__xludf.DUMMYFUNCTION("""COMPUTED_VALUE"""),TRUE)</f>
        <v>1</v>
      </c>
      <c r="AF18" s="282" t="str">
        <f ca="1">IFERROR(__xludf.DUMMYFUNCTION("""COMPUTED_VALUE"""),"=Image(""https://ddragon.leagueoflegends.com/cdn/11.19.1/img/champion/Braum.png"")")</f>
        <v>=Image("https://ddragon.leagueoflegends.com/cdn/11.19.1/img/champion/Braum.png")</v>
      </c>
      <c r="AG18" s="282" t="str">
        <f ca="1">IFERROR(__xludf.DUMMYFUNCTION("""COMPUTED_VALUE"""),"=IF(OR(REGEXMATCH(FORMULATEXT(U18);""HMOD"");NOT(P_Q&gt;0));0;U18)+IF(OR(REGEXMATCH(FORMULATEXT(V18);""HMOD"");NOT(P_W&gt;0));0;V18)+IF(OR(REGEXMATCH(FORMULATEXT(W18);""HMOD"");NOT(P_E&gt;0));0;W18)+IF(OR(REGEXMATCH(FORMULATEXT(X18);""HMOD"");NOT(P_R&gt;0));0;X18)+IF"&amp;"(REGEXMATCH(FORMULATEXT(Y18);""HMOD"");0;Y18)+Self_Proc_Item+Self_Proc_Summ+Self_Proc_Rune+3*Self_DPS")</f>
        <v>=IF(OR(REGEXMATCH(FORMULATEXT(U18);"HMOD");NOT(P_Q&gt;0));0;U18)+IF(OR(REGEXMATCH(FORMULATEXT(V18);"HMOD");NOT(P_W&gt;0));0;V18)+IF(OR(REGEXMATCH(FORMULATEXT(W18);"HMOD");NOT(P_E&gt;0));0;W18)+IF(OR(REGEXMATCH(FORMULATEXT(X18);"HMOD");NOT(P_R&gt;0));0;X18)+IF(REGEXMATCH(FORMULATEXT(Y18);"HMOD");0;Y18)+Self_Proc_Item+Self_Proc_Summ+Self_Proc_Rune+3*Self_DPS</v>
      </c>
      <c r="AH18" s="282" t="str">
        <f ca="1">IFERROR(__xludf.DUMMYFUNCTION("""COMPUTED_VALUE"""),"=0")</f>
        <v>=0</v>
      </c>
      <c r="AI18" s="282" t="b">
        <f ca="1">IFERROR(__xludf.DUMMYFUNCTION("""COMPUTED_VALUE"""),FALSE)</f>
        <v>0</v>
      </c>
      <c r="AJ18" s="283" t="b">
        <f ca="1">IFERROR(__xludf.DUMMYFUNCTION("""COMPUTED_VALUE"""),FALSE)</f>
        <v>0</v>
      </c>
    </row>
    <row r="19" spans="1:36">
      <c r="A19" s="267" t="str">
        <f ca="1">IFERROR(__xludf.DUMMYFUNCTION("""COMPUTED_VALUE"""),"Caitlyn")</f>
        <v>Caitlyn</v>
      </c>
      <c r="B19" s="287" t="str">
        <f ca="1">IFERROR(__xludf.DUMMYFUNCTION("""COMPUTED_VALUE"""),"=580")</f>
        <v>=580</v>
      </c>
      <c r="C19" s="287" t="str">
        <f ca="1">IFERROR(__xludf.DUMMYFUNCTION("""COMPUTED_VALUE"""),"=107")</f>
        <v>=107</v>
      </c>
      <c r="D19" s="288" t="str">
        <f ca="1">IFERROR(__xludf.DUMMYFUNCTION("""COMPUTED_VALUE"""),"=3,5")</f>
        <v>=3,5</v>
      </c>
      <c r="E19" s="289" t="str">
        <f ca="1">IFERROR(__xludf.DUMMYFUNCTION("""COMPUTED_VALUE"""),"=0,55")</f>
        <v>=0,55</v>
      </c>
      <c r="F19" s="288" t="str">
        <f ca="1">IFERROR(__xludf.DUMMYFUNCTION("""COMPUTED_VALUE"""),"=314")</f>
        <v>=314</v>
      </c>
      <c r="G19" s="288" t="str">
        <f ca="1">IFERROR(__xludf.DUMMYFUNCTION("""COMPUTED_VALUE"""),"=40")</f>
        <v>=40</v>
      </c>
      <c r="H19" s="288" t="str">
        <f ca="1">IFERROR(__xludf.DUMMYFUNCTION("""COMPUTED_VALUE"""),"=7,4")</f>
        <v>=7,4</v>
      </c>
      <c r="I19" s="289" t="str">
        <f ca="1">IFERROR(__xludf.DUMMYFUNCTION("""COMPUTED_VALUE"""),"=0,7")</f>
        <v>=0,7</v>
      </c>
      <c r="J19" s="290" t="str">
        <f ca="1">IFERROR(__xludf.DUMMYFUNCTION("""COMPUTED_VALUE"""),"=60")</f>
        <v>=60</v>
      </c>
      <c r="K19" s="288" t="str">
        <f ca="1">IFERROR(__xludf.DUMMYFUNCTION("""COMPUTED_VALUE"""),"=3,8")</f>
        <v>=3,8</v>
      </c>
      <c r="L19" s="291" t="str">
        <f ca="1">IFERROR(__xludf.DUMMYFUNCTION("""COMPUTED_VALUE"""),"=0,681")</f>
        <v>=0,681</v>
      </c>
      <c r="M19" s="291" t="str">
        <f ca="1">IFERROR(__xludf.DUMMYFUNCTION("""COMPUTED_VALUE"""),"=0,568")</f>
        <v>=0,568</v>
      </c>
      <c r="N19" s="292" t="str">
        <f ca="1">IFERROR(__xludf.DUMMYFUNCTION("""COMPUTED_VALUE"""),"=4%")</f>
        <v>=4%</v>
      </c>
      <c r="O19" s="287" t="str">
        <f ca="1">IFERROR(__xludf.DUMMYFUNCTION("""COMPUTED_VALUE"""),"=27")</f>
        <v>=27</v>
      </c>
      <c r="P19" s="287" t="str">
        <f ca="1">IFERROR(__xludf.DUMMYFUNCTION("""COMPUTED_VALUE"""),"=4,7")</f>
        <v>=4,7</v>
      </c>
      <c r="Q19" s="288" t="str">
        <f ca="1">IFERROR(__xludf.DUMMYFUNCTION("""COMPUTED_VALUE"""),"=30")</f>
        <v>=30</v>
      </c>
      <c r="R19" s="289" t="str">
        <f ca="1">IFERROR(__xludf.DUMMYFUNCTION("""COMPUTED_VALUE"""),"=1,3")</f>
        <v>=1,3</v>
      </c>
      <c r="S19" s="287" t="str">
        <f ca="1">IFERROR(__xludf.DUMMYFUNCTION("""COMPUTED_VALUE"""),"=325")</f>
        <v>=325</v>
      </c>
      <c r="T19" s="628" t="str">
        <f ca="1">IFERROR(__xludf.DUMMYFUNCTION("""COMPUTED_VALUE"""),"=650")</f>
        <v>=650</v>
      </c>
      <c r="U19" s="298" t="str">
        <f ca="1">IFERROR(__xludf.DUMMYFUNCTION("""COMPUTED_VALUE"""),"=(10 + 40 * P_Q + (1,05 + 0,2 * P_Q) * Self_AD) * MOD_Phys")</f>
        <v>=(10 + 40 * P_Q + (1,05 + 0,2 * P_Q) * Self_AD) * MOD_Phys</v>
      </c>
      <c r="V19" s="299" t="str">
        <f ca="1">IFERROR(__xludf.DUMMYFUNCTION("""COMPUTED_VALUE"""),"=(-5+45*P_W+(0,3+0,1*P_W)*Self_BoAD)*MOD_Phys+Y19")</f>
        <v>=(-5+45*P_W+(0,3+0,1*P_W)*Self_BoAD)*MOD_Phys+Y19</v>
      </c>
      <c r="W19" s="299" t="str">
        <f ca="1">IFERROR(__xludf.DUMMYFUNCTION("""COMPUTED_VALUE"""),"=(30+50*P_E+0,8*Self_AP)*MOD_Magic")</f>
        <v>=(30+50*P_E+0,8*Self_AP)*MOD_Magic</v>
      </c>
      <c r="X19" s="299" t="str">
        <f ca="1">IFERROR(__xludf.DUMMYFUNCTION("""COMPUTED_VALUE"""),"=(75 + 225 * P_R + 2 * Self_BoAD) * MOD_Phys * (1 + 0,25 * Self_Crit)")</f>
        <v>=(75 + 225 * P_R + 2 * Self_BoAD) * MOD_Phys * (1 + 0,25 * Self_Crit)</v>
      </c>
      <c r="Y19" s="300" t="str">
        <f ca="1">IFERROR(__xludf.DUMMYFUNCTION("""COMPUTED_VALUE"""),"=((0,6 + 0,3 * ROUNDDOWN((Self_Level - 1) / 6) + Self_Crit * (1,3125 + 0,75 * IT_CDMG)) * Self_AD) * MOD_Hit")</f>
        <v>=((0,6 + 0,3 * ROUNDDOWN((Self_Level - 1) / 6) + Self_Crit * (1,3125 + 0,75 * IT_CDMG)) * Self_AD) * MOD_Hit</v>
      </c>
      <c r="Z19" s="281" t="str">
        <f ca="1">IFERROR(__xludf.DUMMYFUNCTION("""COMPUTED_VALUE"""),"=11-P_Q")</f>
        <v>=11-P_Q</v>
      </c>
      <c r="AA19" s="282" t="str">
        <f ca="1">IFERROR(__xludf.DUMMYFUNCTION("""COMPUTED_VALUE"""),"=34,5-4,5*P_W")</f>
        <v>=34,5-4,5*P_W</v>
      </c>
      <c r="AB19" s="282" t="str">
        <f ca="1">IFERROR(__xludf.DUMMYFUNCTION("""COMPUTED_VALUE"""),"=18-2*P_E")</f>
        <v>=18-2*P_E</v>
      </c>
      <c r="AC19" s="282" t="str">
        <f ca="1">IFERROR(__xludf.DUMMYFUNCTION("""COMPUTED_VALUE"""),"=105-15*P_R")</f>
        <v>=105-15*P_R</v>
      </c>
      <c r="AD19" s="283" t="str">
        <f ca="1">IFERROR(__xludf.DUMMYFUNCTION("""COMPUTED_VALUE"""),"=if(Self_AS&gt;0;7/Self_AS;1)")</f>
        <v>=if(Self_AS&gt;0;7/Self_AS;1)</v>
      </c>
      <c r="AE19" s="281" t="b">
        <f ca="1">IFERROR(__xludf.DUMMYFUNCTION("""COMPUTED_VALUE"""),FALSE)</f>
        <v>0</v>
      </c>
      <c r="AF19" s="282" t="str">
        <f ca="1">IFERROR(__xludf.DUMMYFUNCTION("""COMPUTED_VALUE"""),"=Image(""https://ddragon.leagueoflegends.com/cdn/11.19.1/img/champion/Caitlyn.png"")")</f>
        <v>=Image("https://ddragon.leagueoflegends.com/cdn/11.19.1/img/champion/Caitlyn.png")</v>
      </c>
      <c r="AG19" s="282" t="str">
        <f ca="1">IFERROR(__xludf.DUMMYFUNCTION("""COMPUTED_VALUE"""),"=IF(OR(REGEXMATCH(FORMULATEXT(U19);""HMOD"");NOT(P_Q&gt;0));0;U19)+IF(OR(REGEXMATCH(FORMULATEXT(V19);""HMOD"");NOT(P_W&gt;0));0;V19)+IF(OR(REGEXMATCH(FORMULATEXT(W19);""HMOD"");NOT(P_E&gt;0));0;W19)+IF(OR(REGEXMATCH(FORMULATEXT(X19);""HMOD"");NOT(P_R&gt;0));0;X19)+IF"&amp;"(REGEXMATCH(FORMULATEXT(Y19);""HMOD"");0;Y19)+Self_Proc_Item+Self_Proc_Summ+Self_Proc_Rune+3*Self_DPS")</f>
        <v>=IF(OR(REGEXMATCH(FORMULATEXT(U19);"HMOD");NOT(P_Q&gt;0));0;U19)+IF(OR(REGEXMATCH(FORMULATEXT(V19);"HMOD");NOT(P_W&gt;0));0;V19)+IF(OR(REGEXMATCH(FORMULATEXT(W19);"HMOD");NOT(P_E&gt;0));0;W19)+IF(OR(REGEXMATCH(FORMULATEXT(X19);"HMOD");NOT(P_R&gt;0));0;X19)+IF(REGEXMATCH(FORMULATEXT(Y19);"HMOD");0;Y19)+Self_Proc_Item+Self_Proc_Summ+Self_Proc_Rune+3*Self_DPS</v>
      </c>
      <c r="AH19" s="282" t="str">
        <f ca="1">IFERROR(__xludf.DUMMYFUNCTION("""COMPUTED_VALUE"""),"=0")</f>
        <v>=0</v>
      </c>
      <c r="AI19" s="282" t="b">
        <f ca="1">IFERROR(__xludf.DUMMYFUNCTION("""COMPUTED_VALUE"""),FALSE)</f>
        <v>0</v>
      </c>
      <c r="AJ19" s="283" t="b">
        <f ca="1">IFERROR(__xludf.DUMMYFUNCTION("""COMPUTED_VALUE"""),FALSE)</f>
        <v>0</v>
      </c>
    </row>
    <row r="20" spans="1:36">
      <c r="A20" s="267" t="str">
        <f ca="1">IFERROR(__xludf.DUMMYFUNCTION("""COMPUTED_VALUE"""),"Camille")</f>
        <v>Camille</v>
      </c>
      <c r="B20" s="287" t="str">
        <f ca="1">IFERROR(__xludf.DUMMYFUNCTION("""COMPUTED_VALUE"""),"=646")</f>
        <v>=646</v>
      </c>
      <c r="C20" s="287" t="str">
        <f ca="1">IFERROR(__xludf.DUMMYFUNCTION("""COMPUTED_VALUE"""),"=99")</f>
        <v>=99</v>
      </c>
      <c r="D20" s="288" t="str">
        <f ca="1">IFERROR(__xludf.DUMMYFUNCTION("""COMPUTED_VALUE"""),"=8,5")</f>
        <v>=8,5</v>
      </c>
      <c r="E20" s="289" t="str">
        <f ca="1">IFERROR(__xludf.DUMMYFUNCTION("""COMPUTED_VALUE"""),"=0,8")</f>
        <v>=0,8</v>
      </c>
      <c r="F20" s="288" t="str">
        <f ca="1">IFERROR(__xludf.DUMMYFUNCTION("""COMPUTED_VALUE"""),"=339")</f>
        <v>=339</v>
      </c>
      <c r="G20" s="288" t="str">
        <f ca="1">IFERROR(__xludf.DUMMYFUNCTION("""COMPUTED_VALUE"""),"=52")</f>
        <v>=52</v>
      </c>
      <c r="H20" s="288" t="str">
        <f ca="1">IFERROR(__xludf.DUMMYFUNCTION("""COMPUTED_VALUE"""),"=8,2")</f>
        <v>=8,2</v>
      </c>
      <c r="I20" s="289" t="str">
        <f ca="1">IFERROR(__xludf.DUMMYFUNCTION("""COMPUTED_VALUE"""),"=0,75")</f>
        <v>=0,75</v>
      </c>
      <c r="J20" s="290" t="str">
        <f ca="1">IFERROR(__xludf.DUMMYFUNCTION("""COMPUTED_VALUE"""),"=68")</f>
        <v>=68</v>
      </c>
      <c r="K20" s="288" t="str">
        <f ca="1">IFERROR(__xludf.DUMMYFUNCTION("""COMPUTED_VALUE"""),"=3,5")</f>
        <v>=3,5</v>
      </c>
      <c r="L20" s="291" t="str">
        <f ca="1">IFERROR(__xludf.DUMMYFUNCTION("""COMPUTED_VALUE"""),"=0,644")</f>
        <v>=0,644</v>
      </c>
      <c r="M20" s="291" t="str">
        <f ca="1">IFERROR(__xludf.DUMMYFUNCTION("""COMPUTED_VALUE"""),"=0,644")</f>
        <v>=0,644</v>
      </c>
      <c r="N20" s="292" t="str">
        <f ca="1">IFERROR(__xludf.DUMMYFUNCTION("""COMPUTED_VALUE"""),"=2,5%")</f>
        <v>=2,5%</v>
      </c>
      <c r="O20" s="287" t="str">
        <f ca="1">IFERROR(__xludf.DUMMYFUNCTION("""COMPUTED_VALUE"""),"=35")</f>
        <v>=35</v>
      </c>
      <c r="P20" s="287" t="str">
        <f ca="1">IFERROR(__xludf.DUMMYFUNCTION("""COMPUTED_VALUE"""),"=5")</f>
        <v>=5</v>
      </c>
      <c r="Q20" s="288" t="str">
        <f ca="1">IFERROR(__xludf.DUMMYFUNCTION("""COMPUTED_VALUE"""),"=32")</f>
        <v>=32</v>
      </c>
      <c r="R20" s="289" t="str">
        <f ca="1">IFERROR(__xludf.DUMMYFUNCTION("""COMPUTED_VALUE"""),"=2,05")</f>
        <v>=2,05</v>
      </c>
      <c r="S20" s="287" t="str">
        <f ca="1">IFERROR(__xludf.DUMMYFUNCTION("""COMPUTED_VALUE"""),"=340")</f>
        <v>=340</v>
      </c>
      <c r="T20" s="628" t="str">
        <f ca="1">IFERROR(__xludf.DUMMYFUNCTION("""COMPUTED_VALUE"""),"=125")</f>
        <v>=125</v>
      </c>
      <c r="U20" s="295" t="str">
        <f ca="1">IFERROR(__xludf.DUMMYFUNCTION("""COMPUTED_VALUE"""),"=IF(Steroid_Q;2;1)*((1,15+0,05*P_Q)*Self_AD)*(IF(Steroid_Q;MOD_Phys*(1-(0,36 + 0,04 * MAX(16; Self_Level)))+(0,36+0,04*MAX(16;Self_Level))*Calc!O10;MOD_Phys))")</f>
        <v>=IF(Steroid_Q;2;1)*((1,15+0,05*P_Q)*Self_AD)*(IF(Steroid_Q;MOD_Phys*(1-(0,36 + 0,04 * MAX(16; Self_Level)))+(0,36+0,04*MAX(16;Self_Level))*Calc!O10;MOD_Phys))</v>
      </c>
      <c r="V20" s="296" t="str">
        <f ca="1">IFERROR(__xludf.DUMMYFUNCTION("""COMPUTED_VALUE"""),"=(40 + 30 * P_W + 0,6 * Self_BoAD + (0,045 + 0,005 * P_W + 0,00025 * Self_BoAD) * E_MHP) * MOD_Phys")</f>
        <v>=(40 + 30 * P_W + 0,6 * Self_BoAD + (0,045 + 0,005 * P_W + 0,00025 * Self_BoAD) * E_MHP) * MOD_Phys</v>
      </c>
      <c r="W20" s="296" t="str">
        <f ca="1">IFERROR(__xludf.DUMMYFUNCTION("""COMPUTED_VALUE"""),"=(50+30*P_E+0,9*Self_BoAD)*MOD_Magic")</f>
        <v>=(50+30*P_E+0,9*Self_BoAD)*MOD_Magic</v>
      </c>
      <c r="X20" s="296" t="str">
        <f ca="1">IFERROR(__xludf.DUMMYFUNCTION("""COMPUTED_VALUE"""),"=(5*P_R+(0,02+0,02*P_R)*E_MHP)*MOD_Magic")</f>
        <v>=(5*P_R+(0,02+0,02*P_R)*E_MHP)*MOD_Magic</v>
      </c>
      <c r="Y20" s="297" t="str">
        <f ca="1">IFERROR(__xludf.DUMMYFUNCTION("""COMPUTED_VALUE"""),"=0,2*Self_MHP*MOD_SelfHeal")</f>
        <v>=0,2*Self_MHP*MOD_SelfHeal</v>
      </c>
      <c r="Z20" s="281" t="str">
        <f ca="1">IFERROR(__xludf.DUMMYFUNCTION("""COMPUTED_VALUE"""),"=9,75-0,75*P_Q")</f>
        <v>=9,75-0,75*P_Q</v>
      </c>
      <c r="AA20" s="282" t="str">
        <f ca="1">IFERROR(__xludf.DUMMYFUNCTION("""COMPUTED_VALUE"""),"=18,5-1,5*P_W")</f>
        <v>=18,5-1,5*P_W</v>
      </c>
      <c r="AB20" s="282" t="str">
        <f ca="1">IFERROR(__xludf.DUMMYFUNCTION("""COMPUTED_VALUE"""),"=17 - P_E")</f>
        <v>=17 - P_E</v>
      </c>
      <c r="AC20" s="282" t="str">
        <f ca="1">IFERROR(__xludf.DUMMYFUNCTION("""COMPUTED_VALUE"""),"=165-25*P_R")</f>
        <v>=165-25*P_R</v>
      </c>
      <c r="AD20" s="283" t="str">
        <f ca="1">IFERROR(__xludf.DUMMYFUNCTION("""COMPUTED_VALUE"""),"=20 - ROUNDDOWN((Self_Level - 1) / 6) * 5")</f>
        <v>=20 - ROUNDDOWN((Self_Level - 1) / 6) * 5</v>
      </c>
      <c r="AE20" s="281" t="b">
        <f ca="1">IFERROR(__xludf.DUMMYFUNCTION("""COMPUTED_VALUE"""),TRUE)</f>
        <v>1</v>
      </c>
      <c r="AF20" s="282" t="str">
        <f ca="1">IFERROR(__xludf.DUMMYFUNCTION("""COMPUTED_VALUE"""),"=Image(""https://ddragon.leagueoflegends.com/cdn/11.19.1/img/champion/Camille.png"")")</f>
        <v>=Image("https://ddragon.leagueoflegends.com/cdn/11.19.1/img/champion/Camille.png")</v>
      </c>
      <c r="AG20" s="282" t="str">
        <f ca="1">IFERROR(__xludf.DUMMYFUNCTION("""COMPUTED_VALUE"""),"=IF(OR(REGEXMATCH(FORMULATEXT(U20);""HMOD"");NOT(P_Q&gt;0));0;U20)+IF(OR(REGEXMATCH(FORMULATEXT(V20);""HMOD"");NOT(P_W&gt;0));0;V20)+IF(OR(REGEXMATCH(FORMULATEXT(W20);""HMOD"");NOT(P_E&gt;0));0;W20)+IF(OR(REGEXMATCH(FORMULATEXT(X20);""HMOD"");NOT(P_R&gt;0));0;X20)+IF"&amp;"(REGEXMATCH(FORMULATEXT(Y20);""HMOD"");0;Y20)+Self_Proc_Item+Self_Proc_Summ+Self_Proc_Rune+3*Self_DPS")</f>
        <v>=IF(OR(REGEXMATCH(FORMULATEXT(U20);"HMOD");NOT(P_Q&gt;0));0;U20)+IF(OR(REGEXMATCH(FORMULATEXT(V20);"HMOD");NOT(P_W&gt;0));0;V20)+IF(OR(REGEXMATCH(FORMULATEXT(W20);"HMOD");NOT(P_E&gt;0));0;W20)+IF(OR(REGEXMATCH(FORMULATEXT(X20);"HMOD");NOT(P_R&gt;0));0;X20)+IF(REGEXMATCH(FORMULATEXT(Y20);"HMOD");0;Y20)+Self_Proc_Item+Self_Proc_Summ+Self_Proc_Rune+3*Self_DPS</v>
      </c>
      <c r="AH20" s="282" t="str">
        <f ca="1">IFERROR(__xludf.DUMMYFUNCTION("""COMPUTED_VALUE"""),"=0")</f>
        <v>=0</v>
      </c>
      <c r="AI20" s="282" t="b">
        <f ca="1">IFERROR(__xludf.DUMMYFUNCTION("""COMPUTED_VALUE"""),FALSE)</f>
        <v>0</v>
      </c>
      <c r="AJ20" s="283" t="b">
        <f ca="1">IFERROR(__xludf.DUMMYFUNCTION("""COMPUTED_VALUE"""),FALSE)</f>
        <v>0</v>
      </c>
    </row>
    <row r="21" spans="1:36">
      <c r="A21" s="267" t="str">
        <f ca="1">IFERROR(__xludf.DUMMYFUNCTION("""COMPUTED_VALUE"""),"Cassiopeia")</f>
        <v>Cassiopeia</v>
      </c>
      <c r="B21" s="287" t="str">
        <f ca="1">IFERROR(__xludf.DUMMYFUNCTION("""COMPUTED_VALUE"""),"=630")</f>
        <v>=630</v>
      </c>
      <c r="C21" s="287" t="str">
        <f ca="1">IFERROR(__xludf.DUMMYFUNCTION("""COMPUTED_VALUE"""),"=104")</f>
        <v>=104</v>
      </c>
      <c r="D21" s="288" t="str">
        <f ca="1">IFERROR(__xludf.DUMMYFUNCTION("""COMPUTED_VALUE"""),"=5,5")</f>
        <v>=5,5</v>
      </c>
      <c r="E21" s="289" t="str">
        <f ca="1">IFERROR(__xludf.DUMMYFUNCTION("""COMPUTED_VALUE"""),"=0,5")</f>
        <v>=0,5</v>
      </c>
      <c r="F21" s="288" t="str">
        <f ca="1">IFERROR(__xludf.DUMMYFUNCTION("""COMPUTED_VALUE"""),"=350")</f>
        <v>=350</v>
      </c>
      <c r="G21" s="288" t="str">
        <f ca="1">IFERROR(__xludf.DUMMYFUNCTION("""COMPUTED_VALUE"""),"=60")</f>
        <v>=60</v>
      </c>
      <c r="H21" s="288" t="str">
        <f ca="1">IFERROR(__xludf.DUMMYFUNCTION("""COMPUTED_VALUE"""),"=8")</f>
        <v>=8</v>
      </c>
      <c r="I21" s="289" t="str">
        <f ca="1">IFERROR(__xludf.DUMMYFUNCTION("""COMPUTED_VALUE"""),"=0,8")</f>
        <v>=0,8</v>
      </c>
      <c r="J21" s="290" t="str">
        <f ca="1">IFERROR(__xludf.DUMMYFUNCTION("""COMPUTED_VALUE"""),"=53")</f>
        <v>=53</v>
      </c>
      <c r="K21" s="288" t="str">
        <f ca="1">IFERROR(__xludf.DUMMYFUNCTION("""COMPUTED_VALUE"""),"=3")</f>
        <v>=3</v>
      </c>
      <c r="L21" s="291" t="str">
        <f ca="1">IFERROR(__xludf.DUMMYFUNCTION("""COMPUTED_VALUE"""),"=0,647")</f>
        <v>=0,647</v>
      </c>
      <c r="M21" s="291" t="str">
        <f ca="1">IFERROR(__xludf.DUMMYFUNCTION("""COMPUTED_VALUE"""),"=0,647")</f>
        <v>=0,647</v>
      </c>
      <c r="N21" s="292" t="str">
        <f ca="1">IFERROR(__xludf.DUMMYFUNCTION("""COMPUTED_VALUE"""),"=1,5%")</f>
        <v>=1,5%</v>
      </c>
      <c r="O21" s="287" t="str">
        <f ca="1">IFERROR(__xludf.DUMMYFUNCTION("""COMPUTED_VALUE"""),"=18")</f>
        <v>=18</v>
      </c>
      <c r="P21" s="287" t="str">
        <f ca="1">IFERROR(__xludf.DUMMYFUNCTION("""COMPUTED_VALUE"""),"=4,7")</f>
        <v>=4,7</v>
      </c>
      <c r="Q21" s="288" t="str">
        <f ca="1">IFERROR(__xludf.DUMMYFUNCTION("""COMPUTED_VALUE"""),"=32")</f>
        <v>=32</v>
      </c>
      <c r="R21" s="289" t="str">
        <f ca="1">IFERROR(__xludf.DUMMYFUNCTION("""COMPUTED_VALUE"""),"=1,3")</f>
        <v>=1,3</v>
      </c>
      <c r="S21" s="287" t="str">
        <f ca="1">IFERROR(__xludf.DUMMYFUNCTION("""COMPUTED_VALUE"""),"=328+4*Self_Level")</f>
        <v>=328+4*Self_Level</v>
      </c>
      <c r="T21" s="628" t="str">
        <f ca="1">IFERROR(__xludf.DUMMYFUNCTION("""COMPUTED_VALUE"""),"=550")</f>
        <v>=550</v>
      </c>
      <c r="U21" s="298" t="str">
        <f ca="1">IFERROR(__xludf.DUMMYFUNCTION("""COMPUTED_VALUE"""),"=(40+35*P_Q+0,8*Self_AP)*MOD_Magic")</f>
        <v>=(40+35*P_Q+0,8*Self_AP)*MOD_Magic</v>
      </c>
      <c r="V21" s="299" t="str">
        <f ca="1">IFERROR(__xludf.DUMMYFUNCTION("""COMPUTED_VALUE"""),"=(75+25*P_W+0,75*Self_AP)*MOD_Magic")</f>
        <v>=(75+25*P_W+0,75*Self_AP)*MOD_Magic</v>
      </c>
      <c r="W21" s="299" t="str">
        <f ca="1">IFERROR(__xludf.DUMMYFUNCTION("""COMPUTED_VALUE"""),"=(0,1 * Self_AP + 48 + Self_Level * 4 + IF(Steroid_E; 20 * P_E + 0,6 * Self_AP; 0)) * MOD_Magic")</f>
        <v>=(0,1 * Self_AP + 48 + Self_Level * 4 + IF(Steroid_E; 20 * P_E + 0,6 * Self_AP; 0)) * MOD_Magic</v>
      </c>
      <c r="X21" s="299" t="str">
        <f ca="1">IFERROR(__xludf.DUMMYFUNCTION("""COMPUTED_VALUE"""),"=(0,5*Self_AP+50+100*P_R)*MOD_Magic")</f>
        <v>=(0,5*Self_AP+50+100*P_R)*MOD_Magic</v>
      </c>
      <c r="Y21" s="300" t="str">
        <f ca="1">IFERROR(__xludf.DUMMYFUNCTION("""COMPUTED_VALUE"""),"=0")</f>
        <v>=0</v>
      </c>
      <c r="Z21" s="281" t="str">
        <f ca="1">IFERROR(__xludf.DUMMYFUNCTION("""COMPUTED_VALUE"""),"=3,5")</f>
        <v>=3,5</v>
      </c>
      <c r="AA21" s="282" t="str">
        <f ca="1">IFERROR(__xludf.DUMMYFUNCTION("""COMPUTED_VALUE"""),"=26-2*P_W")</f>
        <v>=26-2*P_W</v>
      </c>
      <c r="AB21" s="282" t="str">
        <f ca="1">IFERROR(__xludf.DUMMYFUNCTION("""COMPUTED_VALUE"""),"=0,75")</f>
        <v>=0,75</v>
      </c>
      <c r="AC21" s="282" t="str">
        <f ca="1">IFERROR(__xludf.DUMMYFUNCTION("""COMPUTED_VALUE"""),"=140 - 20 * P_R")</f>
        <v>=140 - 20 * P_R</v>
      </c>
      <c r="AD21" s="283" t="str">
        <f ca="1">IFERROR(__xludf.DUMMYFUNCTION("""COMPUTED_VALUE"""),"=1")</f>
        <v>=1</v>
      </c>
      <c r="AE21" s="281" t="b">
        <f ca="1">IFERROR(__xludf.DUMMYFUNCTION("""COMPUTED_VALUE"""),FALSE)</f>
        <v>0</v>
      </c>
      <c r="AF21" s="282" t="str">
        <f ca="1">IFERROR(__xludf.DUMMYFUNCTION("""COMPUTED_VALUE"""),"=Image(""https://ddragon.leagueoflegends.com/cdn/11.19.1/img/champion/Cassiopeia.png"")")</f>
        <v>=Image("https://ddragon.leagueoflegends.com/cdn/11.19.1/img/champion/Cassiopeia.png")</v>
      </c>
      <c r="AG21" s="282" t="str">
        <f ca="1">IFERROR(__xludf.DUMMYFUNCTION("""COMPUTED_VALUE"""),"=IF(OR(REGEXMATCH(FORMULATEXT(U21);""HMOD"");NOT(P_Q&gt;0));0;U21)+IF(OR(REGEXMATCH(FORMULATEXT(V21);""HMOD"");NOT(P_W&gt;0));0;V21)+IF(OR(REGEXMATCH(FORMULATEXT(W21);""HMOD"");NOT(P_E&gt;0));0;W21)+IF(OR(REGEXMATCH(FORMULATEXT(X21);""HMOD"");NOT(P_R&gt;0));0;X21)+IF"&amp;"(REGEXMATCH(FORMULATEXT(Y21);""HMOD"");0;Y21)+Self_Proc_Item+Self_Proc_Summ+Self_Proc_Rune+3*Self_DPS")</f>
        <v>=IF(OR(REGEXMATCH(FORMULATEXT(U21);"HMOD");NOT(P_Q&gt;0));0;U21)+IF(OR(REGEXMATCH(FORMULATEXT(V21);"HMOD");NOT(P_W&gt;0));0;V21)+IF(OR(REGEXMATCH(FORMULATEXT(W21);"HMOD");NOT(P_E&gt;0));0;W21)+IF(OR(REGEXMATCH(FORMULATEXT(X21);"HMOD");NOT(P_R&gt;0));0;X21)+IF(REGEXMATCH(FORMULATEXT(Y21);"HMOD");0;Y21)+Self_Proc_Item+Self_Proc_Summ+Self_Proc_Rune+3*Self_DPS</v>
      </c>
      <c r="AH21" s="282" t="str">
        <f ca="1">IFERROR(__xludf.DUMMYFUNCTION("""COMPUTED_VALUE"""),"=0")</f>
        <v>=0</v>
      </c>
      <c r="AI21" s="282" t="b">
        <f ca="1">IFERROR(__xludf.DUMMYFUNCTION("""COMPUTED_VALUE"""),FALSE)</f>
        <v>0</v>
      </c>
      <c r="AJ21" s="283" t="b">
        <f ca="1">IFERROR(__xludf.DUMMYFUNCTION("""COMPUTED_VALUE"""),FALSE)</f>
        <v>0</v>
      </c>
    </row>
    <row r="22" spans="1:36">
      <c r="A22" s="267" t="str">
        <f ca="1">IFERROR(__xludf.DUMMYFUNCTION("""COMPUTED_VALUE"""),"Cho'Gath")</f>
        <v>Cho'Gath</v>
      </c>
      <c r="B22" s="287" t="str">
        <f ca="1">IFERROR(__xludf.DUMMYFUNCTION("""COMPUTED_VALUE"""),"=644")</f>
        <v>=644</v>
      </c>
      <c r="C22" s="287" t="str">
        <f ca="1">IFERROR(__xludf.DUMMYFUNCTION("""COMPUTED_VALUE"""),"=94")</f>
        <v>=94</v>
      </c>
      <c r="D22" s="288" t="str">
        <f ca="1">IFERROR(__xludf.DUMMYFUNCTION("""COMPUTED_VALUE"""),"=9")</f>
        <v>=9</v>
      </c>
      <c r="E22" s="289" t="str">
        <f ca="1">IFERROR(__xludf.DUMMYFUNCTION("""COMPUTED_VALUE"""),"=0,85")</f>
        <v>=0,85</v>
      </c>
      <c r="F22" s="288" t="str">
        <f ca="1">IFERROR(__xludf.DUMMYFUNCTION("""COMPUTED_VALUE"""),"=272")</f>
        <v>=272</v>
      </c>
      <c r="G22" s="288" t="str">
        <f ca="1">IFERROR(__xludf.DUMMYFUNCTION("""COMPUTED_VALUE"""),"=60")</f>
        <v>=60</v>
      </c>
      <c r="H22" s="288" t="str">
        <f ca="1">IFERROR(__xludf.DUMMYFUNCTION("""COMPUTED_VALUE"""),"=7,2")</f>
        <v>=7,2</v>
      </c>
      <c r="I22" s="289" t="str">
        <f ca="1">IFERROR(__xludf.DUMMYFUNCTION("""COMPUTED_VALUE"""),"=0,45")</f>
        <v>=0,45</v>
      </c>
      <c r="J22" s="290" t="str">
        <f ca="1">IFERROR(__xludf.DUMMYFUNCTION("""COMPUTED_VALUE"""),"=69")</f>
        <v>=69</v>
      </c>
      <c r="K22" s="288" t="str">
        <f ca="1">IFERROR(__xludf.DUMMYFUNCTION("""COMPUTED_VALUE"""),"=4,2")</f>
        <v>=4,2</v>
      </c>
      <c r="L22" s="291" t="str">
        <f ca="1">IFERROR(__xludf.DUMMYFUNCTION("""COMPUTED_VALUE"""),"=0,625")</f>
        <v>=0,625</v>
      </c>
      <c r="M22" s="291" t="str">
        <f ca="1">IFERROR(__xludf.DUMMYFUNCTION("""COMPUTED_VALUE"""),"=0,625")</f>
        <v>=0,625</v>
      </c>
      <c r="N22" s="292" t="str">
        <f ca="1">IFERROR(__xludf.DUMMYFUNCTION("""COMPUTED_VALUE"""),"=1,44%")</f>
        <v>=1,44%</v>
      </c>
      <c r="O22" s="287" t="str">
        <f ca="1">IFERROR(__xludf.DUMMYFUNCTION("""COMPUTED_VALUE"""),"=38")</f>
        <v>=38</v>
      </c>
      <c r="P22" s="287" t="str">
        <f ca="1">IFERROR(__xludf.DUMMYFUNCTION("""COMPUTED_VALUE"""),"=5")</f>
        <v>=5</v>
      </c>
      <c r="Q22" s="288" t="str">
        <f ca="1">IFERROR(__xludf.DUMMYFUNCTION("""COMPUTED_VALUE"""),"=32")</f>
        <v>=32</v>
      </c>
      <c r="R22" s="289" t="str">
        <f ca="1">IFERROR(__xludf.DUMMYFUNCTION("""COMPUTED_VALUE"""),"=2,05")</f>
        <v>=2,05</v>
      </c>
      <c r="S22" s="287" t="str">
        <f ca="1">IFERROR(__xludf.DUMMYFUNCTION("""COMPUTED_VALUE"""),"=345")</f>
        <v>=345</v>
      </c>
      <c r="T22" s="628" t="str">
        <f ca="1">IFERROR(__xludf.DUMMYFUNCTION("""COMPUTED_VALUE"""),"=125+if(P_R&gt;0;3+1,5*P_R;0)*if(Kills&gt;10;10;Kills)")</f>
        <v>=125+if(P_R&gt;0;3+1,5*P_R;0)*if(Kills&gt;10;10;Kills)</v>
      </c>
      <c r="U22" s="295" t="str">
        <f ca="1">IFERROR(__xludf.DUMMYFUNCTION("""COMPUTED_VALUE"""),"=(20+60*P_Q+Self_AP)*MOD_Magic")</f>
        <v>=(20+60*P_Q+Self_AP)*MOD_Magic</v>
      </c>
      <c r="V22" s="296" t="str">
        <f ca="1">IFERROR(__xludf.DUMMYFUNCTION("""COMPUTED_VALUE"""),"=(25 + 55 * P_W + 0,7 * Self_AP) * MOD_Magic")</f>
        <v>=(25 + 55 * P_W + 0,7 * Self_AP) * MOD_Magic</v>
      </c>
      <c r="W22" s="296" t="str">
        <f ca="1">IFERROR(__xludf.DUMMYFUNCTION("""COMPUTED_VALUE"""),"=(10+12*P_E+0,3*Self_AP+0,03*E_MHP)*MOD_Magic*3")</f>
        <v>=(10+12*P_E+0,3*Self_AP+0,03*E_MHP)*MOD_Magic*3</v>
      </c>
      <c r="X22" s="296" t="str">
        <f ca="1">IFERROR(__xludf.DUMMYFUNCTION("""COMPUTED_VALUE"""),"=(125+175*P_R+0,5*Self_AP+0,1*Self_BoHP)*Calc!O10")</f>
        <v>=(125+175*P_R+0,5*Self_AP+0,1*Self_BoHP)*Calc!O10</v>
      </c>
      <c r="Y22" s="297" t="str">
        <f ca="1">IFERROR(__xludf.DUMMYFUNCTION("""COMPUTED_VALUE"""),"=(16+2*Self_Level)*MOD_SelfHeal")</f>
        <v>=(16+2*Self_Level)*MOD_SelfHeal</v>
      </c>
      <c r="Z22" s="281" t="str">
        <f ca="1">IFERROR(__xludf.DUMMYFUNCTION("""COMPUTED_VALUE"""),"=6")</f>
        <v>=6</v>
      </c>
      <c r="AA22" s="282" t="str">
        <f ca="1">IFERROR(__xludf.DUMMYFUNCTION("""COMPUTED_VALUE"""),"=14-P_W")</f>
        <v>=14-P_W</v>
      </c>
      <c r="AB22" s="282" t="str">
        <f ca="1">IFERROR(__xludf.DUMMYFUNCTION("""COMPUTED_VALUE"""),"=9-P_E")</f>
        <v>=9-P_E</v>
      </c>
      <c r="AC22" s="282" t="str">
        <f ca="1">IFERROR(__xludf.DUMMYFUNCTION("""COMPUTED_VALUE"""),"=90-10*P_R")</f>
        <v>=90-10*P_R</v>
      </c>
      <c r="AD22" s="283" t="str">
        <f ca="1">IFERROR(__xludf.DUMMYFUNCTION("""COMPUTED_VALUE"""),"=1")</f>
        <v>=1</v>
      </c>
      <c r="AE22" s="281" t="b">
        <f ca="1">IFERROR(__xludf.DUMMYFUNCTION("""COMPUTED_VALUE"""),TRUE)</f>
        <v>1</v>
      </c>
      <c r="AF22" s="282" t="str">
        <f ca="1">IFERROR(__xludf.DUMMYFUNCTION("""COMPUTED_VALUE"""),"=Image(""https://ddragon.leagueoflegends.com/cdn/11.19.1/img/champion/Chogath.png"")")</f>
        <v>=Image("https://ddragon.leagueoflegends.com/cdn/11.19.1/img/champion/Chogath.png")</v>
      </c>
      <c r="AG22" s="282" t="str">
        <f ca="1">IFERROR(__xludf.DUMMYFUNCTION("""COMPUTED_VALUE"""),"=IF(OR(REGEXMATCH(FORMULATEXT(U22);""HMOD"");NOT(P_Q&gt;0));0;U22)+IF(OR(REGEXMATCH(FORMULATEXT(V22);""HMOD"");NOT(P_W&gt;0));0;V22)+IF(OR(REGEXMATCH(FORMULATEXT(W22);""HMOD"");NOT(P_E&gt;0));0;W22)+IF(OR(REGEXMATCH(FORMULATEXT(X22);""HMOD"");NOT(P_R&gt;0));0;X22)+IF"&amp;"(REGEXMATCH(FORMULATEXT(Y22);""HMOD"");0;Y22)+Self_Proc_Item+Self_Proc_Summ+Self_Proc_Rune+3*Self_DPS")</f>
        <v>=IF(OR(REGEXMATCH(FORMULATEXT(U22);"HMOD");NOT(P_Q&gt;0));0;U22)+IF(OR(REGEXMATCH(FORMULATEXT(V22);"HMOD");NOT(P_W&gt;0));0;V22)+IF(OR(REGEXMATCH(FORMULATEXT(W22);"HMOD");NOT(P_E&gt;0));0;W22)+IF(OR(REGEXMATCH(FORMULATEXT(X22);"HMOD");NOT(P_R&gt;0));0;X22)+IF(REGEXMATCH(FORMULATEXT(Y22);"HMOD");0;Y22)+Self_Proc_Item+Self_Proc_Summ+Self_Proc_Rune+3*Self_DPS</v>
      </c>
      <c r="AH22" s="282" t="str">
        <f ca="1">IFERROR(__xludf.DUMMYFUNCTION("""COMPUTED_VALUE"""),"=0")</f>
        <v>=0</v>
      </c>
      <c r="AI22" s="282" t="b">
        <f ca="1">IFERROR(__xludf.DUMMYFUNCTION("""COMPUTED_VALUE"""),FALSE)</f>
        <v>0</v>
      </c>
      <c r="AJ22" s="283" t="b">
        <f ca="1">IFERROR(__xludf.DUMMYFUNCTION("""COMPUTED_VALUE"""),FALSE)</f>
        <v>0</v>
      </c>
    </row>
    <row r="23" spans="1:36">
      <c r="A23" s="267" t="str">
        <f ca="1">IFERROR(__xludf.DUMMYFUNCTION("""COMPUTED_VALUE"""),"Corki")</f>
        <v>Corki</v>
      </c>
      <c r="B23" s="287" t="str">
        <f ca="1">IFERROR(__xludf.DUMMYFUNCTION("""COMPUTED_VALUE"""),"=588")</f>
        <v>=588</v>
      </c>
      <c r="C23" s="287" t="str">
        <f ca="1">IFERROR(__xludf.DUMMYFUNCTION("""COMPUTED_VALUE"""),"=105")</f>
        <v>=105</v>
      </c>
      <c r="D23" s="288" t="str">
        <f ca="1">IFERROR(__xludf.DUMMYFUNCTION("""COMPUTED_VALUE"""),"=5,5")</f>
        <v>=5,5</v>
      </c>
      <c r="E23" s="289" t="str">
        <f ca="1">IFERROR(__xludf.DUMMYFUNCTION("""COMPUTED_VALUE"""),"=0,55")</f>
        <v>=0,55</v>
      </c>
      <c r="F23" s="288" t="str">
        <f ca="1">IFERROR(__xludf.DUMMYFUNCTION("""COMPUTED_VALUE"""),"=350")</f>
        <v>=350</v>
      </c>
      <c r="G23" s="288" t="str">
        <f ca="1">IFERROR(__xludf.DUMMYFUNCTION("""COMPUTED_VALUE"""),"=54")</f>
        <v>=54</v>
      </c>
      <c r="H23" s="288" t="str">
        <f ca="1">IFERROR(__xludf.DUMMYFUNCTION("""COMPUTED_VALUE"""),"=7,4")</f>
        <v>=7,4</v>
      </c>
      <c r="I23" s="289" t="str">
        <f ca="1">IFERROR(__xludf.DUMMYFUNCTION("""COMPUTED_VALUE"""),"=0,55")</f>
        <v>=0,55</v>
      </c>
      <c r="J23" s="290" t="str">
        <f ca="1">IFERROR(__xludf.DUMMYFUNCTION("""COMPUTED_VALUE"""),"=55")</f>
        <v>=55</v>
      </c>
      <c r="K23" s="288" t="str">
        <f ca="1">IFERROR(__xludf.DUMMYFUNCTION("""COMPUTED_VALUE"""),"=2,8")</f>
        <v>=2,8</v>
      </c>
      <c r="L23" s="291" t="str">
        <f ca="1">IFERROR(__xludf.DUMMYFUNCTION("""COMPUTED_VALUE"""),"=0,638")</f>
        <v>=0,638</v>
      </c>
      <c r="M23" s="291" t="str">
        <f ca="1">IFERROR(__xludf.DUMMYFUNCTION("""COMPUTED_VALUE"""),"=0,638")</f>
        <v>=0,638</v>
      </c>
      <c r="N23" s="292" t="str">
        <f ca="1">IFERROR(__xludf.DUMMYFUNCTION("""COMPUTED_VALUE"""),"=2,3%")</f>
        <v>=2,3%</v>
      </c>
      <c r="O23" s="287" t="str">
        <f ca="1">IFERROR(__xludf.DUMMYFUNCTION("""COMPUTED_VALUE"""),"=28")</f>
        <v>=28</v>
      </c>
      <c r="P23" s="287" t="str">
        <f ca="1">IFERROR(__xludf.DUMMYFUNCTION("""COMPUTED_VALUE"""),"=4,7")</f>
        <v>=4,7</v>
      </c>
      <c r="Q23" s="288" t="str">
        <f ca="1">IFERROR(__xludf.DUMMYFUNCTION("""COMPUTED_VALUE"""),"=30")</f>
        <v>=30</v>
      </c>
      <c r="R23" s="289" t="str">
        <f ca="1">IFERROR(__xludf.DUMMYFUNCTION("""COMPUTED_VALUE"""),"=1,3")</f>
        <v>=1,3</v>
      </c>
      <c r="S23" s="287" t="str">
        <f ca="1">IFERROR(__xludf.DUMMYFUNCTION("""COMPUTED_VALUE"""),"=325")</f>
        <v>=325</v>
      </c>
      <c r="T23" s="628" t="str">
        <f ca="1">IFERROR(__xludf.DUMMYFUNCTION("""COMPUTED_VALUE"""),"=550")</f>
        <v>=550</v>
      </c>
      <c r="U23" s="298" t="str">
        <f ca="1">IFERROR(__xludf.DUMMYFUNCTION("""COMPUTED_VALUE"""),"=(30+45*P_Q+0,5*Self_AP+0,7*Self_BoAD)*MOD_Magic")</f>
        <v>=(30+45*P_Q+0,5*Self_AP+0,7*Self_BoAD)*MOD_Magic</v>
      </c>
      <c r="V23" s="299" t="str">
        <f ca="1">IFERROR(__xludf.DUMMYFUNCTION("""COMPUTED_VALUE"""),"=(75+75*P_W+Self_AP)*MOD_Magic")</f>
        <v>=(75+75*P_W+Self_AP)*MOD_Magic</v>
      </c>
      <c r="W23" s="299" t="str">
        <f ca="1">IFERROR(__xludf.DUMMYFUNCTION("""COMPUTED_VALUE"""),"=((70+50*P_E+2,4*Self_BoAD)*MOD_Magic)/2+((70+50*P_E+2,4*Self_BoAD)*MOD_Phys)/2")</f>
        <v>=((70+50*P_E+2,4*Self_BoAD)*MOD_Magic)/2+((70+50*P_E+2,4*Self_BoAD)*MOD_Phys)/2</v>
      </c>
      <c r="X23" s="299" t="str">
        <f ca="1">IFERROR(__xludf.DUMMYFUNCTION("""COMPUTED_VALUE"""),"=(45 + 35 * P_R + 0,12 * Self_AP + (0,3 * P_R - 0,15) * Self_AD) * MOD_Magic * IF(Steroid_R; 2; 1)")</f>
        <v>=(45 + 35 * P_R + 0,12 * Self_AP + (0,3 * P_R - 0,15) * Self_AD) * MOD_Magic * IF(Steroid_R; 2; 1)</v>
      </c>
      <c r="Y23" s="300" t="str">
        <f ca="1">IFERROR(__xludf.DUMMYFUNCTION("""COMPUTED_VALUE"""),"=(0,8*Self_AD)*MOD_Magic")</f>
        <v>=(0,8*Self_AD)*MOD_Magic</v>
      </c>
      <c r="Z23" s="281" t="str">
        <f ca="1">IFERROR(__xludf.DUMMYFUNCTION("""COMPUTED_VALUE"""),"=8")</f>
        <v>=8</v>
      </c>
      <c r="AA23" s="282" t="str">
        <f ca="1">IFERROR(__xludf.DUMMYFUNCTION("""COMPUTED_VALUE"""),"=21-P_W")</f>
        <v>=21-P_W</v>
      </c>
      <c r="AB23" s="282" t="str">
        <f ca="1">IFERROR(__xludf.DUMMYFUNCTION("""COMPUTED_VALUE"""),"=16")</f>
        <v>=16</v>
      </c>
      <c r="AC23" s="282" t="str">
        <f ca="1">IFERROR(__xludf.DUMMYFUNCTION("""COMPUTED_VALUE"""),"=13-P_R")</f>
        <v>=13-P_R</v>
      </c>
      <c r="AD23" s="283" t="str">
        <f ca="1">IFERROR(__xludf.DUMMYFUNCTION("""COMPUTED_VALUE"""),"=240")</f>
        <v>=240</v>
      </c>
      <c r="AE23" s="281" t="b">
        <f ca="1">IFERROR(__xludf.DUMMYFUNCTION("""COMPUTED_VALUE"""),FALSE)</f>
        <v>0</v>
      </c>
      <c r="AF23" s="282" t="str">
        <f ca="1">IFERROR(__xludf.DUMMYFUNCTION("""COMPUTED_VALUE"""),"=Image(""https://ddragon.leagueoflegends.com/cdn/11.19.1/img/champion/Corki.png"")")</f>
        <v>=Image("https://ddragon.leagueoflegends.com/cdn/11.19.1/img/champion/Corki.png")</v>
      </c>
      <c r="AG23" s="282" t="str">
        <f ca="1">IFERROR(__xludf.DUMMYFUNCTION("""COMPUTED_VALUE"""),"=IF(OR(REGEXMATCH(FORMULATEXT(U23);""HMOD"");NOT(P_Q&gt;0));0;U23)+IF(OR(REGEXMATCH(FORMULATEXT(V23);""HMOD"");NOT(P_W&gt;0));0;V23)+IF(OR(REGEXMATCH(FORMULATEXT(W23);""HMOD"");NOT(P_E&gt;0));0;W23)+IF(OR(REGEXMATCH(FORMULATEXT(X23);""HMOD"");NOT(P_R&gt;0));0;X23)+IF"&amp;"(REGEXMATCH(FORMULATEXT(Y23);""HMOD"");0;Y23)+Self_Proc_Item+Self_Proc_Summ+Self_Proc_Rune+3*Self_DPS")</f>
        <v>=IF(OR(REGEXMATCH(FORMULATEXT(U23);"HMOD");NOT(P_Q&gt;0));0;U23)+IF(OR(REGEXMATCH(FORMULATEXT(V23);"HMOD");NOT(P_W&gt;0));0;V23)+IF(OR(REGEXMATCH(FORMULATEXT(W23);"HMOD");NOT(P_E&gt;0));0;W23)+IF(OR(REGEXMATCH(FORMULATEXT(X23);"HMOD");NOT(P_R&gt;0));0;X23)+IF(REGEXMATCH(FORMULATEXT(Y23);"HMOD");0;Y23)+Self_Proc_Item+Self_Proc_Summ+Self_Proc_Rune+3*Self_DPS</v>
      </c>
      <c r="AH23" s="282" t="str">
        <f ca="1">IFERROR(__xludf.DUMMYFUNCTION("""COMPUTED_VALUE"""),"=0")</f>
        <v>=0</v>
      </c>
      <c r="AI23" s="282" t="b">
        <f ca="1">IFERROR(__xludf.DUMMYFUNCTION("""COMPUTED_VALUE"""),FALSE)</f>
        <v>0</v>
      </c>
      <c r="AJ23" s="283" t="b">
        <f ca="1">IFERROR(__xludf.DUMMYFUNCTION("""COMPUTED_VALUE"""),FALSE)</f>
        <v>0</v>
      </c>
    </row>
    <row r="24" spans="1:36">
      <c r="A24" s="267" t="str">
        <f ca="1">IFERROR(__xludf.DUMMYFUNCTION("""COMPUTED_VALUE"""),"Darius")</f>
        <v>Darius</v>
      </c>
      <c r="B24" s="287" t="str">
        <f ca="1">IFERROR(__xludf.DUMMYFUNCTION("""COMPUTED_VALUE"""),"=652")</f>
        <v>=652</v>
      </c>
      <c r="C24" s="287" t="str">
        <f ca="1">IFERROR(__xludf.DUMMYFUNCTION("""COMPUTED_VALUE"""),"=114")</f>
        <v>=114</v>
      </c>
      <c r="D24" s="288" t="str">
        <f ca="1">IFERROR(__xludf.DUMMYFUNCTION("""COMPUTED_VALUE"""),"=10")</f>
        <v>=10</v>
      </c>
      <c r="E24" s="289" t="str">
        <f ca="1">IFERROR(__xludf.DUMMYFUNCTION("""COMPUTED_VALUE"""),"=0,95")</f>
        <v>=0,95</v>
      </c>
      <c r="F24" s="288" t="str">
        <f ca="1">IFERROR(__xludf.DUMMYFUNCTION("""COMPUTED_VALUE"""),"=263")</f>
        <v>=263</v>
      </c>
      <c r="G24" s="288" t="str">
        <f ca="1">IFERROR(__xludf.DUMMYFUNCTION("""COMPUTED_VALUE"""),"=58")</f>
        <v>=58</v>
      </c>
      <c r="H24" s="288" t="str">
        <f ca="1">IFERROR(__xludf.DUMMYFUNCTION("""COMPUTED_VALUE"""),"=6,6")</f>
        <v>=6,6</v>
      </c>
      <c r="I24" s="289" t="str">
        <f ca="1">IFERROR(__xludf.DUMMYFUNCTION("""COMPUTED_VALUE"""),"=0,35")</f>
        <v>=0,35</v>
      </c>
      <c r="J24" s="290" t="str">
        <f ca="1">IFERROR(__xludf.DUMMYFUNCTION("""COMPUTED_VALUE"""),"=64")</f>
        <v>=64</v>
      </c>
      <c r="K24" s="288" t="str">
        <f ca="1">IFERROR(__xludf.DUMMYFUNCTION("""COMPUTED_VALUE"""),"=5")</f>
        <v>=5</v>
      </c>
      <c r="L24" s="291" t="str">
        <f ca="1">IFERROR(__xludf.DUMMYFUNCTION("""COMPUTED_VALUE"""),"=0,625")</f>
        <v>=0,625</v>
      </c>
      <c r="M24" s="291" t="str">
        <f ca="1">IFERROR(__xludf.DUMMYFUNCTION("""COMPUTED_VALUE"""),"=0,625")</f>
        <v>=0,625</v>
      </c>
      <c r="N24" s="292" t="str">
        <f ca="1">IFERROR(__xludf.DUMMYFUNCTION("""COMPUTED_VALUE"""),"=1%")</f>
        <v>=1%</v>
      </c>
      <c r="O24" s="287" t="str">
        <f ca="1">IFERROR(__xludf.DUMMYFUNCTION("""COMPUTED_VALUE"""),"=39")</f>
        <v>=39</v>
      </c>
      <c r="P24" s="287" t="str">
        <f ca="1">IFERROR(__xludf.DUMMYFUNCTION("""COMPUTED_VALUE"""),"=5,2")</f>
        <v>=5,2</v>
      </c>
      <c r="Q24" s="288" t="str">
        <f ca="1">IFERROR(__xludf.DUMMYFUNCTION("""COMPUTED_VALUE"""),"=32")</f>
        <v>=32</v>
      </c>
      <c r="R24" s="289" t="str">
        <f ca="1">IFERROR(__xludf.DUMMYFUNCTION("""COMPUTED_VALUE"""),"=2,05")</f>
        <v>=2,05</v>
      </c>
      <c r="S24" s="287" t="str">
        <f ca="1">IFERROR(__xludf.DUMMYFUNCTION("""COMPUTED_VALUE"""),"=340")</f>
        <v>=340</v>
      </c>
      <c r="T24" s="628" t="str">
        <f ca="1">IFERROR(__xludf.DUMMYFUNCTION("""COMPUTED_VALUE"""),"=175")</f>
        <v>=175</v>
      </c>
      <c r="U24" s="295" t="str">
        <f ca="1">IFERROR(__xludf.DUMMYFUNCTION("""COMPUTED_VALUE"""),"=(20+30*P_Q+(0,9+0,1*P_Q)*Self_AD)*MOD_Phys")</f>
        <v>=(20+30*P_Q+(0,9+0,1*P_Q)*Self_AD)*MOD_Phys</v>
      </c>
      <c r="V24" s="296" t="str">
        <f ca="1">IFERROR(__xludf.DUMMYFUNCTION("""COMPUTED_VALUE"""),"=((1,35+0,05*P_W)*Self_AD)*MOD_Phys")</f>
        <v>=((1,35+0,05*P_W)*Self_AD)*MOD_Phys</v>
      </c>
      <c r="W24" s="296" t="str">
        <f ca="1">IFERROR(__xludf.DUMMYFUNCTION("""COMPUTED_VALUE"""),"=0")</f>
        <v>=0</v>
      </c>
      <c r="X24" s="296" t="str">
        <f ca="1">IFERROR(__xludf.DUMMYFUNCTION("""COMPUTED_VALUE"""),"=(125*P_R+0,75*Self_BoAD)*IF(Steroid_R;2;1)*Calc!O10")</f>
        <v>=(125*P_R+0,75*Self_BoAD)*IF(Steroid_R;2;1)*Calc!O10</v>
      </c>
      <c r="Y24" s="297" t="str">
        <f ca="1">IFERROR(__xludf.DUMMYFUNCTION("""COMPUTED_VALUE"""),"=(12+Self_Level+0,3*Self_BoAD)*MOD_Phys")</f>
        <v>=(12+Self_Level+0,3*Self_BoAD)*MOD_Phys</v>
      </c>
      <c r="Z24" s="281" t="str">
        <f ca="1">IFERROR(__xludf.DUMMYFUNCTION("""COMPUTED_VALUE"""),"=10 - P_Q")</f>
        <v>=10 - P_Q</v>
      </c>
      <c r="AA24" s="282" t="str">
        <f ca="1">IFERROR(__xludf.DUMMYFUNCTION("""COMPUTED_VALUE"""),"=5")</f>
        <v>=5</v>
      </c>
      <c r="AB24" s="282" t="str">
        <f ca="1">IFERROR(__xludf.DUMMYFUNCTION("""COMPUTED_VALUE"""),"=26,5-2,5*P_E")</f>
        <v>=26,5-2,5*P_E</v>
      </c>
      <c r="AC24" s="282" t="str">
        <f ca="1">IFERROR(__xludf.DUMMYFUNCTION("""COMPUTED_VALUE"""),"=140 - 20 * P_R")</f>
        <v>=140 - 20 * P_R</v>
      </c>
      <c r="AD24" s="283" t="str">
        <f ca="1">IFERROR(__xludf.DUMMYFUNCTION("""COMPUTED_VALUE"""),"=1")</f>
        <v>=1</v>
      </c>
      <c r="AE24" s="281" t="b">
        <f ca="1">IFERROR(__xludf.DUMMYFUNCTION("""COMPUTED_VALUE"""),TRUE)</f>
        <v>1</v>
      </c>
      <c r="AF24" s="282" t="str">
        <f ca="1">IFERROR(__xludf.DUMMYFUNCTION("""COMPUTED_VALUE"""),"=Image(""https://ddragon.leagueoflegends.com/cdn/11.19.1/img/champion/Darius.png"")")</f>
        <v>=Image("https://ddragon.leagueoflegends.com/cdn/11.19.1/img/champion/Darius.png")</v>
      </c>
      <c r="AG24" s="282" t="str">
        <f ca="1">IFERROR(__xludf.DUMMYFUNCTION("""COMPUTED_VALUE"""),"=IF(OR(REGEXMATCH(FORMULATEXT(U24);""HMOD"");NOT(P_Q&gt;0));0;U24)+IF(OR(REGEXMATCH(FORMULATEXT(V24);""HMOD"");NOT(P_W&gt;0));0;V24)+IF(OR(REGEXMATCH(FORMULATEXT(W24);""HMOD"");NOT(P_E&gt;0));0;W24)+IF(OR(REGEXMATCH(FORMULATEXT(X24);""HMOD"");NOT(P_R&gt;0));0;X24)+IF"&amp;"(REGEXMATCH(FORMULATEXT(Y24);""HMOD"");0;Y24)+Self_Proc_Item+Self_Proc_Summ+Self_Proc_Rune+3*Self_DPS")</f>
        <v>=IF(OR(REGEXMATCH(FORMULATEXT(U24);"HMOD");NOT(P_Q&gt;0));0;U24)+IF(OR(REGEXMATCH(FORMULATEXT(V24);"HMOD");NOT(P_W&gt;0));0;V24)+IF(OR(REGEXMATCH(FORMULATEXT(W24);"HMOD");NOT(P_E&gt;0));0;W24)+IF(OR(REGEXMATCH(FORMULATEXT(X24);"HMOD");NOT(P_R&gt;0));0;X24)+IF(REGEXMATCH(FORMULATEXT(Y24);"HMOD");0;Y24)+Self_Proc_Item+Self_Proc_Summ+Self_Proc_Rune+3*Self_DPS</v>
      </c>
      <c r="AH24" s="282" t="str">
        <f ca="1">IFERROR(__xludf.DUMMYFUNCTION("""COMPUTED_VALUE"""),"=0")</f>
        <v>=0</v>
      </c>
      <c r="AI24" s="282" t="b">
        <f ca="1">IFERROR(__xludf.DUMMYFUNCTION("""COMPUTED_VALUE"""),FALSE)</f>
        <v>0</v>
      </c>
      <c r="AJ24" s="283" t="b">
        <f ca="1">IFERROR(__xludf.DUMMYFUNCTION("""COMPUTED_VALUE"""),FALSE)</f>
        <v>0</v>
      </c>
    </row>
    <row r="25" spans="1:36">
      <c r="A25" s="267" t="str">
        <f ca="1">IFERROR(__xludf.DUMMYFUNCTION("""COMPUTED_VALUE"""),"Diana")</f>
        <v>Diana</v>
      </c>
      <c r="B25" s="287" t="str">
        <f ca="1">IFERROR(__xludf.DUMMYFUNCTION("""COMPUTED_VALUE"""),"=640")</f>
        <v>=640</v>
      </c>
      <c r="C25" s="287" t="str">
        <f ca="1">IFERROR(__xludf.DUMMYFUNCTION("""COMPUTED_VALUE"""),"=109")</f>
        <v>=109</v>
      </c>
      <c r="D25" s="288" t="str">
        <f ca="1">IFERROR(__xludf.DUMMYFUNCTION("""COMPUTED_VALUE"""),"=6,5")</f>
        <v>=6,5</v>
      </c>
      <c r="E25" s="289" t="str">
        <f ca="1">IFERROR(__xludf.DUMMYFUNCTION("""COMPUTED_VALUE"""),"=0,85")</f>
        <v>=0,85</v>
      </c>
      <c r="F25" s="288" t="str">
        <f ca="1">IFERROR(__xludf.DUMMYFUNCTION("""COMPUTED_VALUE"""),"=375")</f>
        <v>=375</v>
      </c>
      <c r="G25" s="288" t="str">
        <f ca="1">IFERROR(__xludf.DUMMYFUNCTION("""COMPUTED_VALUE"""),"=25")</f>
        <v>=25</v>
      </c>
      <c r="H25" s="288" t="str">
        <f ca="1">IFERROR(__xludf.DUMMYFUNCTION("""COMPUTED_VALUE"""),"=8")</f>
        <v>=8</v>
      </c>
      <c r="I25" s="289" t="str">
        <f ca="1">IFERROR(__xludf.DUMMYFUNCTION("""COMPUTED_VALUE"""),"=0,8")</f>
        <v>=0,8</v>
      </c>
      <c r="J25" s="290" t="str">
        <f ca="1">IFERROR(__xludf.DUMMYFUNCTION("""COMPUTED_VALUE"""),"=57")</f>
        <v>=57</v>
      </c>
      <c r="K25" s="288" t="str">
        <f ca="1">IFERROR(__xludf.DUMMYFUNCTION("""COMPUTED_VALUE"""),"=3")</f>
        <v>=3</v>
      </c>
      <c r="L25" s="291" t="str">
        <f ca="1">IFERROR(__xludf.DUMMYFUNCTION("""COMPUTED_VALUE"""),"=0,625")</f>
        <v>=0,625</v>
      </c>
      <c r="M25" s="291" t="str">
        <f ca="1">IFERROR(__xludf.DUMMYFUNCTION("""COMPUTED_VALUE"""),"=0,625")</f>
        <v>=0,625</v>
      </c>
      <c r="N25" s="292" t="str">
        <f ca="1">IFERROR(__xludf.DUMMYFUNCTION("""COMPUTED_VALUE"""),"=2,25%")</f>
        <v>=2,25%</v>
      </c>
      <c r="O25" s="287" t="str">
        <f ca="1">IFERROR(__xludf.DUMMYFUNCTION("""COMPUTED_VALUE"""),"=31")</f>
        <v>=31</v>
      </c>
      <c r="P25" s="287" t="str">
        <f ca="1">IFERROR(__xludf.DUMMYFUNCTION("""COMPUTED_VALUE"""),"=4,3")</f>
        <v>=4,3</v>
      </c>
      <c r="Q25" s="288" t="str">
        <f ca="1">IFERROR(__xludf.DUMMYFUNCTION("""COMPUTED_VALUE"""),"=32")</f>
        <v>=32</v>
      </c>
      <c r="R25" s="289" t="str">
        <f ca="1">IFERROR(__xludf.DUMMYFUNCTION("""COMPUTED_VALUE"""),"=2,05")</f>
        <v>=2,05</v>
      </c>
      <c r="S25" s="287" t="str">
        <f ca="1">IFERROR(__xludf.DUMMYFUNCTION("""COMPUTED_VALUE"""),"=345")</f>
        <v>=345</v>
      </c>
      <c r="T25" s="628" t="str">
        <f ca="1">IFERROR(__xludf.DUMMYFUNCTION("""COMPUTED_VALUE"""),"=150")</f>
        <v>=150</v>
      </c>
      <c r="U25" s="298" t="str">
        <f ca="1">IFERROR(__xludf.DUMMYFUNCTION("""COMPUTED_VALUE"""),"=(25+35*P_Q+0,7*Self_AP)*MOD_Magic")</f>
        <v>=(25+35*P_Q+0,7*Self_AP)*MOD_Magic</v>
      </c>
      <c r="V25" s="299" t="str">
        <f ca="1">IFERROR(__xludf.DUMMYFUNCTION("""COMPUTED_VALUE"""),"=(18+36*P_W+0,45*Self_AP)*MOD_Magic")</f>
        <v>=(18+36*P_W+0,45*Self_AP)*MOD_Magic</v>
      </c>
      <c r="W25" s="299" t="str">
        <f ca="1">IFERROR(__xludf.DUMMYFUNCTION("""COMPUTED_VALUE"""),"=(30 + 20 * P_E + 0,5 * Self_AP) * MOD_Magic")</f>
        <v>=(30 + 20 * P_E + 0,5 * Self_AP) * MOD_Magic</v>
      </c>
      <c r="X25" s="299" t="str">
        <f ca="1">IFERROR(__xludf.DUMMYFUNCTION("""COMPUTED_VALUE"""),"=(100+100*P_R+0,6*Self_AP+IF(Steroid_R;(0,15*Self_AP+25*P_R+10)*4;0))*MOD_Magic")</f>
        <v>=(100+100*P_R+0,6*Self_AP+IF(Steroid_R;(0,15*Self_AP+25*P_R+10)*4;0))*MOD_Magic</v>
      </c>
      <c r="Y25" s="300" t="str">
        <f ca="1">IFERROR(__xludf.DUMMYFUNCTION("""COMPUTED_VALUE"""),"=(15 + 5 * Self_Level + 5 * MAX(Self_Level - 6; 0) + 5 * MAX(Self_Level - 11; 0) + IF(Self_Level &gt;= 17; (Self_Level-14) * 5; 0) + 0,5 * Self_AP) * MOD_Magic")</f>
        <v>=(15 + 5 * Self_Level + 5 * MAX(Self_Level - 6; 0) + 5 * MAX(Self_Level - 11; 0) + IF(Self_Level &gt;= 17; (Self_Level-14) * 5; 0) + 0,5 * Self_AP) * MOD_Magic</v>
      </c>
      <c r="Z25" s="281" t="str">
        <f ca="1">IFERROR(__xludf.DUMMYFUNCTION("""COMPUTED_VALUE"""),"=8,5-0,5*P_Q")</f>
        <v>=8,5-0,5*P_Q</v>
      </c>
      <c r="AA25" s="282" t="str">
        <f ca="1">IFERROR(__xludf.DUMMYFUNCTION("""COMPUTED_VALUE"""),"=16,5-1,5*P_W")</f>
        <v>=16,5-1,5*P_W</v>
      </c>
      <c r="AB25" s="282" t="str">
        <f ca="1">IFERROR(__xludf.DUMMYFUNCTION("""COMPUTED_VALUE"""),"=24-2*P_E")</f>
        <v>=24-2*P_E</v>
      </c>
      <c r="AC25" s="282" t="str">
        <f ca="1">IFERROR(__xludf.DUMMYFUNCTION("""COMPUTED_VALUE"""),"=110-P_R*10")</f>
        <v>=110-P_R*10</v>
      </c>
      <c r="AD25" s="283" t="str">
        <f ca="1">IFERROR(__xludf.DUMMYFUNCTION("""COMPUTED_VALUE"""),"=1")</f>
        <v>=1</v>
      </c>
      <c r="AE25" s="281" t="b">
        <f ca="1">IFERROR(__xludf.DUMMYFUNCTION("""COMPUTED_VALUE"""),TRUE)</f>
        <v>1</v>
      </c>
      <c r="AF25" s="282" t="str">
        <f ca="1">IFERROR(__xludf.DUMMYFUNCTION("""COMPUTED_VALUE"""),"=Image(""https://ddragon.leagueoflegends.com/cdn/11.19.1/img/champion/Diana.png"")")</f>
        <v>=Image("https://ddragon.leagueoflegends.com/cdn/11.19.1/img/champion/Diana.png")</v>
      </c>
      <c r="AG25" s="282" t="str">
        <f ca="1">IFERROR(__xludf.DUMMYFUNCTION("""COMPUTED_VALUE"""),"=IF(OR(REGEXMATCH(FORMULATEXT(U25);""HMOD"");NOT(P_Q&gt;0));0;U25)+IF(OR(REGEXMATCH(FORMULATEXT(V25);""HMOD"");NOT(P_W&gt;0));0;V25)+IF(OR(REGEXMATCH(FORMULATEXT(W25);""HMOD"");NOT(P_E&gt;0));0;W25)+IF(OR(REGEXMATCH(FORMULATEXT(X25);""HMOD"");NOT(P_R&gt;0));0;X25)+IF"&amp;"(REGEXMATCH(FORMULATEXT(Y25);""HMOD"");0;Y25)+Self_Proc_Item+Self_Proc_Summ+Self_Proc_Rune+3*Self_DPS")</f>
        <v>=IF(OR(REGEXMATCH(FORMULATEXT(U25);"HMOD");NOT(P_Q&gt;0));0;U25)+IF(OR(REGEXMATCH(FORMULATEXT(V25);"HMOD");NOT(P_W&gt;0));0;V25)+IF(OR(REGEXMATCH(FORMULATEXT(W25);"HMOD");NOT(P_E&gt;0));0;W25)+IF(OR(REGEXMATCH(FORMULATEXT(X25);"HMOD");NOT(P_R&gt;0));0;X25)+IF(REGEXMATCH(FORMULATEXT(Y25);"HMOD");0;Y25)+Self_Proc_Item+Self_Proc_Summ+Self_Proc_Rune+3*Self_DPS</v>
      </c>
      <c r="AH25" s="282" t="str">
        <f ca="1">IFERROR(__xludf.DUMMYFUNCTION("""COMPUTED_VALUE"""),"=0")</f>
        <v>=0</v>
      </c>
      <c r="AI25" s="282" t="b">
        <f ca="1">IFERROR(__xludf.DUMMYFUNCTION("""COMPUTED_VALUE"""),FALSE)</f>
        <v>0</v>
      </c>
      <c r="AJ25" s="283" t="b">
        <f ca="1">IFERROR(__xludf.DUMMYFUNCTION("""COMPUTED_VALUE"""),FALSE)</f>
        <v>0</v>
      </c>
    </row>
    <row r="26" spans="1:36">
      <c r="A26" s="267" t="str">
        <f ca="1">IFERROR(__xludf.DUMMYFUNCTION("""COMPUTED_VALUE"""),"Dr, Mundo")</f>
        <v>Dr, Mundo</v>
      </c>
      <c r="B26" s="287" t="str">
        <f ca="1">IFERROR(__xludf.DUMMYFUNCTION("""COMPUTED_VALUE"""),"=613")</f>
        <v>=613</v>
      </c>
      <c r="C26" s="287" t="str">
        <f ca="1">IFERROR(__xludf.DUMMYFUNCTION("""COMPUTED_VALUE"""),"=103")</f>
        <v>=103</v>
      </c>
      <c r="D26" s="288" t="str">
        <f ca="1">IFERROR(__xludf.DUMMYFUNCTION("""COMPUTED_VALUE"""),"=7")</f>
        <v>=7</v>
      </c>
      <c r="E26" s="289" t="str">
        <f ca="1">IFERROR(__xludf.DUMMYFUNCTION("""COMPUTED_VALUE"""),"=0,5")</f>
        <v>=0,5</v>
      </c>
      <c r="F26" s="288" t="str">
        <f ca="1">IFERROR(__xludf.DUMMYFUNCTION("""COMPUTED_VALUE"""),"=0")</f>
        <v>=0</v>
      </c>
      <c r="G26" s="288" t="str">
        <f ca="1">IFERROR(__xludf.DUMMYFUNCTION("""COMPUTED_VALUE"""),"=0")</f>
        <v>=0</v>
      </c>
      <c r="H26" s="288" t="str">
        <f ca="1">IFERROR(__xludf.DUMMYFUNCTION("""COMPUTED_VALUE"""),"=0")</f>
        <v>=0</v>
      </c>
      <c r="I26" s="289" t="str">
        <f ca="1">IFERROR(__xludf.DUMMYFUNCTION("""COMPUTED_VALUE"""),"=0")</f>
        <v>=0</v>
      </c>
      <c r="J26" s="290" t="str">
        <f ca="1">IFERROR(__xludf.DUMMYFUNCTION("""COMPUTED_VALUE"""),"=61")</f>
        <v>=61</v>
      </c>
      <c r="K26" s="288" t="str">
        <f ca="1">IFERROR(__xludf.DUMMYFUNCTION("""COMPUTED_VALUE"""),"=3,5")</f>
        <v>=3,5</v>
      </c>
      <c r="L26" s="291" t="str">
        <f ca="1">IFERROR(__xludf.DUMMYFUNCTION("""COMPUTED_VALUE"""),"=0,67")</f>
        <v>=0,67</v>
      </c>
      <c r="M26" s="291" t="str">
        <f ca="1">IFERROR(__xludf.DUMMYFUNCTION("""COMPUTED_VALUE"""),"=0,625")</f>
        <v>=0,625</v>
      </c>
      <c r="N26" s="292" t="str">
        <f ca="1">IFERROR(__xludf.DUMMYFUNCTION("""COMPUTED_VALUE"""),"=2,5%")</f>
        <v>=2,5%</v>
      </c>
      <c r="O26" s="287" t="str">
        <f ca="1">IFERROR(__xludf.DUMMYFUNCTION("""COMPUTED_VALUE"""),"=32")</f>
        <v>=32</v>
      </c>
      <c r="P26" s="287" t="str">
        <f ca="1">IFERROR(__xludf.DUMMYFUNCTION("""COMPUTED_VALUE"""),"=3,7")</f>
        <v>=3,7</v>
      </c>
      <c r="Q26" s="288" t="str">
        <f ca="1">IFERROR(__xludf.DUMMYFUNCTION("""COMPUTED_VALUE"""),"=29")</f>
        <v>=29</v>
      </c>
      <c r="R26" s="289" t="str">
        <f ca="1">IFERROR(__xludf.DUMMYFUNCTION("""COMPUTED_VALUE"""),"=2,3")</f>
        <v>=2,3</v>
      </c>
      <c r="S26" s="287" t="str">
        <f ca="1">IFERROR(__xludf.DUMMYFUNCTION("""COMPUTED_VALUE"""),"=345")</f>
        <v>=345</v>
      </c>
      <c r="T26" s="628" t="str">
        <f ca="1">IFERROR(__xludf.DUMMYFUNCTION("""COMPUTED_VALUE"""),"=125")</f>
        <v>=125</v>
      </c>
      <c r="U26" s="295" t="str">
        <f ca="1">IFERROR(__xludf.DUMMYFUNCTION("""COMPUTED_VALUE"""),"=MAX((0,175 + 0,025 * P_Q) * E_CHPV; 30 + 50 * P_Q)*MOD_Magic")</f>
        <v>=MAX((0,175 + 0,025 * P_Q) * E_CHPV; 30 + 50 * P_Q)*MOD_Magic</v>
      </c>
      <c r="V26" s="296" t="str">
        <f ca="1">IFERROR(__xludf.DUMMYFUNCTION("""COMPUTED_VALUE"""),"=(25 + 75 * P_W + 0,07 * Self_BoHP) * MOD_Magic")</f>
        <v>=(25 + 75 * P_W + 0,07 * Self_BoHP) * MOD_Magic</v>
      </c>
      <c r="W26" s="296" t="str">
        <f ca="1">IFERROR(__xludf.DUMMYFUNCTION("""COMPUTED_VALUE"""),"=(-5 + 10 * P_E + 0,07 * Self_BoHP) * MOD_Phys * (1 + 0,6 - (MAX(60 ; Self_CHPP) - 60) / 66)")</f>
        <v>=(-5 + 10 * P_E + 0,07 * Self_BoHP) * MOD_Phys * (1 + 0,6 - (MAX(60 ; Self_CHPP) - 60) / 66)</v>
      </c>
      <c r="X26" s="296" t="str">
        <f ca="1">IFERROR(__xludf.DUMMYFUNCTION("""COMPUTED_VALUE"""),"=((0,2 * P_R) * Self_MHP) * MOD_SelfHeal * IF(Steroid_R; 1,25;1)")</f>
        <v>=((0,2 * P_R) * Self_MHP) * MOD_SelfHeal * IF(Steroid_R; 1,25;1)</v>
      </c>
      <c r="Y26" s="297" t="str">
        <f ca="1">IFERROR(__xludf.DUMMYFUNCTION("""COMPUTED_VALUE"""),"=0,04 * Self_MHP * MOD_SelfHeal")</f>
        <v>=0,04 * Self_MHP * MOD_SelfHeal</v>
      </c>
      <c r="Z26" s="281" t="str">
        <f ca="1">IFERROR(__xludf.DUMMYFUNCTION("""COMPUTED_VALUE"""),"=4")</f>
        <v>=4</v>
      </c>
      <c r="AA26" s="282" t="str">
        <f ca="1">IFERROR(__xludf.DUMMYFUNCTION("""COMPUTED_VALUE"""),"=17,5 - 0,5 * P_W")</f>
        <v>=17,5 - 0,5 * P_W</v>
      </c>
      <c r="AB26" s="282" t="str">
        <f ca="1">IFERROR(__xludf.DUMMYFUNCTION("""COMPUTED_VALUE"""),"=9,75-0,75*P_E")</f>
        <v>=9,75-0,75*P_E</v>
      </c>
      <c r="AC26" s="282" t="str">
        <f ca="1">IFERROR(__xludf.DUMMYFUNCTION("""COMPUTED_VALUE"""),"=120")</f>
        <v>=120</v>
      </c>
      <c r="AD26" s="283" t="str">
        <f ca="1">IFERROR(__xludf.DUMMYFUNCTION("""COMPUTED_VALUE"""),"=IF(Self_Level &gt;= 16; 15; IF(Self_Level &gt;= 13; 20; IF(Self_Level &gt;= 11; 30; IF(Self_Level &gt;= 8; 30; 60 - 10 * ROUNDDOWN(Self_Level / 3)))))")</f>
        <v>=IF(Self_Level &gt;= 16; 15; IF(Self_Level &gt;= 13; 20; IF(Self_Level &gt;= 11; 30; IF(Self_Level &gt;= 8; 30; 60 - 10 * ROUNDDOWN(Self_Level / 3)))))</v>
      </c>
      <c r="AE26" s="281" t="b">
        <f ca="1">IFERROR(__xludf.DUMMYFUNCTION("""COMPUTED_VALUE"""),TRUE)</f>
        <v>1</v>
      </c>
      <c r="AF26" s="282" t="str">
        <f ca="1">IFERROR(__xludf.DUMMYFUNCTION("""COMPUTED_VALUE"""),"=Image(""https://ddragon.leagueoflegends.com/cdn/11.19.1/img/champion/DrMundo.png"")")</f>
        <v>=Image("https://ddragon.leagueoflegends.com/cdn/11.19.1/img/champion/DrMundo.png")</v>
      </c>
      <c r="AG26" s="282" t="str">
        <f ca="1">IFERROR(__xludf.DUMMYFUNCTION("""COMPUTED_VALUE"""),"=IF(OR(REGEXMATCH(FORMULATEXT(U26);""HMOD"");NOT(P_Q&gt;0));0;U26)+IF(OR(REGEXMATCH(FORMULATEXT(V26);""HMOD"");NOT(P_W&gt;0));0;V26)+IF(OR(REGEXMATCH(FORMULATEXT(W26);""HMOD"");NOT(P_E&gt;0));0;W26)+IF(OR(REGEXMATCH(FORMULATEXT(X26);""HMOD"");NOT(P_R&gt;0));0;X26)+IF"&amp;"(REGEXMATCH(FORMULATEXT(Y26);""HMOD"");0;Y26)+Self_Proc_Item+Self_Proc_Summ+Self_Proc_Rune+3*Self_DPS")</f>
        <v>=IF(OR(REGEXMATCH(FORMULATEXT(U26);"HMOD");NOT(P_Q&gt;0));0;U26)+IF(OR(REGEXMATCH(FORMULATEXT(V26);"HMOD");NOT(P_W&gt;0));0;V26)+IF(OR(REGEXMATCH(FORMULATEXT(W26);"HMOD");NOT(P_E&gt;0));0;W26)+IF(OR(REGEXMATCH(FORMULATEXT(X26);"HMOD");NOT(P_R&gt;0));0;X26)+IF(REGEXMATCH(FORMULATEXT(Y26);"HMOD");0;Y26)+Self_Proc_Item+Self_Proc_Summ+Self_Proc_Rune+3*Self_DPS</v>
      </c>
      <c r="AH26" s="282" t="str">
        <f ca="1">IFERROR(__xludf.DUMMYFUNCTION("""COMPUTED_VALUE"""),"=0")</f>
        <v>=0</v>
      </c>
      <c r="AI26" s="282" t="b">
        <f ca="1">IFERROR(__xludf.DUMMYFUNCTION("""COMPUTED_VALUE"""),FALSE)</f>
        <v>0</v>
      </c>
      <c r="AJ26" s="283" t="b">
        <f ca="1">IFERROR(__xludf.DUMMYFUNCTION("""COMPUTED_VALUE"""),TRUE)</f>
        <v>1</v>
      </c>
    </row>
    <row r="27" spans="1:36">
      <c r="A27" s="267" t="str">
        <f ca="1">IFERROR(__xludf.DUMMYFUNCTION("""COMPUTED_VALUE"""),"Draven")</f>
        <v>Draven</v>
      </c>
      <c r="B27" s="287" t="str">
        <f ca="1">IFERROR(__xludf.DUMMYFUNCTION("""COMPUTED_VALUE"""),"=675")</f>
        <v>=675</v>
      </c>
      <c r="C27" s="287" t="str">
        <f ca="1">IFERROR(__xludf.DUMMYFUNCTION("""COMPUTED_VALUE"""),"=104")</f>
        <v>=104</v>
      </c>
      <c r="D27" s="288" t="str">
        <f ca="1">IFERROR(__xludf.DUMMYFUNCTION("""COMPUTED_VALUE"""),"=3,75")</f>
        <v>=3,75</v>
      </c>
      <c r="E27" s="289" t="str">
        <f ca="1">IFERROR(__xludf.DUMMYFUNCTION("""COMPUTED_VALUE"""),"=0,7")</f>
        <v>=0,7</v>
      </c>
      <c r="F27" s="288" t="str">
        <f ca="1">IFERROR(__xludf.DUMMYFUNCTION("""COMPUTED_VALUE"""),"=361")</f>
        <v>=361</v>
      </c>
      <c r="G27" s="288" t="str">
        <f ca="1">IFERROR(__xludf.DUMMYFUNCTION("""COMPUTED_VALUE"""),"=39")</f>
        <v>=39</v>
      </c>
      <c r="H27" s="288" t="str">
        <f ca="1">IFERROR(__xludf.DUMMYFUNCTION("""COMPUTED_VALUE"""),"=8")</f>
        <v>=8</v>
      </c>
      <c r="I27" s="289" t="str">
        <f ca="1">IFERROR(__xludf.DUMMYFUNCTION("""COMPUTED_VALUE"""),"=0,65")</f>
        <v>=0,65</v>
      </c>
      <c r="J27" s="290" t="str">
        <f ca="1">IFERROR(__xludf.DUMMYFUNCTION("""COMPUTED_VALUE"""),"=62")</f>
        <v>=62</v>
      </c>
      <c r="K27" s="288" t="str">
        <f ca="1">IFERROR(__xludf.DUMMYFUNCTION("""COMPUTED_VALUE"""),"=3,61")</f>
        <v>=3,61</v>
      </c>
      <c r="L27" s="291" t="str">
        <f ca="1">IFERROR(__xludf.DUMMYFUNCTION("""COMPUTED_VALUE"""),"=0,679")</f>
        <v>=0,679</v>
      </c>
      <c r="M27" s="291" t="str">
        <f ca="1">IFERROR(__xludf.DUMMYFUNCTION("""COMPUTED_VALUE"""),"=0,679")</f>
        <v>=0,679</v>
      </c>
      <c r="N27" s="292" t="str">
        <f ca="1">IFERROR(__xludf.DUMMYFUNCTION("""COMPUTED_VALUE"""),"=2,7%")</f>
        <v>=2,7%</v>
      </c>
      <c r="O27" s="287" t="str">
        <f ca="1">IFERROR(__xludf.DUMMYFUNCTION("""COMPUTED_VALUE"""),"=29")</f>
        <v>=29</v>
      </c>
      <c r="P27" s="287" t="str">
        <f ca="1">IFERROR(__xludf.DUMMYFUNCTION("""COMPUTED_VALUE"""),"=4,5")</f>
        <v>=4,5</v>
      </c>
      <c r="Q27" s="288" t="str">
        <f ca="1">IFERROR(__xludf.DUMMYFUNCTION("""COMPUTED_VALUE"""),"=30")</f>
        <v>=30</v>
      </c>
      <c r="R27" s="289" t="str">
        <f ca="1">IFERROR(__xludf.DUMMYFUNCTION("""COMPUTED_VALUE"""),"=1,3")</f>
        <v>=1,3</v>
      </c>
      <c r="S27" s="287" t="str">
        <f ca="1">IFERROR(__xludf.DUMMYFUNCTION("""COMPUTED_VALUE"""),"=330")</f>
        <v>=330</v>
      </c>
      <c r="T27" s="628" t="str">
        <f ca="1">IFERROR(__xludf.DUMMYFUNCTION("""COMPUTED_VALUE"""),"=550")</f>
        <v>=550</v>
      </c>
      <c r="U27" s="298" t="str">
        <f ca="1">IFERROR(__xludf.DUMMYFUNCTION("""COMPUTED_VALUE"""),"=(35 + 5 * P_Q + (0,65 + 0,1 * P_Q) * Self_BoAD) * MOD_Phys")</f>
        <v>=(35 + 5 * P_Q + (0,65 + 0,1 * P_Q) * Self_BoAD) * MOD_Phys</v>
      </c>
      <c r="V27" s="299" t="str">
        <f ca="1">IFERROR(__xludf.DUMMYFUNCTION("""COMPUTED_VALUE"""),"=0")</f>
        <v>=0</v>
      </c>
      <c r="W27" s="299" t="str">
        <f ca="1">IFERROR(__xludf.DUMMYFUNCTION("""COMPUTED_VALUE"""),"=(40+35*P_E+0,5*Self_BoAD)*MOD_Phys")</f>
        <v>=(40+35*P_E+0,5*Self_BoAD)*MOD_Phys</v>
      </c>
      <c r="X27" s="299" t="str">
        <f ca="1">IFERROR(__xludf.DUMMYFUNCTION("""COMPUTED_VALUE"""),"=(75+100*P_R+(0,9+0,2*P_R)*Self_BoAD)*MOD_Phys")</f>
        <v>=(75+100*P_R+(0,9+0,2*P_R)*Self_BoAD)*MOD_Phys</v>
      </c>
      <c r="Y27" s="300" t="str">
        <f ca="1">IFERROR(__xludf.DUMMYFUNCTION("""COMPUTED_VALUE"""),"=0")</f>
        <v>=0</v>
      </c>
      <c r="Z27" s="281" t="str">
        <f ca="1">IFERROR(__xludf.DUMMYFUNCTION("""COMPUTED_VALUE"""),"=13-P_Q")</f>
        <v>=13-P_Q</v>
      </c>
      <c r="AA27" s="282" t="str">
        <f ca="1">IFERROR(__xludf.DUMMYFUNCTION("""COMPUTED_VALUE"""),"=12")</f>
        <v>=12</v>
      </c>
      <c r="AB27" s="282" t="str">
        <f ca="1">IFERROR(__xludf.DUMMYFUNCTION("""COMPUTED_VALUE"""),"=19-P_E")</f>
        <v>=19-P_E</v>
      </c>
      <c r="AC27" s="282" t="str">
        <f ca="1">IFERROR(__xludf.DUMMYFUNCTION("""COMPUTED_VALUE"""),"=140 - 20 * P_R")</f>
        <v>=140 - 20 * P_R</v>
      </c>
      <c r="AD27" s="283" t="str">
        <f ca="1">IFERROR(__xludf.DUMMYFUNCTION("""COMPUTED_VALUE"""),"=1")</f>
        <v>=1</v>
      </c>
      <c r="AE27" s="281" t="b">
        <f ca="1">IFERROR(__xludf.DUMMYFUNCTION("""COMPUTED_VALUE"""),FALSE)</f>
        <v>0</v>
      </c>
      <c r="AF27" s="282" t="str">
        <f ca="1">IFERROR(__xludf.DUMMYFUNCTION("""COMPUTED_VALUE"""),"=Image(""https://ddragon.leagueoflegends.com/cdn/11.19.1/img/champion/Draven.png"")")</f>
        <v>=Image("https://ddragon.leagueoflegends.com/cdn/11.19.1/img/champion/Draven.png")</v>
      </c>
      <c r="AG27" s="282" t="str">
        <f ca="1">IFERROR(__xludf.DUMMYFUNCTION("""COMPUTED_VALUE"""),"=IF(OR(REGEXMATCH(FORMULATEXT(U27);""HMOD"");NOT(P_Q&gt;0));0;U27)+IF(OR(REGEXMATCH(FORMULATEXT(V27);""HMOD"");NOT(P_W&gt;0));0;V27)+IF(OR(REGEXMATCH(FORMULATEXT(W27);""HMOD"");NOT(P_E&gt;0));0;W27)+IF(OR(REGEXMATCH(FORMULATEXT(X27);""HMOD"");NOT(P_R&gt;0));0;X27)+IF"&amp;"(REGEXMATCH(FORMULATEXT(Y27);""HMOD"");0;Y27)+Self_Proc_Item+Self_Proc_Summ+Self_Proc_Rune+3*Self_DPS")</f>
        <v>=IF(OR(REGEXMATCH(FORMULATEXT(U27);"HMOD");NOT(P_Q&gt;0));0;U27)+IF(OR(REGEXMATCH(FORMULATEXT(V27);"HMOD");NOT(P_W&gt;0));0;V27)+IF(OR(REGEXMATCH(FORMULATEXT(W27);"HMOD");NOT(P_E&gt;0));0;W27)+IF(OR(REGEXMATCH(FORMULATEXT(X27);"HMOD");NOT(P_R&gt;0));0;X27)+IF(REGEXMATCH(FORMULATEXT(Y27);"HMOD");0;Y27)+Self_Proc_Item+Self_Proc_Summ+Self_Proc_Rune+3*Self_DPS</v>
      </c>
      <c r="AH27" s="282" t="str">
        <f ca="1">IFERROR(__xludf.DUMMYFUNCTION("""COMPUTED_VALUE"""),"=0")</f>
        <v>=0</v>
      </c>
      <c r="AI27" s="282" t="b">
        <f ca="1">IFERROR(__xludf.DUMMYFUNCTION("""COMPUTED_VALUE"""),FALSE)</f>
        <v>0</v>
      </c>
      <c r="AJ27" s="283" t="b">
        <f ca="1">IFERROR(__xludf.DUMMYFUNCTION("""COMPUTED_VALUE"""),FALSE)</f>
        <v>0</v>
      </c>
    </row>
    <row r="28" spans="1:36">
      <c r="A28" s="267" t="str">
        <f ca="1">IFERROR(__xludf.DUMMYFUNCTION("""COMPUTED_VALUE"""),"Ekko")</f>
        <v>Ekko</v>
      </c>
      <c r="B28" s="287" t="str">
        <f ca="1">IFERROR(__xludf.DUMMYFUNCTION("""COMPUTED_VALUE"""),"=655")</f>
        <v>=655</v>
      </c>
      <c r="C28" s="287" t="str">
        <f ca="1">IFERROR(__xludf.DUMMYFUNCTION("""COMPUTED_VALUE"""),"=99")</f>
        <v>=99</v>
      </c>
      <c r="D28" s="288" t="str">
        <f ca="1">IFERROR(__xludf.DUMMYFUNCTION("""COMPUTED_VALUE"""),"=9")</f>
        <v>=9</v>
      </c>
      <c r="E28" s="289" t="str">
        <f ca="1">IFERROR(__xludf.DUMMYFUNCTION("""COMPUTED_VALUE"""),"=0,9")</f>
        <v>=0,9</v>
      </c>
      <c r="F28" s="288" t="str">
        <f ca="1">IFERROR(__xludf.DUMMYFUNCTION("""COMPUTED_VALUE"""),"=280")</f>
        <v>=280</v>
      </c>
      <c r="G28" s="288" t="str">
        <f ca="1">IFERROR(__xludf.DUMMYFUNCTION("""COMPUTED_VALUE"""),"=70")</f>
        <v>=70</v>
      </c>
      <c r="H28" s="288" t="str">
        <f ca="1">IFERROR(__xludf.DUMMYFUNCTION("""COMPUTED_VALUE"""),"=7")</f>
        <v>=7</v>
      </c>
      <c r="I28" s="289" t="str">
        <f ca="1">IFERROR(__xludf.DUMMYFUNCTION("""COMPUTED_VALUE"""),"=0,8")</f>
        <v>=0,8</v>
      </c>
      <c r="J28" s="290" t="str">
        <f ca="1">IFERROR(__xludf.DUMMYFUNCTION("""COMPUTED_VALUE"""),"=58")</f>
        <v>=58</v>
      </c>
      <c r="K28" s="288" t="str">
        <f ca="1">IFERROR(__xludf.DUMMYFUNCTION("""COMPUTED_VALUE"""),"=3")</f>
        <v>=3</v>
      </c>
      <c r="L28" s="291" t="str">
        <f ca="1">IFERROR(__xludf.DUMMYFUNCTION("""COMPUTED_VALUE"""),"=0,688")</f>
        <v>=0,688</v>
      </c>
      <c r="M28" s="291" t="str">
        <f ca="1">IFERROR(__xludf.DUMMYFUNCTION("""COMPUTED_VALUE"""),"=0,625")</f>
        <v>=0,625</v>
      </c>
      <c r="N28" s="292" t="str">
        <f ca="1">IFERROR(__xludf.DUMMYFUNCTION("""COMPUTED_VALUE"""),"=3,3%")</f>
        <v>=3,3%</v>
      </c>
      <c r="O28" s="287" t="str">
        <f ca="1">IFERROR(__xludf.DUMMYFUNCTION("""COMPUTED_VALUE"""),"=32")</f>
        <v>=32</v>
      </c>
      <c r="P28" s="287" t="str">
        <f ca="1">IFERROR(__xludf.DUMMYFUNCTION("""COMPUTED_VALUE"""),"=4,2")</f>
        <v>=4,2</v>
      </c>
      <c r="Q28" s="288" t="str">
        <f ca="1">IFERROR(__xludf.DUMMYFUNCTION("""COMPUTED_VALUE"""),"=32")</f>
        <v>=32</v>
      </c>
      <c r="R28" s="289" t="str">
        <f ca="1">IFERROR(__xludf.DUMMYFUNCTION("""COMPUTED_VALUE"""),"=2,05")</f>
        <v>=2,05</v>
      </c>
      <c r="S28" s="287" t="str">
        <f ca="1">IFERROR(__xludf.DUMMYFUNCTION("""COMPUTED_VALUE"""),"=340")</f>
        <v>=340</v>
      </c>
      <c r="T28" s="628" t="str">
        <f ca="1">IFERROR(__xludf.DUMMYFUNCTION("""COMPUTED_VALUE"""),"=125")</f>
        <v>=125</v>
      </c>
      <c r="U28" s="295" t="str">
        <f ca="1">IFERROR(__xludf.DUMMYFUNCTION("""COMPUTED_VALUE"""),"=(60+40*P_Q+0,9*Self_AP)*MOD_Magic")</f>
        <v>=(60+40*P_Q+0,9*Self_AP)*MOD_Magic</v>
      </c>
      <c r="V28" s="296" t="str">
        <f ca="1">IFERROR(__xludf.DUMMYFUNCTION("""COMPUTED_VALUE"""),"=(60+20*P_W+1,5*Self_AP)*MOD_Magic")</f>
        <v>=(60+20*P_W+1,5*Self_AP)*MOD_Magic</v>
      </c>
      <c r="W28" s="296" t="str">
        <f ca="1">IFERROR(__xludf.DUMMYFUNCTION("""COMPUTED_VALUE"""),"=(25+25*P_E+0,4*Self_AP)*MOD_Magic")</f>
        <v>=(25+25*P_E+0,4*Self_AP)*MOD_Magic</v>
      </c>
      <c r="X28" s="296" t="str">
        <f ca="1">IFERROR(__xludf.DUMMYFUNCTION("""COMPUTED_VALUE"""),"=(150 * P_R + 1,75 * Self_AP + 50)*MOD_Magic")</f>
        <v>=(150 * P_R + 1,75 * Self_AP + 50)*MOD_Magic</v>
      </c>
      <c r="Y28" s="297" t="str">
        <f ca="1">IFERROR(__xludf.DUMMYFUNCTION("""COMPUTED_VALUE"""),"=(20 + 10 * Self_Level - MAX(5 * (Self_Level - 6); 0) + 0,9 * Self_AP) * MOD_Magic")</f>
        <v>=(20 + 10 * Self_Level - MAX(5 * (Self_Level - 6); 0) + 0,9 * Self_AP) * MOD_Magic</v>
      </c>
      <c r="Z28" s="281" t="str">
        <f ca="1">IFERROR(__xludf.DUMMYFUNCTION("""COMPUTED_VALUE"""),"=9,5-0,5*P_Q")</f>
        <v>=9,5-0,5*P_Q</v>
      </c>
      <c r="AA28" s="282" t="str">
        <f ca="1">IFERROR(__xludf.DUMMYFUNCTION("""COMPUTED_VALUE"""),"=24-2*P_W")</f>
        <v>=24-2*P_W</v>
      </c>
      <c r="AB28" s="282" t="str">
        <f ca="1">IFERROR(__xludf.DUMMYFUNCTION("""COMPUTED_VALUE"""),"=9,5-0,5*P_E")</f>
        <v>=9,5-0,5*P_E</v>
      </c>
      <c r="AC28" s="282" t="str">
        <f ca="1">IFERROR(__xludf.DUMMYFUNCTION("""COMPUTED_VALUE"""),"=140-30*P_R")</f>
        <v>=140-30*P_R</v>
      </c>
      <c r="AD28" s="283" t="str">
        <f ca="1">IFERROR(__xludf.DUMMYFUNCTION("""COMPUTED_VALUE"""),"=5")</f>
        <v>=5</v>
      </c>
      <c r="AE28" s="281" t="b">
        <f ca="1">IFERROR(__xludf.DUMMYFUNCTION("""COMPUTED_VALUE"""),TRUE)</f>
        <v>1</v>
      </c>
      <c r="AF28" s="282" t="str">
        <f ca="1">IFERROR(__xludf.DUMMYFUNCTION("""COMPUTED_VALUE"""),"=Image(""https://ddragon.leagueoflegends.com/cdn/11.19.1/img/champion/Ekko.png"")")</f>
        <v>=Image("https://ddragon.leagueoflegends.com/cdn/11.19.1/img/champion/Ekko.png")</v>
      </c>
      <c r="AG28" s="282" t="str">
        <f ca="1">IFERROR(__xludf.DUMMYFUNCTION("""COMPUTED_VALUE"""),"=IF(OR(REGEXMATCH(FORMULATEXT(U28);""HMOD"");NOT(P_Q&gt;0));0;U28)+IF(OR(REGEXMATCH(FORMULATEXT(V28);""HMOD"");NOT(P_W&gt;0));0;V28)+IF(OR(REGEXMATCH(FORMULATEXT(W28);""HMOD"");NOT(P_E&gt;0));0;W28)+IF(OR(REGEXMATCH(FORMULATEXT(X28);""HMOD"");NOT(P_R&gt;0));0;X28)+IF"&amp;"(REGEXMATCH(FORMULATEXT(Y28);""HMOD"");0;Y28)+Self_Proc_Item+Self_Proc_Summ+Self_Proc_Rune+3*Self_DPS")</f>
        <v>=IF(OR(REGEXMATCH(FORMULATEXT(U28);"HMOD");NOT(P_Q&gt;0));0;U28)+IF(OR(REGEXMATCH(FORMULATEXT(V28);"HMOD");NOT(P_W&gt;0));0;V28)+IF(OR(REGEXMATCH(FORMULATEXT(W28);"HMOD");NOT(P_E&gt;0));0;W28)+IF(OR(REGEXMATCH(FORMULATEXT(X28);"HMOD");NOT(P_R&gt;0));0;X28)+IF(REGEXMATCH(FORMULATEXT(Y28);"HMOD");0;Y28)+Self_Proc_Item+Self_Proc_Summ+Self_Proc_Rune+3*Self_DPS</v>
      </c>
      <c r="AH28" s="282" t="str">
        <f ca="1">IFERROR(__xludf.DUMMYFUNCTION("""COMPUTED_VALUE"""),"=0")</f>
        <v>=0</v>
      </c>
      <c r="AI28" s="282" t="b">
        <f ca="1">IFERROR(__xludf.DUMMYFUNCTION("""COMPUTED_VALUE"""),FALSE)</f>
        <v>0</v>
      </c>
      <c r="AJ28" s="283" t="b">
        <f ca="1">IFERROR(__xludf.DUMMYFUNCTION("""COMPUTED_VALUE"""),FALSE)</f>
        <v>0</v>
      </c>
    </row>
    <row r="29" spans="1:36">
      <c r="A29" s="267" t="str">
        <f ca="1">IFERROR(__xludf.DUMMYFUNCTION("""COMPUTED_VALUE"""),"Elise")</f>
        <v>Elise</v>
      </c>
      <c r="B29" s="287" t="str">
        <f ca="1">IFERROR(__xludf.DUMMYFUNCTION("""COMPUTED_VALUE"""),"=650")</f>
        <v>=650</v>
      </c>
      <c r="C29" s="287" t="str">
        <f ca="1">IFERROR(__xludf.DUMMYFUNCTION("""COMPUTED_VALUE"""),"=109")</f>
        <v>=109</v>
      </c>
      <c r="D29" s="288" t="str">
        <f ca="1">IFERROR(__xludf.DUMMYFUNCTION("""COMPUTED_VALUE"""),"=5,5")</f>
        <v>=5,5</v>
      </c>
      <c r="E29" s="289" t="str">
        <f ca="1">IFERROR(__xludf.DUMMYFUNCTION("""COMPUTED_VALUE"""),"=0,6")</f>
        <v>=0,6</v>
      </c>
      <c r="F29" s="288" t="str">
        <f ca="1">IFERROR(__xludf.DUMMYFUNCTION("""COMPUTED_VALUE"""),"=324")</f>
        <v>=324</v>
      </c>
      <c r="G29" s="288" t="str">
        <f ca="1">IFERROR(__xludf.DUMMYFUNCTION("""COMPUTED_VALUE"""),"=50")</f>
        <v>=50</v>
      </c>
      <c r="H29" s="288" t="str">
        <f ca="1">IFERROR(__xludf.DUMMYFUNCTION("""COMPUTED_VALUE"""),"=6")</f>
        <v>=6</v>
      </c>
      <c r="I29" s="289" t="str">
        <f ca="1">IFERROR(__xludf.DUMMYFUNCTION("""COMPUTED_VALUE"""),"=0,8")</f>
        <v>=0,8</v>
      </c>
      <c r="J29" s="290" t="str">
        <f ca="1">IFERROR(__xludf.DUMMYFUNCTION("""COMPUTED_VALUE"""),"=55")</f>
        <v>=55</v>
      </c>
      <c r="K29" s="288" t="str">
        <f ca="1">IFERROR(__xludf.DUMMYFUNCTION("""COMPUTED_VALUE"""),"=3")</f>
        <v>=3</v>
      </c>
      <c r="L29" s="291" t="str">
        <f ca="1">IFERROR(__xludf.DUMMYFUNCTION("""COMPUTED_VALUE"""),"=0,625")</f>
        <v>=0,625</v>
      </c>
      <c r="M29" s="291" t="str">
        <f ca="1">IFERROR(__xludf.DUMMYFUNCTION("""COMPUTED_VALUE"""),"=0,625")</f>
        <v>=0,625</v>
      </c>
      <c r="N29" s="292" t="str">
        <f ca="1">IFERROR(__xludf.DUMMYFUNCTION("""COMPUTED_VALUE"""),"=1,75%")</f>
        <v>=1,75%</v>
      </c>
      <c r="O29" s="287" t="str">
        <f ca="1">IFERROR(__xludf.DUMMYFUNCTION("""COMPUTED_VALUE"""),"=30")</f>
        <v>=30</v>
      </c>
      <c r="P29" s="287" t="str">
        <f ca="1">IFERROR(__xludf.DUMMYFUNCTION("""COMPUTED_VALUE"""),"=5,2")</f>
        <v>=5,2</v>
      </c>
      <c r="Q29" s="288" t="str">
        <f ca="1">IFERROR(__xludf.DUMMYFUNCTION("""COMPUTED_VALUE"""),"=30")</f>
        <v>=30</v>
      </c>
      <c r="R29" s="289" t="str">
        <f ca="1">IFERROR(__xludf.DUMMYFUNCTION("""COMPUTED_VALUE"""),"=1,3")</f>
        <v>=1,3</v>
      </c>
      <c r="S29" s="287" t="str">
        <f ca="1">IFERROR(__xludf.DUMMYFUNCTION("""COMPUTED_VALUE"""),"=if(Steroid_Form;355;330)")</f>
        <v>=if(Steroid_Form;355;330)</v>
      </c>
      <c r="T29" s="628" t="str">
        <f ca="1">IFERROR(__xludf.DUMMYFUNCTION("""COMPUTED_VALUE"""),"=550")</f>
        <v>=550</v>
      </c>
      <c r="U29" s="298" t="str">
        <f ca="1">IFERROR(__xludf.DUMMYFUNCTION("""COMPUTED_VALUE"""),"=IF(Steroid_Form;(30+30*P_Q+(0,08+0,0003*Self_AP)*E_MisHPV)*MOD_Magic+OH_Phys+OH_Magic;(5+35*P_Q+(0,04+0,0003*Self_AP)*E_CHPV)*MOD_Magic)")</f>
        <v>=IF(Steroid_Form;(30+30*P_Q+(0,08+0,0003*Self_AP)*E_MisHPV)*MOD_Magic+OH_Phys+OH_Magic;(5+35*P_Q+(0,04+0,0003*Self_AP)*E_CHPV)*MOD_Magic)</v>
      </c>
      <c r="V29" s="299" t="str">
        <f ca="1">IFERROR(__xludf.DUMMYFUNCTION("""COMPUTED_VALUE"""),"=IF(Steroid_Form; 0; 15 + 45 * P_W + 0,95 * Self_AP) * MOD_Magic")</f>
        <v>=IF(Steroid_Form; 0; 15 + 45 * P_W + 0,95 * Self_AP) * MOD_Magic</v>
      </c>
      <c r="W29" s="299" t="str">
        <f ca="1">IFERROR(__xludf.DUMMYFUNCTION("""COMPUTED_VALUE"""),"=0")</f>
        <v>=0</v>
      </c>
      <c r="X29" s="299" t="str">
        <f ca="1">IFERROR(__xludf.DUMMYFUNCTION("""COMPUTED_VALUE"""),"=0")</f>
        <v>=0</v>
      </c>
      <c r="Y29" s="300" t="str">
        <f ca="1">IFERROR(__xludf.DUMMYFUNCTION("""COMPUTED_VALUE"""),"=IF(Steroid_Form; 0,2 * Self_AP + 10 + 10 * P_R; 0) * MOD_Magic")</f>
        <v>=IF(Steroid_Form; 0,2 * Self_AP + 10 + 10 * P_R; 0) * MOD_Magic</v>
      </c>
      <c r="Z29" s="281" t="str">
        <f ca="1">IFERROR(__xludf.DUMMYFUNCTION("""COMPUTED_VALUE"""),"=6")</f>
        <v>=6</v>
      </c>
      <c r="AA29" s="282" t="str">
        <f ca="1">IFERROR(__xludf.DUMMYFUNCTION("""COMPUTED_VALUE"""),"=10")</f>
        <v>=10</v>
      </c>
      <c r="AB29" s="282" t="str">
        <f ca="1">IFERROR(__xludf.DUMMYFUNCTION("""COMPUTED_VALUE"""),"=if(Steroid_Form;23-1*P_E;12,5-0,5*P_E)")</f>
        <v>=if(Steroid_Form;23-1*P_E;12,5-0,5*P_E)</v>
      </c>
      <c r="AC29" s="282" t="str">
        <f ca="1">IFERROR(__xludf.DUMMYFUNCTION("""COMPUTED_VALUE"""),"=4")</f>
        <v>=4</v>
      </c>
      <c r="AD29" s="283" t="str">
        <f ca="1">IFERROR(__xludf.DUMMYFUNCTION("""COMPUTED_VALUE"""),"=1")</f>
        <v>=1</v>
      </c>
      <c r="AE29" s="281" t="str">
        <f ca="1">IFERROR(__xludf.DUMMYFUNCTION("""COMPUTED_VALUE"""),"=if(Steroid_Form;TRUE;FALSE)")</f>
        <v>=if(Steroid_Form;TRUE;FALSE)</v>
      </c>
      <c r="AF29" s="282" t="str">
        <f ca="1">IFERROR(__xludf.DUMMYFUNCTION("""COMPUTED_VALUE"""),"=Image(""https://ddragon.leagueoflegends.com/cdn/11.19.1/img/champion/Elise.png"")")</f>
        <v>=Image("https://ddragon.leagueoflegends.com/cdn/11.19.1/img/champion/Elise.png")</v>
      </c>
      <c r="AG29" s="282" t="str">
        <f ca="1">IFERROR(__xludf.DUMMYFUNCTION("""COMPUTED_VALUE"""),"=IF(OR(REGEXMATCH(FORMULATEXT(U29);""HMOD"");NOT(P_Q&gt;0));0;U29)+IF(OR(REGEXMATCH(FORMULATEXT(V29);""HMOD"");NOT(P_W&gt;0));0;V29)+IF(OR(REGEXMATCH(FORMULATEXT(W29);""HMOD"");NOT(P_E&gt;0));0;W29)+IF(OR(REGEXMATCH(FORMULATEXT(X29);""HMOD"");NOT(P_R&gt;0));0;X29)+IF"&amp;"(REGEXMATCH(FORMULATEXT(Y29);""HMOD"");0;Y29)+Self_Proc_Item+Self_Proc_Summ+Self_Proc_Rune+3*Self_DPS")</f>
        <v>=IF(OR(REGEXMATCH(FORMULATEXT(U29);"HMOD");NOT(P_Q&gt;0));0;U29)+IF(OR(REGEXMATCH(FORMULATEXT(V29);"HMOD");NOT(P_W&gt;0));0;V29)+IF(OR(REGEXMATCH(FORMULATEXT(W29);"HMOD");NOT(P_E&gt;0));0;W29)+IF(OR(REGEXMATCH(FORMULATEXT(X29);"HMOD");NOT(P_R&gt;0));0;X29)+IF(REGEXMATCH(FORMULATEXT(Y29);"HMOD");0;Y29)+Self_Proc_Item+Self_Proc_Summ+Self_Proc_Rune+3*Self_DPS</v>
      </c>
      <c r="AH29" s="282" t="str">
        <f ca="1">IFERROR(__xludf.DUMMYFUNCTION("""COMPUTED_VALUE"""),"=0")</f>
        <v>=0</v>
      </c>
      <c r="AI29" s="282" t="b">
        <f ca="1">IFERROR(__xludf.DUMMYFUNCTION("""COMPUTED_VALUE"""),FALSE)</f>
        <v>0</v>
      </c>
      <c r="AJ29" s="283" t="b">
        <f ca="1">IFERROR(__xludf.DUMMYFUNCTION("""COMPUTED_VALUE"""),FALSE)</f>
        <v>0</v>
      </c>
    </row>
    <row r="30" spans="1:36">
      <c r="A30" s="267" t="str">
        <f ca="1">IFERROR(__xludf.DUMMYFUNCTION("""COMPUTED_VALUE"""),"Evelynn")</f>
        <v>Evelynn</v>
      </c>
      <c r="B30" s="287" t="str">
        <f ca="1">IFERROR(__xludf.DUMMYFUNCTION("""COMPUTED_VALUE"""),"=642")</f>
        <v>=642</v>
      </c>
      <c r="C30" s="287" t="str">
        <f ca="1">IFERROR(__xludf.DUMMYFUNCTION("""COMPUTED_VALUE"""),"=98")</f>
        <v>=98</v>
      </c>
      <c r="D30" s="288" t="str">
        <f ca="1">IFERROR(__xludf.DUMMYFUNCTION("""COMPUTED_VALUE"""),"=8,5")</f>
        <v>=8,5</v>
      </c>
      <c r="E30" s="289" t="str">
        <f ca="1">IFERROR(__xludf.DUMMYFUNCTION("""COMPUTED_VALUE"""),"=0,75")</f>
        <v>=0,75</v>
      </c>
      <c r="F30" s="288" t="str">
        <f ca="1">IFERROR(__xludf.DUMMYFUNCTION("""COMPUTED_VALUE"""),"=316")</f>
        <v>=316</v>
      </c>
      <c r="G30" s="288" t="str">
        <f ca="1">IFERROR(__xludf.DUMMYFUNCTION("""COMPUTED_VALUE"""),"=42")</f>
        <v>=42</v>
      </c>
      <c r="H30" s="288" t="str">
        <f ca="1">IFERROR(__xludf.DUMMYFUNCTION("""COMPUTED_VALUE"""),"=8,1")</f>
        <v>=8,1</v>
      </c>
      <c r="I30" s="289" t="str">
        <f ca="1">IFERROR(__xludf.DUMMYFUNCTION("""COMPUTED_VALUE"""),"=0,6")</f>
        <v>=0,6</v>
      </c>
      <c r="J30" s="290" t="str">
        <f ca="1">IFERROR(__xludf.DUMMYFUNCTION("""COMPUTED_VALUE"""),"=61")</f>
        <v>=61</v>
      </c>
      <c r="K30" s="288" t="str">
        <f ca="1">IFERROR(__xludf.DUMMYFUNCTION("""COMPUTED_VALUE"""),"=3")</f>
        <v>=3</v>
      </c>
      <c r="L30" s="291" t="str">
        <f ca="1">IFERROR(__xludf.DUMMYFUNCTION("""COMPUTED_VALUE"""),"=0,667")</f>
        <v>=0,667</v>
      </c>
      <c r="M30" s="291" t="str">
        <f ca="1">IFERROR(__xludf.DUMMYFUNCTION("""COMPUTED_VALUE"""),"=0,667")</f>
        <v>=0,667</v>
      </c>
      <c r="N30" s="292" t="str">
        <f ca="1">IFERROR(__xludf.DUMMYFUNCTION("""COMPUTED_VALUE"""),"=2,1%")</f>
        <v>=2,1%</v>
      </c>
      <c r="O30" s="287" t="str">
        <f ca="1">IFERROR(__xludf.DUMMYFUNCTION("""COMPUTED_VALUE"""),"=37")</f>
        <v>=37</v>
      </c>
      <c r="P30" s="287" t="str">
        <f ca="1">IFERROR(__xludf.DUMMYFUNCTION("""COMPUTED_VALUE"""),"=4,7")</f>
        <v>=4,7</v>
      </c>
      <c r="Q30" s="288" t="str">
        <f ca="1">IFERROR(__xludf.DUMMYFUNCTION("""COMPUTED_VALUE"""),"=32")</f>
        <v>=32</v>
      </c>
      <c r="R30" s="289" t="str">
        <f ca="1">IFERROR(__xludf.DUMMYFUNCTION("""COMPUTED_VALUE"""),"=2,05")</f>
        <v>=2,05</v>
      </c>
      <c r="S30" s="287" t="str">
        <f ca="1">IFERROR(__xludf.DUMMYFUNCTION("""COMPUTED_VALUE"""),"=335")</f>
        <v>=335</v>
      </c>
      <c r="T30" s="628" t="str">
        <f ca="1">IFERROR(__xludf.DUMMYFUNCTION("""COMPUTED_VALUE"""),"=125")</f>
        <v>=125</v>
      </c>
      <c r="U30" s="295" t="str">
        <f ca="1">IFERROR(__xludf.DUMMYFUNCTION("""COMPUTED_VALUE"""),"=(90+50*P_Q+1,95*Self_AP)*MOD_Magic")</f>
        <v>=(90+50*P_Q+1,95*Self_AP)*MOD_Magic</v>
      </c>
      <c r="V30" s="296" t="str">
        <f ca="1">IFERROR(__xludf.DUMMYFUNCTION("""COMPUTED_VALUE"""),"=0")</f>
        <v>=0</v>
      </c>
      <c r="W30" s="296" t="str">
        <f ca="1">IFERROR(__xludf.DUMMYFUNCTION("""COMPUTED_VALUE"""),"=IF(Steroid_E;(50+25*P_E+(0,04+0,00025*Self_AP)*E_MHP);(40+15*P_E+(0,03+0,00015*Self_AP)*E_MHP))*MOD_Magic")</f>
        <v>=IF(Steroid_E;(50+25*P_E+(0,04+0,00025*Self_AP)*E_MHP);(40+15*P_E+(0,03+0,00015*Self_AP)*E_MHP))*MOD_Magic</v>
      </c>
      <c r="X30" s="296" t="str">
        <f ca="1">IFERROR(__xludf.DUMMYFUNCTION("""COMPUTED_VALUE"""),"=(125*P_R+0,75*Self_AP)*MOD_Magic*IF(E_CHP&lt;=30;2,4;1)")</f>
        <v>=(125*P_R+0,75*Self_AP)*MOD_Magic*IF(E_CHP&lt;=30;2,4;1)</v>
      </c>
      <c r="Y30" s="297" t="str">
        <f ca="1">IFERROR(__xludf.DUMMYFUNCTION("""COMPUTED_VALUE"""),"=230 + 20 * Self_Level + 2,5 * Self_AP")</f>
        <v>=230 + 20 * Self_Level + 2,5 * Self_AP</v>
      </c>
      <c r="Z30" s="281" t="str">
        <f ca="1">IFERROR(__xludf.DUMMYFUNCTION("""COMPUTED_VALUE"""),"=4")</f>
        <v>=4</v>
      </c>
      <c r="AA30" s="282" t="str">
        <f ca="1">IFERROR(__xludf.DUMMYFUNCTION("""COMPUTED_VALUE"""),"=15-P_W")</f>
        <v>=15-P_W</v>
      </c>
      <c r="AB30" s="282" t="str">
        <f ca="1">IFERROR(__xludf.DUMMYFUNCTION("""COMPUTED_VALUE"""),"=8")</f>
        <v>=8</v>
      </c>
      <c r="AC30" s="282" t="str">
        <f ca="1">IFERROR(__xludf.DUMMYFUNCTION("""COMPUTED_VALUE"""),"=140 - 20 * P_R")</f>
        <v>=140 - 20 * P_R</v>
      </c>
      <c r="AD30" s="283" t="str">
        <f ca="1">IFERROR(__xludf.DUMMYFUNCTION("""COMPUTED_VALUE"""),"=1")</f>
        <v>=1</v>
      </c>
      <c r="AE30" s="281" t="b">
        <f ca="1">IFERROR(__xludf.DUMMYFUNCTION("""COMPUTED_VALUE"""),TRUE)</f>
        <v>1</v>
      </c>
      <c r="AF30" s="282" t="str">
        <f ca="1">IFERROR(__xludf.DUMMYFUNCTION("""COMPUTED_VALUE"""),"=Image(""https://ddragon.leagueoflegends.com/cdn/11.19.1/img/champion/Evelynn.png"")")</f>
        <v>=Image("https://ddragon.leagueoflegends.com/cdn/11.19.1/img/champion/Evelynn.png")</v>
      </c>
      <c r="AG30" s="282" t="str">
        <f ca="1">IFERROR(__xludf.DUMMYFUNCTION("""COMPUTED_VALUE"""),"=IF(OR(REGEXMATCH(FORMULATEXT(U30);""HMOD"");NOT(P_Q&gt;0));0;U30)+IF(OR(REGEXMATCH(FORMULATEXT(V30);""HMOD"");NOT(P_W&gt;0));0;V30)+IF(OR(REGEXMATCH(FORMULATEXT(W30);""HMOD"");NOT(P_E&gt;0));0;W30)+IF(OR(REGEXMATCH(FORMULATEXT(X30);""HMOD"");NOT(P_R&gt;0));0;X30)+IF"&amp;"(REGEXMATCH(FORMULATEXT(Y30);""HMOD"");0;Y30)+Self_Proc_Item+Self_Proc_Summ+Self_Proc_Rune+3*Self_DPS")</f>
        <v>=IF(OR(REGEXMATCH(FORMULATEXT(U30);"HMOD");NOT(P_Q&gt;0));0;U30)+IF(OR(REGEXMATCH(FORMULATEXT(V30);"HMOD");NOT(P_W&gt;0));0;V30)+IF(OR(REGEXMATCH(FORMULATEXT(W30);"HMOD");NOT(P_E&gt;0));0;W30)+IF(OR(REGEXMATCH(FORMULATEXT(X30);"HMOD");NOT(P_R&gt;0));0;X30)+IF(REGEXMATCH(FORMULATEXT(Y30);"HMOD");0;Y30)+Self_Proc_Item+Self_Proc_Summ+Self_Proc_Rune+3*Self_DPS</v>
      </c>
      <c r="AH30" s="282" t="str">
        <f ca="1">IFERROR(__xludf.DUMMYFUNCTION("""COMPUTED_VALUE"""),"=0")</f>
        <v>=0</v>
      </c>
      <c r="AI30" s="282" t="b">
        <f ca="1">IFERROR(__xludf.DUMMYFUNCTION("""COMPUTED_VALUE"""),FALSE)</f>
        <v>0</v>
      </c>
      <c r="AJ30" s="283" t="b">
        <f ca="1">IFERROR(__xludf.DUMMYFUNCTION("""COMPUTED_VALUE"""),FALSE)</f>
        <v>0</v>
      </c>
    </row>
    <row r="31" spans="1:36">
      <c r="A31" s="267" t="str">
        <f ca="1">IFERROR(__xludf.DUMMYFUNCTION("""COMPUTED_VALUE"""),"Ezreal")</f>
        <v>Ezreal</v>
      </c>
      <c r="B31" s="287" t="str">
        <f ca="1">IFERROR(__xludf.DUMMYFUNCTION("""COMPUTED_VALUE"""),"=600")</f>
        <v>=600</v>
      </c>
      <c r="C31" s="287" t="str">
        <f ca="1">IFERROR(__xludf.DUMMYFUNCTION("""COMPUTED_VALUE"""),"=102")</f>
        <v>=102</v>
      </c>
      <c r="D31" s="288" t="str">
        <f ca="1">IFERROR(__xludf.DUMMYFUNCTION("""COMPUTED_VALUE"""),"=4")</f>
        <v>=4</v>
      </c>
      <c r="E31" s="289" t="str">
        <f ca="1">IFERROR(__xludf.DUMMYFUNCTION("""COMPUTED_VALUE"""),"=0,65")</f>
        <v>=0,65</v>
      </c>
      <c r="F31" s="288" t="str">
        <f ca="1">IFERROR(__xludf.DUMMYFUNCTION("""COMPUTED_VALUE"""),"=375")</f>
        <v>=375</v>
      </c>
      <c r="G31" s="288" t="str">
        <f ca="1">IFERROR(__xludf.DUMMYFUNCTION("""COMPUTED_VALUE"""),"=70")</f>
        <v>=70</v>
      </c>
      <c r="H31" s="288" t="str">
        <f ca="1">IFERROR(__xludf.DUMMYFUNCTION("""COMPUTED_VALUE"""),"=8,5")</f>
        <v>=8,5</v>
      </c>
      <c r="I31" s="289" t="str">
        <f ca="1">IFERROR(__xludf.DUMMYFUNCTION("""COMPUTED_VALUE"""),"=1")</f>
        <v>=1</v>
      </c>
      <c r="J31" s="290" t="str">
        <f ca="1">IFERROR(__xludf.DUMMYFUNCTION("""COMPUTED_VALUE"""),"=62")</f>
        <v>=62</v>
      </c>
      <c r="K31" s="288" t="str">
        <f ca="1">IFERROR(__xludf.DUMMYFUNCTION("""COMPUTED_VALUE"""),"=2,5")</f>
        <v>=2,5</v>
      </c>
      <c r="L31" s="291" t="str">
        <f ca="1">IFERROR(__xludf.DUMMYFUNCTION("""COMPUTED_VALUE"""),"=0,625")</f>
        <v>=0,625</v>
      </c>
      <c r="M31" s="291" t="str">
        <f ca="1">IFERROR(__xludf.DUMMYFUNCTION("""COMPUTED_VALUE"""),"=0,625")</f>
        <v>=0,625</v>
      </c>
      <c r="N31" s="292" t="str">
        <f ca="1">IFERROR(__xludf.DUMMYFUNCTION("""COMPUTED_VALUE"""),"=2,5%")</f>
        <v>=2,5%</v>
      </c>
      <c r="O31" s="287" t="str">
        <f ca="1">IFERROR(__xludf.DUMMYFUNCTION("""COMPUTED_VALUE"""),"=24")</f>
        <v>=24</v>
      </c>
      <c r="P31" s="287" t="str">
        <f ca="1">IFERROR(__xludf.DUMMYFUNCTION("""COMPUTED_VALUE"""),"=4,7")</f>
        <v>=4,7</v>
      </c>
      <c r="Q31" s="288" t="str">
        <f ca="1">IFERROR(__xludf.DUMMYFUNCTION("""COMPUTED_VALUE"""),"=30")</f>
        <v>=30</v>
      </c>
      <c r="R31" s="289" t="str">
        <f ca="1">IFERROR(__xludf.DUMMYFUNCTION("""COMPUTED_VALUE"""),"=1,3")</f>
        <v>=1,3</v>
      </c>
      <c r="S31" s="287" t="str">
        <f ca="1">IFERROR(__xludf.DUMMYFUNCTION("""COMPUTED_VALUE"""),"=325")</f>
        <v>=325</v>
      </c>
      <c r="T31" s="628" t="str">
        <f ca="1">IFERROR(__xludf.DUMMYFUNCTION("""COMPUTED_VALUE"""),"=550")</f>
        <v>=550</v>
      </c>
      <c r="U31" s="298" t="str">
        <f ca="1">IFERROR(__xludf.DUMMYFUNCTION("""COMPUTED_VALUE"""),"=(-5+25*P_Q+0,15*Self_AP+1,3*Self_AD)*MOD_Phys+OH_Phys+OH_Magic+Calc!O32")</f>
        <v>=(-5+25*P_Q+0,15*Self_AP+1,3*Self_AD)*MOD_Phys+OH_Phys+OH_Magic+Calc!O32</v>
      </c>
      <c r="V31" s="299" t="str">
        <f ca="1">IFERROR(__xludf.DUMMYFUNCTION("""COMPUTED_VALUE"""),"=(25+55*P_W+(0,65+0,05*P_W)*Self_AP+0,6*Self_BoAD)*MOD_Magic")</f>
        <v>=(25+55*P_W+(0,65+0,05*P_W)*Self_AP+0,6*Self_BoAD)*MOD_Magic</v>
      </c>
      <c r="W31" s="299" t="str">
        <f ca="1">IFERROR(__xludf.DUMMYFUNCTION("""COMPUTED_VALUE"""),"=(30+50*P_E+0,75*Self_AP+0,5*Self_BoAD)*MOD_Magic")</f>
        <v>=(30+50*P_E+0,75*Self_AP+0,5*Self_BoAD)*MOD_Magic</v>
      </c>
      <c r="X31" s="299" t="str">
        <f ca="1">IFERROR(__xludf.DUMMYFUNCTION("""COMPUTED_VALUE"""),"=(200+150*P_R+Self_BoAD+0,9*Self_AP)*MOD_Magic")</f>
        <v>=(200+150*P_R+Self_BoAD+0,9*Self_AP)*MOD_Magic</v>
      </c>
      <c r="Y31" s="300" t="str">
        <f ca="1">IFERROR(__xludf.DUMMYFUNCTION("""COMPUTED_VALUE"""),"=0")</f>
        <v>=0</v>
      </c>
      <c r="Z31" s="281" t="str">
        <f ca="1">IFERROR(__xludf.DUMMYFUNCTION("""COMPUTED_VALUE"""),"=5,75-0,25*P_Q")</f>
        <v>=5,75-0,25*P_Q</v>
      </c>
      <c r="AA31" s="282" t="str">
        <f ca="1">IFERROR(__xludf.DUMMYFUNCTION("""COMPUTED_VALUE"""),"=12")</f>
        <v>=12</v>
      </c>
      <c r="AB31" s="282" t="str">
        <f ca="1">IFERROR(__xludf.DUMMYFUNCTION("""COMPUTED_VALUE"""),"=29-3*P_E")</f>
        <v>=29-3*P_E</v>
      </c>
      <c r="AC31" s="282" t="str">
        <f ca="1">IFERROR(__xludf.DUMMYFUNCTION("""COMPUTED_VALUE"""),"=135-15*P_R")</f>
        <v>=135-15*P_R</v>
      </c>
      <c r="AD31" s="283" t="str">
        <f ca="1">IFERROR(__xludf.DUMMYFUNCTION("""COMPUTED_VALUE"""),"=1")</f>
        <v>=1</v>
      </c>
      <c r="AE31" s="281" t="b">
        <f ca="1">IFERROR(__xludf.DUMMYFUNCTION("""COMPUTED_VALUE"""),FALSE)</f>
        <v>0</v>
      </c>
      <c r="AF31" s="282" t="str">
        <f ca="1">IFERROR(__xludf.DUMMYFUNCTION("""COMPUTED_VALUE"""),"=Image(""https://ddragon.leagueoflegends.com/cdn/11.19.1/img/champion/Ezreal.png"")")</f>
        <v>=Image("https://ddragon.leagueoflegends.com/cdn/11.19.1/img/champion/Ezreal.png")</v>
      </c>
      <c r="AG31" s="282" t="str">
        <f ca="1">IFERROR(__xludf.DUMMYFUNCTION("""COMPUTED_VALUE"""),"=IF(OR(REGEXMATCH(FORMULATEXT(U31);""HMOD"");NOT(P_Q&gt;0));0;U31)+IF(OR(REGEXMATCH(FORMULATEXT(V31);""HMOD"");NOT(P_W&gt;0));0;V31)+IF(OR(REGEXMATCH(FORMULATEXT(W31);""HMOD"");NOT(P_E&gt;0));0;W31)+IF(OR(REGEXMATCH(FORMULATEXT(X31);""HMOD"");NOT(P_R&gt;0));0;X31)+IF"&amp;"(REGEXMATCH(FORMULATEXT(Y31);""HMOD"");0;Y31)+Self_Proc_Item+Self_Proc_Summ+Self_Proc_Rune+3*Self_DPS")</f>
        <v>=IF(OR(REGEXMATCH(FORMULATEXT(U31);"HMOD");NOT(P_Q&gt;0));0;U31)+IF(OR(REGEXMATCH(FORMULATEXT(V31);"HMOD");NOT(P_W&gt;0));0;V31)+IF(OR(REGEXMATCH(FORMULATEXT(W31);"HMOD");NOT(P_E&gt;0));0;W31)+IF(OR(REGEXMATCH(FORMULATEXT(X31);"HMOD");NOT(P_R&gt;0));0;X31)+IF(REGEXMATCH(FORMULATEXT(Y31);"HMOD");0;Y31)+Self_Proc_Item+Self_Proc_Summ+Self_Proc_Rune+3*Self_DPS</v>
      </c>
      <c r="AH31" s="282" t="str">
        <f ca="1">IFERROR(__xludf.DUMMYFUNCTION("""COMPUTED_VALUE"""),"=0")</f>
        <v>=0</v>
      </c>
      <c r="AI31" s="282" t="b">
        <f ca="1">IFERROR(__xludf.DUMMYFUNCTION("""COMPUTED_VALUE"""),FALSE)</f>
        <v>0</v>
      </c>
      <c r="AJ31" s="283" t="b">
        <f ca="1">IFERROR(__xludf.DUMMYFUNCTION("""COMPUTED_VALUE"""),FALSE)</f>
        <v>0</v>
      </c>
    </row>
    <row r="32" spans="1:36">
      <c r="A32" s="267" t="str">
        <f ca="1">IFERROR(__xludf.DUMMYFUNCTION("""COMPUTED_VALUE"""),"Fiddlesticks")</f>
        <v>Fiddlesticks</v>
      </c>
      <c r="B32" s="287" t="str">
        <f ca="1">IFERROR(__xludf.DUMMYFUNCTION("""COMPUTED_VALUE"""),"=650")</f>
        <v>=650</v>
      </c>
      <c r="C32" s="287" t="str">
        <f ca="1">IFERROR(__xludf.DUMMYFUNCTION("""COMPUTED_VALUE"""),"=106")</f>
        <v>=106</v>
      </c>
      <c r="D32" s="288" t="str">
        <f ca="1">IFERROR(__xludf.DUMMYFUNCTION("""COMPUTED_VALUE"""),"=5,5")</f>
        <v>=5,5</v>
      </c>
      <c r="E32" s="289" t="str">
        <f ca="1">IFERROR(__xludf.DUMMYFUNCTION("""COMPUTED_VALUE"""),"=0,6")</f>
        <v>=0,6</v>
      </c>
      <c r="F32" s="288" t="str">
        <f ca="1">IFERROR(__xludf.DUMMYFUNCTION("""COMPUTED_VALUE"""),"=500")</f>
        <v>=500</v>
      </c>
      <c r="G32" s="288" t="str">
        <f ca="1">IFERROR(__xludf.DUMMYFUNCTION("""COMPUTED_VALUE"""),"=28")</f>
        <v>=28</v>
      </c>
      <c r="H32" s="288" t="str">
        <f ca="1">IFERROR(__xludf.DUMMYFUNCTION("""COMPUTED_VALUE"""),"=8")</f>
        <v>=8</v>
      </c>
      <c r="I32" s="289" t="str">
        <f ca="1">IFERROR(__xludf.DUMMYFUNCTION("""COMPUTED_VALUE"""),"=0,8")</f>
        <v>=0,8</v>
      </c>
      <c r="J32" s="290" t="str">
        <f ca="1">IFERROR(__xludf.DUMMYFUNCTION("""COMPUTED_VALUE"""),"=55")</f>
        <v>=55</v>
      </c>
      <c r="K32" s="288" t="str">
        <f ca="1">IFERROR(__xludf.DUMMYFUNCTION("""COMPUTED_VALUE"""),"=2,63")</f>
        <v>=2,63</v>
      </c>
      <c r="L32" s="291" t="str">
        <f ca="1">IFERROR(__xludf.DUMMYFUNCTION("""COMPUTED_VALUE"""),"=0,625")</f>
        <v>=0,625</v>
      </c>
      <c r="M32" s="291" t="str">
        <f ca="1">IFERROR(__xludf.DUMMYFUNCTION("""COMPUTED_VALUE"""),"=0,625")</f>
        <v>=0,625</v>
      </c>
      <c r="N32" s="292" t="str">
        <f ca="1">IFERROR(__xludf.DUMMYFUNCTION("""COMPUTED_VALUE"""),"=2,11%")</f>
        <v>=2,11%</v>
      </c>
      <c r="O32" s="287" t="str">
        <f ca="1">IFERROR(__xludf.DUMMYFUNCTION("""COMPUTED_VALUE"""),"=34")</f>
        <v>=34</v>
      </c>
      <c r="P32" s="287" t="str">
        <f ca="1">IFERROR(__xludf.DUMMYFUNCTION("""COMPUTED_VALUE"""),"=4,7")</f>
        <v>=4,7</v>
      </c>
      <c r="Q32" s="288" t="str">
        <f ca="1">IFERROR(__xludf.DUMMYFUNCTION("""COMPUTED_VALUE"""),"=30")</f>
        <v>=30</v>
      </c>
      <c r="R32" s="289" t="str">
        <f ca="1">IFERROR(__xludf.DUMMYFUNCTION("""COMPUTED_VALUE"""),"=1,3")</f>
        <v>=1,3</v>
      </c>
      <c r="S32" s="287" t="str">
        <f ca="1">IFERROR(__xludf.DUMMYFUNCTION("""COMPUTED_VALUE"""),"=335")</f>
        <v>=335</v>
      </c>
      <c r="T32" s="628" t="str">
        <f ca="1">IFERROR(__xludf.DUMMYFUNCTION("""COMPUTED_VALUE"""),"=480")</f>
        <v>=480</v>
      </c>
      <c r="U32" s="295" t="str">
        <f ca="1">IFERROR(__xludf.DUMMYFUNCTION("""COMPUTED_VALUE"""),"=((0,05+0,01*P_Q+0,0002*Self_AP)*IF(Steroid_Q;2;1)*E_CHPV)*MOD_Magic")</f>
        <v>=((0,05+0,01*P_Q+0,0002*Self_AP)*IF(Steroid_Q;2;1)*E_CHPV)*MOD_Magic</v>
      </c>
      <c r="V32" s="296" t="str">
        <f ca="1">IFERROR(__xludf.DUMMYFUNCTION("""COMPUTED_VALUE"""),"=(40+60*P_W+0,7*Self_AP+(0,11+0,01*P_W)*E_MisHPV)*MOD_Magic")</f>
        <v>=(40+60*P_W+0,7*Self_AP+(0,11+0,01*P_W)*E_MisHPV)*MOD_Magic</v>
      </c>
      <c r="W32" s="296" t="str">
        <f ca="1">IFERROR(__xludf.DUMMYFUNCTION("""COMPUTED_VALUE"""),"=(35+35*P_E+0,5*Self_AP)*MOD_Magic")</f>
        <v>=(35+35*P_E+0,5*Self_AP)*MOD_Magic</v>
      </c>
      <c r="X32" s="296" t="str">
        <f ca="1">IFERROR(__xludf.DUMMYFUNCTION("""COMPUTED_VALUE"""),"=(250+500*P_R+2,5*Self_AP)*MOD_Magic")</f>
        <v>=(250+500*P_R+2,5*Self_AP)*MOD_Magic</v>
      </c>
      <c r="Y32" s="297" t="str">
        <f ca="1">IFERROR(__xludf.DUMMYFUNCTION("""COMPUTED_VALUE"""),"=0")</f>
        <v>=0</v>
      </c>
      <c r="Z32" s="281" t="str">
        <f ca="1">IFERROR(__xludf.DUMMYFUNCTION("""COMPUTED_VALUE"""),"=15,5-0,5*P_Q")</f>
        <v>=15,5-0,5*P_Q</v>
      </c>
      <c r="AA32" s="282" t="str">
        <f ca="1">IFERROR(__xludf.DUMMYFUNCTION("""COMPUTED_VALUE"""),"=10,5-0,5*P_W")</f>
        <v>=10,5-0,5*P_W</v>
      </c>
      <c r="AB32" s="282" t="str">
        <f ca="1">IFERROR(__xludf.DUMMYFUNCTION("""COMPUTED_VALUE"""),"=11-P_E")</f>
        <v>=11-P_E</v>
      </c>
      <c r="AC32" s="282" t="str">
        <f ca="1">IFERROR(__xludf.DUMMYFUNCTION("""COMPUTED_VALUE"""),"=170-30*P_R")</f>
        <v>=170-30*P_R</v>
      </c>
      <c r="AD32" s="283" t="str">
        <f ca="1">IFERROR(__xludf.DUMMYFUNCTION("""COMPUTED_VALUE"""),"=1")</f>
        <v>=1</v>
      </c>
      <c r="AE32" s="281" t="b">
        <f ca="1">IFERROR(__xludf.DUMMYFUNCTION("""COMPUTED_VALUE"""),FALSE)</f>
        <v>0</v>
      </c>
      <c r="AF32" s="282" t="str">
        <f ca="1">IFERROR(__xludf.DUMMYFUNCTION("""COMPUTED_VALUE"""),"=Image(""https://ddragon.leagueoflegends.com/cdn/11.19.1/img/champion/Fiddlesticks.png"")")</f>
        <v>=Image("https://ddragon.leagueoflegends.com/cdn/11.19.1/img/champion/Fiddlesticks.png")</v>
      </c>
      <c r="AG32" s="282" t="str">
        <f ca="1">IFERROR(__xludf.DUMMYFUNCTION("""COMPUTED_VALUE"""),"=IF(OR(REGEXMATCH(FORMULATEXT(U32);""HMOD"");NOT(P_Q&gt;0));0;U32)+IF(OR(REGEXMATCH(FORMULATEXT(V32);""HMOD"");NOT(P_W&gt;0));0;V32)+IF(OR(REGEXMATCH(FORMULATEXT(W32);""HMOD"");NOT(P_E&gt;0));0;W32)+IF(OR(REGEXMATCH(FORMULATEXT(X32);""HMOD"");NOT(P_R&gt;0));0;X32)+IF"&amp;"(REGEXMATCH(FORMULATEXT(Y32);""HMOD"");0;Y32)+Self_Proc_Item+Self_Proc_Summ+Self_Proc_Rune+3*Self_DPS")</f>
        <v>=IF(OR(REGEXMATCH(FORMULATEXT(U32);"HMOD");NOT(P_Q&gt;0));0;U32)+IF(OR(REGEXMATCH(FORMULATEXT(V32);"HMOD");NOT(P_W&gt;0));0;V32)+IF(OR(REGEXMATCH(FORMULATEXT(W32);"HMOD");NOT(P_E&gt;0));0;W32)+IF(OR(REGEXMATCH(FORMULATEXT(X32);"HMOD");NOT(P_R&gt;0));0;X32)+IF(REGEXMATCH(FORMULATEXT(Y32);"HMOD");0;Y32)+Self_Proc_Item+Self_Proc_Summ+Self_Proc_Rune+3*Self_DPS</v>
      </c>
      <c r="AH32" s="282" t="str">
        <f ca="1">IFERROR(__xludf.DUMMYFUNCTION("""COMPUTED_VALUE"""),"=0")</f>
        <v>=0</v>
      </c>
      <c r="AI32" s="282" t="b">
        <f ca="1">IFERROR(__xludf.DUMMYFUNCTION("""COMPUTED_VALUE"""),FALSE)</f>
        <v>0</v>
      </c>
      <c r="AJ32" s="283" t="b">
        <f ca="1">IFERROR(__xludf.DUMMYFUNCTION("""COMPUTED_VALUE"""),FALSE)</f>
        <v>0</v>
      </c>
    </row>
    <row r="33" spans="1:36">
      <c r="A33" s="267" t="str">
        <f ca="1">IFERROR(__xludf.DUMMYFUNCTION("""COMPUTED_VALUE"""),"Fiora")</f>
        <v>Fiora</v>
      </c>
      <c r="B33" s="287" t="str">
        <f ca="1">IFERROR(__xludf.DUMMYFUNCTION("""COMPUTED_VALUE"""),"=620")</f>
        <v>=620</v>
      </c>
      <c r="C33" s="287" t="str">
        <f ca="1">IFERROR(__xludf.DUMMYFUNCTION("""COMPUTED_VALUE"""),"=99")</f>
        <v>=99</v>
      </c>
      <c r="D33" s="288" t="str">
        <f ca="1">IFERROR(__xludf.DUMMYFUNCTION("""COMPUTED_VALUE"""),"=8,5")</f>
        <v>=8,5</v>
      </c>
      <c r="E33" s="289" t="str">
        <f ca="1">IFERROR(__xludf.DUMMYFUNCTION("""COMPUTED_VALUE"""),"=0,55")</f>
        <v>=0,55</v>
      </c>
      <c r="F33" s="288" t="str">
        <f ca="1">IFERROR(__xludf.DUMMYFUNCTION("""COMPUTED_VALUE"""),"=300")</f>
        <v>=300</v>
      </c>
      <c r="G33" s="288" t="str">
        <f ca="1">IFERROR(__xludf.DUMMYFUNCTION("""COMPUTED_VALUE"""),"=60")</f>
        <v>=60</v>
      </c>
      <c r="H33" s="288" t="str">
        <f ca="1">IFERROR(__xludf.DUMMYFUNCTION("""COMPUTED_VALUE"""),"=8")</f>
        <v>=8</v>
      </c>
      <c r="I33" s="289" t="str">
        <f ca="1">IFERROR(__xludf.DUMMYFUNCTION("""COMPUTED_VALUE"""),"=0,7")</f>
        <v>=0,7</v>
      </c>
      <c r="J33" s="290" t="str">
        <f ca="1">IFERROR(__xludf.DUMMYFUNCTION("""COMPUTED_VALUE"""),"=68")</f>
        <v>=68</v>
      </c>
      <c r="K33" s="288" t="str">
        <f ca="1">IFERROR(__xludf.DUMMYFUNCTION("""COMPUTED_VALUE"""),"=3,3")</f>
        <v>=3,3</v>
      </c>
      <c r="L33" s="291" t="str">
        <f ca="1">IFERROR(__xludf.DUMMYFUNCTION("""COMPUTED_VALUE"""),"=0,69")</f>
        <v>=0,69</v>
      </c>
      <c r="M33" s="291" t="str">
        <f ca="1">IFERROR(__xludf.DUMMYFUNCTION("""COMPUTED_VALUE"""),"=0,69")</f>
        <v>=0,69</v>
      </c>
      <c r="N33" s="292" t="str">
        <f ca="1">IFERROR(__xludf.DUMMYFUNCTION("""COMPUTED_VALUE"""),"=3,2%")</f>
        <v>=3,2%</v>
      </c>
      <c r="O33" s="287" t="str">
        <f ca="1">IFERROR(__xludf.DUMMYFUNCTION("""COMPUTED_VALUE"""),"=33")</f>
        <v>=33</v>
      </c>
      <c r="P33" s="287" t="str">
        <f ca="1">IFERROR(__xludf.DUMMYFUNCTION("""COMPUTED_VALUE"""),"=4,7")</f>
        <v>=4,7</v>
      </c>
      <c r="Q33" s="288" t="str">
        <f ca="1">IFERROR(__xludf.DUMMYFUNCTION("""COMPUTED_VALUE"""),"=32")</f>
        <v>=32</v>
      </c>
      <c r="R33" s="289" t="str">
        <f ca="1">IFERROR(__xludf.DUMMYFUNCTION("""COMPUTED_VALUE"""),"=2,05")</f>
        <v>=2,05</v>
      </c>
      <c r="S33" s="287" t="str">
        <f ca="1">IFERROR(__xludf.DUMMYFUNCTION("""COMPUTED_VALUE"""),"=345")</f>
        <v>=345</v>
      </c>
      <c r="T33" s="628" t="str">
        <f ca="1">IFERROR(__xludf.DUMMYFUNCTION("""COMPUTED_VALUE"""),"=150")</f>
        <v>=150</v>
      </c>
      <c r="U33" s="298" t="str">
        <f ca="1">IFERROR(__xludf.DUMMYFUNCTION("""COMPUTED_VALUE"""),"=(60+10*P_Q+(0,85+0,05*P_Q)*Self_BoAD)*MOD_Phys")</f>
        <v>=(60+10*P_Q+(0,85+0,05*P_Q)*Self_BoAD)*MOD_Phys</v>
      </c>
      <c r="V33" s="299" t="str">
        <f ca="1">IFERROR(__xludf.DUMMYFUNCTION("""COMPUTED_VALUE"""),"=(70+40*P_W+Self_AP)*MOD_Magic")</f>
        <v>=(70+40*P_W+Self_AP)*MOD_Magic</v>
      </c>
      <c r="W33" s="299" t="str">
        <f ca="1">IFERROR(__xludf.DUMMYFUNCTION("""COMPUTED_VALUE"""),"=(1,5+0,1*P_E)*Self_AD*MOD_Phys")</f>
        <v>=(1,5+0,1*P_E)*Self_AD*MOD_Phys</v>
      </c>
      <c r="X33" s="299" t="str">
        <f ca="1">IFERROR(__xludf.DUMMYFUNCTION("""COMPUTED_VALUE"""),"=250+125*P_R+3*Self_BoAD")</f>
        <v>=250+125*P_R+3*Self_BoAD</v>
      </c>
      <c r="Y33" s="300" t="str">
        <f ca="1">IFERROR(__xludf.DUMMYFUNCTION("""COMPUTED_VALUE"""),"=(0,03+0,0004*Self_BoAD)*E_MHP*Calc!O10")</f>
        <v>=(0,03+0,0004*Self_BoAD)*E_MHP*Calc!O10</v>
      </c>
      <c r="Z33" s="281" t="str">
        <f ca="1">IFERROR(__xludf.DUMMYFUNCTION("""COMPUTED_VALUE"""),"=14,75-1,75*P_Q")</f>
        <v>=14,75-1,75*P_Q</v>
      </c>
      <c r="AA33" s="282" t="str">
        <f ca="1">IFERROR(__xludf.DUMMYFUNCTION("""COMPUTED_VALUE"""),"=26-2*P_W")</f>
        <v>=26-2*P_W</v>
      </c>
      <c r="AB33" s="282" t="str">
        <f ca="1">IFERROR(__xludf.DUMMYFUNCTION("""COMPUTED_VALUE"""),"=12 - P_E")</f>
        <v>=12 - P_E</v>
      </c>
      <c r="AC33" s="282" t="str">
        <f ca="1">IFERROR(__xludf.DUMMYFUNCTION("""COMPUTED_VALUE"""),"=130-20*P_R")</f>
        <v>=130-20*P_R</v>
      </c>
      <c r="AD33" s="283" t="str">
        <f ca="1">IFERROR(__xludf.DUMMYFUNCTION("""COMPUTED_VALUE"""),"=1")</f>
        <v>=1</v>
      </c>
      <c r="AE33" s="281" t="b">
        <f ca="1">IFERROR(__xludf.DUMMYFUNCTION("""COMPUTED_VALUE"""),TRUE)</f>
        <v>1</v>
      </c>
      <c r="AF33" s="282" t="str">
        <f ca="1">IFERROR(__xludf.DUMMYFUNCTION("""COMPUTED_VALUE"""),"=Image(""https://ddragon.leagueoflegends.com/cdn/11.19.1/img/champion/Fiora.png"")")</f>
        <v>=Image("https://ddragon.leagueoflegends.com/cdn/11.19.1/img/champion/Fiora.png")</v>
      </c>
      <c r="AG33" s="282" t="str">
        <f ca="1">IFERROR(__xludf.DUMMYFUNCTION("""COMPUTED_VALUE"""),"=IF(OR(REGEXMATCH(FORMULATEXT(U33);""HMOD"");NOT(P_Q&gt;0));0;U33)+IF(OR(REGEXMATCH(FORMULATEXT(V33);""HMOD"");NOT(P_W&gt;0));0;V33)+IF(OR(REGEXMATCH(FORMULATEXT(W33);""HMOD"");NOT(P_E&gt;0));0;W33)+IF(OR(REGEXMATCH(FORMULATEXT(X33);""HMOD"");NOT(P_R&gt;0));0;X33)+IF"&amp;"(REGEXMATCH(FORMULATEXT(Y33);""HMOD"");0;Y33)+Self_Proc_Item+Self_Proc_Summ+Self_Proc_Rune+3*Self_DPS")</f>
        <v>=IF(OR(REGEXMATCH(FORMULATEXT(U33);"HMOD");NOT(P_Q&gt;0));0;U33)+IF(OR(REGEXMATCH(FORMULATEXT(V33);"HMOD");NOT(P_W&gt;0));0;V33)+IF(OR(REGEXMATCH(FORMULATEXT(W33);"HMOD");NOT(P_E&gt;0));0;W33)+IF(OR(REGEXMATCH(FORMULATEXT(X33);"HMOD");NOT(P_R&gt;0));0;X33)+IF(REGEXMATCH(FORMULATEXT(Y33);"HMOD");0;Y33)+Self_Proc_Item+Self_Proc_Summ+Self_Proc_Rune+3*Self_DPS</v>
      </c>
      <c r="AH33" s="282" t="str">
        <f ca="1">IFERROR(__xludf.DUMMYFUNCTION("""COMPUTED_VALUE"""),"=0")</f>
        <v>=0</v>
      </c>
      <c r="AI33" s="282" t="b">
        <f ca="1">IFERROR(__xludf.DUMMYFUNCTION("""COMPUTED_VALUE"""),FALSE)</f>
        <v>0</v>
      </c>
      <c r="AJ33" s="283" t="b">
        <f ca="1">IFERROR(__xludf.DUMMYFUNCTION("""COMPUTED_VALUE"""),FALSE)</f>
        <v>0</v>
      </c>
    </row>
    <row r="34" spans="1:36">
      <c r="A34" s="267" t="str">
        <f ca="1">IFERROR(__xludf.DUMMYFUNCTION("""COMPUTED_VALUE"""),"Fizz")</f>
        <v>Fizz</v>
      </c>
      <c r="B34" s="287" t="str">
        <f ca="1">IFERROR(__xludf.DUMMYFUNCTION("""COMPUTED_VALUE"""),"=640")</f>
        <v>=640</v>
      </c>
      <c r="C34" s="287" t="str">
        <f ca="1">IFERROR(__xludf.DUMMYFUNCTION("""COMPUTED_VALUE"""),"=106")</f>
        <v>=106</v>
      </c>
      <c r="D34" s="288" t="str">
        <f ca="1">IFERROR(__xludf.DUMMYFUNCTION("""COMPUTED_VALUE"""),"=8")</f>
        <v>=8</v>
      </c>
      <c r="E34" s="289" t="str">
        <f ca="1">IFERROR(__xludf.DUMMYFUNCTION("""COMPUTED_VALUE"""),"=0,7")</f>
        <v>=0,7</v>
      </c>
      <c r="F34" s="288" t="str">
        <f ca="1">IFERROR(__xludf.DUMMYFUNCTION("""COMPUTED_VALUE"""),"=317")</f>
        <v>=317</v>
      </c>
      <c r="G34" s="288" t="str">
        <f ca="1">IFERROR(__xludf.DUMMYFUNCTION("""COMPUTED_VALUE"""),"=52")</f>
        <v>=52</v>
      </c>
      <c r="H34" s="288" t="str">
        <f ca="1">IFERROR(__xludf.DUMMYFUNCTION("""COMPUTED_VALUE"""),"=6")</f>
        <v>=6</v>
      </c>
      <c r="I34" s="289" t="str">
        <f ca="1">IFERROR(__xludf.DUMMYFUNCTION("""COMPUTED_VALUE"""),"=0,8")</f>
        <v>=0,8</v>
      </c>
      <c r="J34" s="290" t="str">
        <f ca="1">IFERROR(__xludf.DUMMYFUNCTION("""COMPUTED_VALUE"""),"=58")</f>
        <v>=58</v>
      </c>
      <c r="K34" s="288" t="str">
        <f ca="1">IFERROR(__xludf.DUMMYFUNCTION("""COMPUTED_VALUE"""),"=3")</f>
        <v>=3</v>
      </c>
      <c r="L34" s="291" t="str">
        <f ca="1">IFERROR(__xludf.DUMMYFUNCTION("""COMPUTED_VALUE"""),"=0,658")</f>
        <v>=0,658</v>
      </c>
      <c r="M34" s="291" t="str">
        <f ca="1">IFERROR(__xludf.DUMMYFUNCTION("""COMPUTED_VALUE"""),"=0,658")</f>
        <v>=0,658</v>
      </c>
      <c r="N34" s="292" t="str">
        <f ca="1">IFERROR(__xludf.DUMMYFUNCTION("""COMPUTED_VALUE"""),"=3,1%")</f>
        <v>=3,1%</v>
      </c>
      <c r="O34" s="287" t="str">
        <f ca="1">IFERROR(__xludf.DUMMYFUNCTION("""COMPUTED_VALUE"""),"=22")</f>
        <v>=22</v>
      </c>
      <c r="P34" s="287" t="str">
        <f ca="1">IFERROR(__xludf.DUMMYFUNCTION("""COMPUTED_VALUE"""),"=4,6")</f>
        <v>=4,6</v>
      </c>
      <c r="Q34" s="288" t="str">
        <f ca="1">IFERROR(__xludf.DUMMYFUNCTION("""COMPUTED_VALUE"""),"=32")</f>
        <v>=32</v>
      </c>
      <c r="R34" s="289" t="str">
        <f ca="1">IFERROR(__xludf.DUMMYFUNCTION("""COMPUTED_VALUE"""),"=2,05")</f>
        <v>=2,05</v>
      </c>
      <c r="S34" s="287" t="str">
        <f ca="1">IFERROR(__xludf.DUMMYFUNCTION("""COMPUTED_VALUE"""),"=335")</f>
        <v>=335</v>
      </c>
      <c r="T34" s="628" t="str">
        <f ca="1">IFERROR(__xludf.DUMMYFUNCTION("""COMPUTED_VALUE"""),"=175")</f>
        <v>=175</v>
      </c>
      <c r="U34" s="295" t="str">
        <f ca="1">IFERROR(__xludf.DUMMYFUNCTION("""COMPUTED_VALUE"""),"=(Self_AD+15*P_Q-5+0,55*Self_AP)*MOD_Magic")</f>
        <v>=(Self_AD+15*P_Q-5+0,55*Self_AP)*MOD_Magic</v>
      </c>
      <c r="V34" s="296" t="str">
        <f ca="1">IFERROR(__xludf.DUMMYFUNCTION("""COMPUTED_VALUE"""),"=(40 + 30 * P_W + 0,9 * Self_AP) * MOD_Magic")</f>
        <v>=(40 + 30 * P_W + 0,9 * Self_AP) * MOD_Magic</v>
      </c>
      <c r="W34" s="296" t="str">
        <f ca="1">IFERROR(__xludf.DUMMYFUNCTION("""COMPUTED_VALUE"""),"=(30 + 50 * P_E + 0,9 * Self_AP) * MOD_Magic")</f>
        <v>=(30 + 50 * P_E + 0,9 * Self_AP) * MOD_Magic</v>
      </c>
      <c r="X34" s="296" t="str">
        <f ca="1">IFERROR(__xludf.DUMMYFUNCTION("""COMPUTED_VALUE"""),"=(50 + 100 * P_R + 0,8 * Self_AP + IF(Steroid_R; 150 + 0,4 * Self_AP)) * MOD_Magic")</f>
        <v>=(50 + 100 * P_R + 0,8 * Self_AP + IF(Steroid_R; 150 + 0,4 * Self_AP)) * MOD_Magic</v>
      </c>
      <c r="Y34" s="297" t="str">
        <f ca="1">IFERROR(__xludf.DUMMYFUNCTION("""COMPUTED_VALUE"""),"=4 + 0,01 * Self_AP")</f>
        <v>=4 + 0,01 * Self_AP</v>
      </c>
      <c r="Z34" s="281" t="str">
        <f ca="1">IFERROR(__xludf.DUMMYFUNCTION("""COMPUTED_VALUE"""),"=8,5-0,5*P_Q")</f>
        <v>=8,5-0,5*P_Q</v>
      </c>
      <c r="AA34" s="282" t="str">
        <f ca="1">IFERROR(__xludf.DUMMYFUNCTION("""COMPUTED_VALUE"""),"=7,5-0,5*P_W")</f>
        <v>=7,5-0,5*P_W</v>
      </c>
      <c r="AB34" s="282" t="str">
        <f ca="1">IFERROR(__xludf.DUMMYFUNCTION("""COMPUTED_VALUE"""),"=18-2*P_E")</f>
        <v>=18-2*P_E</v>
      </c>
      <c r="AC34" s="282" t="str">
        <f ca="1">IFERROR(__xludf.DUMMYFUNCTION("""COMPUTED_VALUE"""),"=115-15*P_R")</f>
        <v>=115-15*P_R</v>
      </c>
      <c r="AD34" s="283" t="str">
        <f ca="1">IFERROR(__xludf.DUMMYFUNCTION("""COMPUTED_VALUE"""),"=1")</f>
        <v>=1</v>
      </c>
      <c r="AE34" s="281" t="b">
        <f ca="1">IFERROR(__xludf.DUMMYFUNCTION("""COMPUTED_VALUE"""),TRUE)</f>
        <v>1</v>
      </c>
      <c r="AF34" s="282" t="str">
        <f ca="1">IFERROR(__xludf.DUMMYFUNCTION("""COMPUTED_VALUE"""),"=Image(""https://ddragon.leagueoflegends.com/cdn/11.19.1/img/champion/Fizz.png"")")</f>
        <v>=Image("https://ddragon.leagueoflegends.com/cdn/11.19.1/img/champion/Fizz.png")</v>
      </c>
      <c r="AG34" s="282" t="str">
        <f ca="1">IFERROR(__xludf.DUMMYFUNCTION("""COMPUTED_VALUE"""),"=IF(OR(REGEXMATCH(FORMULATEXT(U34);""HMOD"");NOT(P_Q&gt;0));0;U34)+IF(OR(REGEXMATCH(FORMULATEXT(V34);""HMOD"");NOT(P_W&gt;0));0;V34)+IF(OR(REGEXMATCH(FORMULATEXT(W34);""HMOD"");NOT(P_E&gt;0));0;W34)+IF(OR(REGEXMATCH(FORMULATEXT(X34);""HMOD"");NOT(P_R&gt;0));0;X34)+IF"&amp;"(REGEXMATCH(FORMULATEXT(Y34);""HMOD"");0;Y34)+Self_Proc_Item+Self_Proc_Summ+Self_Proc_Rune+3*Self_DPS")</f>
        <v>=IF(OR(REGEXMATCH(FORMULATEXT(U34);"HMOD");NOT(P_Q&gt;0));0;U34)+IF(OR(REGEXMATCH(FORMULATEXT(V34);"HMOD");NOT(P_W&gt;0));0;V34)+IF(OR(REGEXMATCH(FORMULATEXT(W34);"HMOD");NOT(P_E&gt;0));0;W34)+IF(OR(REGEXMATCH(FORMULATEXT(X34);"HMOD");NOT(P_R&gt;0));0;X34)+IF(REGEXMATCH(FORMULATEXT(Y34);"HMOD");0;Y34)+Self_Proc_Item+Self_Proc_Summ+Self_Proc_Rune+3*Self_DPS</v>
      </c>
      <c r="AH34" s="282" t="str">
        <f ca="1">IFERROR(__xludf.DUMMYFUNCTION("""COMPUTED_VALUE"""),"=0")</f>
        <v>=0</v>
      </c>
      <c r="AI34" s="282" t="b">
        <f ca="1">IFERROR(__xludf.DUMMYFUNCTION("""COMPUTED_VALUE"""),FALSE)</f>
        <v>0</v>
      </c>
      <c r="AJ34" s="283" t="b">
        <f ca="1">IFERROR(__xludf.DUMMYFUNCTION("""COMPUTED_VALUE"""),FALSE)</f>
        <v>0</v>
      </c>
    </row>
    <row r="35" spans="1:36">
      <c r="A35" s="267" t="str">
        <f ca="1">IFERROR(__xludf.DUMMYFUNCTION("""COMPUTED_VALUE"""),"Galio")</f>
        <v>Galio</v>
      </c>
      <c r="B35" s="287" t="str">
        <f ca="1">IFERROR(__xludf.DUMMYFUNCTION("""COMPUTED_VALUE"""),"=632")</f>
        <v>=632</v>
      </c>
      <c r="C35" s="287" t="str">
        <f ca="1">IFERROR(__xludf.DUMMYFUNCTION("""COMPUTED_VALUE"""),"=126")</f>
        <v>=126</v>
      </c>
      <c r="D35" s="288" t="str">
        <f ca="1">IFERROR(__xludf.DUMMYFUNCTION("""COMPUTED_VALUE"""),"=8")</f>
        <v>=8</v>
      </c>
      <c r="E35" s="289" t="str">
        <f ca="1">IFERROR(__xludf.DUMMYFUNCTION("""COMPUTED_VALUE"""),"=0,8")</f>
        <v>=0,8</v>
      </c>
      <c r="F35" s="288" t="str">
        <f ca="1">IFERROR(__xludf.DUMMYFUNCTION("""COMPUTED_VALUE"""),"=400")</f>
        <v>=400</v>
      </c>
      <c r="G35" s="288" t="str">
        <f ca="1">IFERROR(__xludf.DUMMYFUNCTION("""COMPUTED_VALUE"""),"=40")</f>
        <v>=40</v>
      </c>
      <c r="H35" s="288" t="str">
        <f ca="1">IFERROR(__xludf.DUMMYFUNCTION("""COMPUTED_VALUE"""),"=9,5")</f>
        <v>=9,5</v>
      </c>
      <c r="I35" s="289" t="str">
        <f ca="1">IFERROR(__xludf.DUMMYFUNCTION("""COMPUTED_VALUE"""),"=0,7")</f>
        <v>=0,7</v>
      </c>
      <c r="J35" s="290" t="str">
        <f ca="1">IFERROR(__xludf.DUMMYFUNCTION("""COMPUTED_VALUE"""),"=59")</f>
        <v>=59</v>
      </c>
      <c r="K35" s="288" t="str">
        <f ca="1">IFERROR(__xludf.DUMMYFUNCTION("""COMPUTED_VALUE"""),"=3,5")</f>
        <v>=3,5</v>
      </c>
      <c r="L35" s="291" t="str">
        <f ca="1">IFERROR(__xludf.DUMMYFUNCTION("""COMPUTED_VALUE"""),"=0,625")</f>
        <v>=0,625</v>
      </c>
      <c r="M35" s="291" t="str">
        <f ca="1">IFERROR(__xludf.DUMMYFUNCTION("""COMPUTED_VALUE"""),"=0,625")</f>
        <v>=0,625</v>
      </c>
      <c r="N35" s="292" t="str">
        <f ca="1">IFERROR(__xludf.DUMMYFUNCTION("""COMPUTED_VALUE"""),"=1,5%")</f>
        <v>=1,5%</v>
      </c>
      <c r="O35" s="287" t="str">
        <f ca="1">IFERROR(__xludf.DUMMYFUNCTION("""COMPUTED_VALUE"""),"=24")</f>
        <v>=24</v>
      </c>
      <c r="P35" s="287" t="str">
        <f ca="1">IFERROR(__xludf.DUMMYFUNCTION("""COMPUTED_VALUE"""),"=4,7")</f>
        <v>=4,7</v>
      </c>
      <c r="Q35" s="288" t="str">
        <f ca="1">IFERROR(__xludf.DUMMYFUNCTION("""COMPUTED_VALUE"""),"=32")</f>
        <v>=32</v>
      </c>
      <c r="R35" s="289" t="str">
        <f ca="1">IFERROR(__xludf.DUMMYFUNCTION("""COMPUTED_VALUE"""),"=2,05")</f>
        <v>=2,05</v>
      </c>
      <c r="S35" s="287" t="str">
        <f ca="1">IFERROR(__xludf.DUMMYFUNCTION("""COMPUTED_VALUE"""),"=335")</f>
        <v>=335</v>
      </c>
      <c r="T35" s="628" t="str">
        <f ca="1">IFERROR(__xludf.DUMMYFUNCTION("""COMPUTED_VALUE"""),"=150")</f>
        <v>=150</v>
      </c>
      <c r="U35" s="298" t="str">
        <f ca="1">IFERROR(__xludf.DUMMYFUNCTION("""COMPUTED_VALUE"""),"=(35+35*P_Q+0,75*Self_AP+(0,1+0,0004*Self_AP)*E_MHP)*MOD_Magic")</f>
        <v>=(35+35*P_Q+0,75*Self_AP+(0,1+0,0004*Self_AP)*E_MHP)*MOD_Magic</v>
      </c>
      <c r="V35" s="299" t="str">
        <f ca="1">IFERROR(__xludf.DUMMYFUNCTION("""COMPUTED_VALUE"""),"=(5+15*P_W+0,3*Self_AP)*MOD_Magic*IF(Steroid_W;3;1)")</f>
        <v>=(5+15*P_W+0,3*Self_AP)*MOD_Magic*IF(Steroid_W;3;1)</v>
      </c>
      <c r="W35" s="299" t="str">
        <f ca="1">IFERROR(__xludf.DUMMYFUNCTION("""COMPUTED_VALUE"""),"=(50+40*P_E+0,9*Self_AP)*MOD_Magic")</f>
        <v>=(50+40*P_E+0,9*Self_AP)*MOD_Magic</v>
      </c>
      <c r="X35" s="299" t="str">
        <f ca="1">IFERROR(__xludf.DUMMYFUNCTION("""COMPUTED_VALUE"""),"=(50+100*P_R+0,7*Self_AP)*MOD_Magic")</f>
        <v>=(50+100*P_R+0,7*Self_AP)*MOD_Magic</v>
      </c>
      <c r="Y35" s="300" t="str">
        <f ca="1">IFERROR(__xludf.DUMMYFUNCTION("""COMPUTED_VALUE"""),"=(15 + 185 * Sc_Lin + Self_AD + 0,5 * Self_AP + 0,6 * Self_BoMR) * MOD_Magic")</f>
        <v>=(15 + 185 * Sc_Lin + Self_AD + 0,5 * Self_AP + 0,6 * Self_BoMR) * MOD_Magic</v>
      </c>
      <c r="Z35" s="281" t="str">
        <f ca="1">IFERROR(__xludf.DUMMYFUNCTION("""COMPUTED_VALUE"""),"=12,5-0,5*P_Q")</f>
        <v>=12,5-0,5*P_Q</v>
      </c>
      <c r="AA35" s="282" t="str">
        <f ca="1">IFERROR(__xludf.DUMMYFUNCTION("""COMPUTED_VALUE"""),"=18,5 - 0,5 * P_W")</f>
        <v>=18,5 - 0,5 * P_W</v>
      </c>
      <c r="AB35" s="282" t="str">
        <f ca="1">IFERROR(__xludf.DUMMYFUNCTION("""COMPUTED_VALUE"""),"=12 - P_E")</f>
        <v>=12 - P_E</v>
      </c>
      <c r="AC35" s="282" t="str">
        <f ca="1">IFERROR(__xludf.DUMMYFUNCTION("""COMPUTED_VALUE"""),"=220-20*P_R")</f>
        <v>=220-20*P_R</v>
      </c>
      <c r="AD35" s="283" t="str">
        <f ca="1">IFERROR(__xludf.DUMMYFUNCTION("""COMPUTED_VALUE"""),"=5")</f>
        <v>=5</v>
      </c>
      <c r="AE35" s="281" t="b">
        <f ca="1">IFERROR(__xludf.DUMMYFUNCTION("""COMPUTED_VALUE"""),TRUE)</f>
        <v>1</v>
      </c>
      <c r="AF35" s="282" t="str">
        <f ca="1">IFERROR(__xludf.DUMMYFUNCTION("""COMPUTED_VALUE"""),"=Image(""https://ddragon.leagueoflegends.com/cdn/11.19.1/img/champion/Galio.png"")")</f>
        <v>=Image("https://ddragon.leagueoflegends.com/cdn/11.19.1/img/champion/Galio.png")</v>
      </c>
      <c r="AG35" s="282" t="str">
        <f ca="1">IFERROR(__xludf.DUMMYFUNCTION("""COMPUTED_VALUE"""),"=IF(OR(REGEXMATCH(FORMULATEXT(U35);""HMOD"");NOT(P_Q&gt;0));0;U35)+IF(OR(REGEXMATCH(FORMULATEXT(V35);""HMOD"");NOT(P_W&gt;0));0;V35)+IF(OR(REGEXMATCH(FORMULATEXT(W35);""HMOD"");NOT(P_E&gt;0));0;W35)+IF(OR(REGEXMATCH(FORMULATEXT(X35);""HMOD"");NOT(P_R&gt;0));0;X35)+IF"&amp;"(REGEXMATCH(FORMULATEXT(Y35);""HMOD"");0;Y35)+Self_Proc_Item+Self_Proc_Summ+Self_Proc_Rune+3*Self_DPS")</f>
        <v>=IF(OR(REGEXMATCH(FORMULATEXT(U35);"HMOD");NOT(P_Q&gt;0));0;U35)+IF(OR(REGEXMATCH(FORMULATEXT(V35);"HMOD");NOT(P_W&gt;0));0;V35)+IF(OR(REGEXMATCH(FORMULATEXT(W35);"HMOD");NOT(P_E&gt;0));0;W35)+IF(OR(REGEXMATCH(FORMULATEXT(X35);"HMOD");NOT(P_R&gt;0));0;X35)+IF(REGEXMATCH(FORMULATEXT(Y35);"HMOD");0;Y35)+Self_Proc_Item+Self_Proc_Summ+Self_Proc_Rune+3*Self_DPS</v>
      </c>
      <c r="AH35" s="282" t="str">
        <f ca="1">IFERROR(__xludf.DUMMYFUNCTION("""COMPUTED_VALUE"""),"=0")</f>
        <v>=0</v>
      </c>
      <c r="AI35" s="282" t="b">
        <f ca="1">IFERROR(__xludf.DUMMYFUNCTION("""COMPUTED_VALUE"""),FALSE)</f>
        <v>0</v>
      </c>
      <c r="AJ35" s="283" t="b">
        <f ca="1">IFERROR(__xludf.DUMMYFUNCTION("""COMPUTED_VALUE"""),FALSE)</f>
        <v>0</v>
      </c>
    </row>
    <row r="36" spans="1:36">
      <c r="A36" s="267" t="str">
        <f ca="1">IFERROR(__xludf.DUMMYFUNCTION("""COMPUTED_VALUE"""),"Gangplank")</f>
        <v>Gangplank</v>
      </c>
      <c r="B36" s="287" t="str">
        <f ca="1">IFERROR(__xludf.DUMMYFUNCTION("""COMPUTED_VALUE"""),"=600")</f>
        <v>=600</v>
      </c>
      <c r="C36" s="287" t="str">
        <f ca="1">IFERROR(__xludf.DUMMYFUNCTION("""COMPUTED_VALUE"""),"=114")</f>
        <v>=114</v>
      </c>
      <c r="D36" s="288" t="str">
        <f ca="1">IFERROR(__xludf.DUMMYFUNCTION("""COMPUTED_VALUE"""),"=6")</f>
        <v>=6</v>
      </c>
      <c r="E36" s="289" t="str">
        <f ca="1">IFERROR(__xludf.DUMMYFUNCTION("""COMPUTED_VALUE"""),"=0,6")</f>
        <v>=0,6</v>
      </c>
      <c r="F36" s="288" t="str">
        <f ca="1">IFERROR(__xludf.DUMMYFUNCTION("""COMPUTED_VALUE"""),"=282")</f>
        <v>=282</v>
      </c>
      <c r="G36" s="288" t="str">
        <f ca="1">IFERROR(__xludf.DUMMYFUNCTION("""COMPUTED_VALUE"""),"=60")</f>
        <v>=60</v>
      </c>
      <c r="H36" s="288" t="str">
        <f ca="1">IFERROR(__xludf.DUMMYFUNCTION("""COMPUTED_VALUE"""),"=7,5")</f>
        <v>=7,5</v>
      </c>
      <c r="I36" s="289" t="str">
        <f ca="1">IFERROR(__xludf.DUMMYFUNCTION("""COMPUTED_VALUE"""),"=0,7")</f>
        <v>=0,7</v>
      </c>
      <c r="J36" s="290" t="str">
        <f ca="1">IFERROR(__xludf.DUMMYFUNCTION("""COMPUTED_VALUE"""),"=64")</f>
        <v>=64</v>
      </c>
      <c r="K36" s="288" t="str">
        <f ca="1">IFERROR(__xludf.DUMMYFUNCTION("""COMPUTED_VALUE"""),"=4")</f>
        <v>=4</v>
      </c>
      <c r="L36" s="291" t="str">
        <f ca="1">IFERROR(__xludf.DUMMYFUNCTION("""COMPUTED_VALUE"""),"=0,658")</f>
        <v>=0,658</v>
      </c>
      <c r="M36" s="291" t="str">
        <f ca="1">IFERROR(__xludf.DUMMYFUNCTION("""COMPUTED_VALUE"""),"=0,69")</f>
        <v>=0,69</v>
      </c>
      <c r="N36" s="292" t="str">
        <f ca="1">IFERROR(__xludf.DUMMYFUNCTION("""COMPUTED_VALUE"""),"=3,2%")</f>
        <v>=3,2%</v>
      </c>
      <c r="O36" s="287" t="str">
        <f ca="1">IFERROR(__xludf.DUMMYFUNCTION("""COMPUTED_VALUE"""),"=31")</f>
        <v>=31</v>
      </c>
      <c r="P36" s="287" t="str">
        <f ca="1">IFERROR(__xludf.DUMMYFUNCTION("""COMPUTED_VALUE"""),"=3,7")</f>
        <v>=3,7</v>
      </c>
      <c r="Q36" s="288" t="str">
        <f ca="1">IFERROR(__xludf.DUMMYFUNCTION("""COMPUTED_VALUE"""),"=32")</f>
        <v>=32</v>
      </c>
      <c r="R36" s="289" t="str">
        <f ca="1">IFERROR(__xludf.DUMMYFUNCTION("""COMPUTED_VALUE"""),"=2,05")</f>
        <v>=2,05</v>
      </c>
      <c r="S36" s="287" t="str">
        <f ca="1">IFERROR(__xludf.DUMMYFUNCTION("""COMPUTED_VALUE"""),"=345")</f>
        <v>=345</v>
      </c>
      <c r="T36" s="628" t="str">
        <f ca="1">IFERROR(__xludf.DUMMYFUNCTION("""COMPUTED_VALUE"""),"=125")</f>
        <v>=125</v>
      </c>
      <c r="U36" s="295" t="str">
        <f ca="1">IFERROR(__xludf.DUMMYFUNCTION("""COMPUTED_VALUE"""),"=(-20 + 30 * P_Q + Self_AD) * IF(Steroid_Q; Self_CritDMG; 1) * MOD_Phys + IT_Proc_Phys")</f>
        <v>=(-20 + 30 * P_Q + Self_AD) * IF(Steroid_Q; Self_CritDMG; 1) * MOD_Phys + IT_Proc_Phys</v>
      </c>
      <c r="V36" s="296" t="str">
        <f ca="1">IFERROR(__xludf.DUMMYFUNCTION("""COMPUTED_VALUE"""),"=(20 + 25*P_W + 0,9 * Self_AP + Self_MisHPV * 0,13) * MOD_SelfHeal")</f>
        <v>=(20 + 25*P_W + 0,9 * Self_AP + Self_MisHPV * 0,13) * MOD_SelfHeal</v>
      </c>
      <c r="W36" s="296" t="str">
        <f ca="1">IFERROR(__xludf.DUMMYFUNCTION("""COMPUTED_VALUE"""),"=(45 + 30 * P_E + (-20 + 30 * P_Q + Self_AD) * IF(Steroid_E; Self_CritDMG * 1,05; 1) + IT_Proc_Phys) * Calc!I32")</f>
        <v>=(45 + 30 * P_E + (-20 + 30 * P_Q + Self_AD) * IF(Steroid_E; Self_CritDMG * 1,05; 1) + IT_Proc_Phys) * Calc!I32</v>
      </c>
      <c r="X36" s="296" t="str">
        <f ca="1">IFERROR(__xludf.DUMMYFUNCTION("""COMPUTED_VALUE"""),"=(120 + 360 * P_R + 1,2 * Self_AP) * MOD_Magic * IF(Steroid_R; 1,5; 1) + IF(Steroid_R; 120 + 0,3 * Self_AP)")</f>
        <v>=(120 + 360 * P_R + 1,2 * Self_AP) * MOD_Magic * IF(Steroid_R; 1,5; 1) + IF(Steroid_R; 120 + 0,3 * Self_AP)</v>
      </c>
      <c r="Y36" s="297" t="str">
        <f ca="1">IFERROR(__xludf.DUMMYFUNCTION("""COMPUTED_VALUE"""),"=(50 + 200 * Sc_Lin + Self_BoAD + 2 * Self_Crit) * Calc!O10")</f>
        <v>=(50 + 200 * Sc_Lin + Self_BoAD + 2 * Self_Crit) * Calc!O10</v>
      </c>
      <c r="Z36" s="281" t="str">
        <f ca="1">IFERROR(__xludf.DUMMYFUNCTION("""COMPUTED_VALUE"""),"=4,5")</f>
        <v>=4,5</v>
      </c>
      <c r="AA36" s="282" t="str">
        <f ca="1">IFERROR(__xludf.DUMMYFUNCTION("""COMPUTED_VALUE"""),"=24-2*P_W")</f>
        <v>=24-2*P_W</v>
      </c>
      <c r="AB36" s="282" t="str">
        <f ca="1">IFERROR(__xludf.DUMMYFUNCTION("""COMPUTED_VALUE"""),"=19 - P_E")</f>
        <v>=19 - P_E</v>
      </c>
      <c r="AC36" s="282" t="str">
        <f ca="1">IFERROR(__xludf.DUMMYFUNCTION("""COMPUTED_VALUE"""),"=200-20*P_R")</f>
        <v>=200-20*P_R</v>
      </c>
      <c r="AD36" s="283" t="str">
        <f ca="1">IFERROR(__xludf.DUMMYFUNCTION("""COMPUTED_VALUE"""),"=15")</f>
        <v>=15</v>
      </c>
      <c r="AE36" s="281" t="b">
        <f ca="1">IFERROR(__xludf.DUMMYFUNCTION("""COMPUTED_VALUE"""),TRUE)</f>
        <v>1</v>
      </c>
      <c r="AF36" s="282" t="str">
        <f ca="1">IFERROR(__xludf.DUMMYFUNCTION("""COMPUTED_VALUE"""),"=Image(""https://ddragon.leagueoflegends.com/cdn/11.19.1/img/champion/Gangplank.png"")")</f>
        <v>=Image("https://ddragon.leagueoflegends.com/cdn/11.19.1/img/champion/Gangplank.png")</v>
      </c>
      <c r="AG36" s="282" t="str">
        <f ca="1">IFERROR(__xludf.DUMMYFUNCTION("""COMPUTED_VALUE"""),"=IF(OR(REGEXMATCH(FORMULATEXT(U36);""HMOD"");NOT(P_Q&gt;0));0;U36)+IF(OR(REGEXMATCH(FORMULATEXT(V36);""HMOD"");NOT(P_W&gt;0));0;V36)+IF(OR(REGEXMATCH(FORMULATEXT(W36);""HMOD"");NOT(P_E&gt;0));0;W36)+IF(OR(REGEXMATCH(FORMULATEXT(X36);""HMOD"");NOT(P_R&gt;0));0;X36)+IF"&amp;"(REGEXMATCH(FORMULATEXT(Y36);""HMOD"");0;Y36)+Self_Proc_Item+Self_Proc_Summ+Self_Proc_Rune+3*Self_DPS")</f>
        <v>=IF(OR(REGEXMATCH(FORMULATEXT(U36);"HMOD");NOT(P_Q&gt;0));0;U36)+IF(OR(REGEXMATCH(FORMULATEXT(V36);"HMOD");NOT(P_W&gt;0));0;V36)+IF(OR(REGEXMATCH(FORMULATEXT(W36);"HMOD");NOT(P_E&gt;0));0;W36)+IF(OR(REGEXMATCH(FORMULATEXT(X36);"HMOD");NOT(P_R&gt;0));0;X36)+IF(REGEXMATCH(FORMULATEXT(Y36);"HMOD");0;Y36)+Self_Proc_Item+Self_Proc_Summ+Self_Proc_Rune+3*Self_DPS</v>
      </c>
      <c r="AH36" s="282" t="str">
        <f ca="1">IFERROR(__xludf.DUMMYFUNCTION("""COMPUTED_VALUE"""),"=0")</f>
        <v>=0</v>
      </c>
      <c r="AI36" s="282" t="b">
        <f ca="1">IFERROR(__xludf.DUMMYFUNCTION("""COMPUTED_VALUE"""),FALSE)</f>
        <v>0</v>
      </c>
      <c r="AJ36" s="283" t="b">
        <f ca="1">IFERROR(__xludf.DUMMYFUNCTION("""COMPUTED_VALUE"""),FALSE)</f>
        <v>0</v>
      </c>
    </row>
    <row r="37" spans="1:36">
      <c r="A37" s="267" t="str">
        <f ca="1">IFERROR(__xludf.DUMMYFUNCTION("""COMPUTED_VALUE"""),"Garen")</f>
        <v>Garen</v>
      </c>
      <c r="B37" s="287" t="str">
        <f ca="1">IFERROR(__xludf.DUMMYFUNCTION("""COMPUTED_VALUE"""),"=690")</f>
        <v>=690</v>
      </c>
      <c r="C37" s="287" t="str">
        <f ca="1">IFERROR(__xludf.DUMMYFUNCTION("""COMPUTED_VALUE"""),"=98")</f>
        <v>=98</v>
      </c>
      <c r="D37" s="288" t="str">
        <f ca="1">IFERROR(__xludf.DUMMYFUNCTION("""COMPUTED_VALUE"""),"=8")</f>
        <v>=8</v>
      </c>
      <c r="E37" s="289" t="str">
        <f ca="1">IFERROR(__xludf.DUMMYFUNCTION("""COMPUTED_VALUE"""),"=0,5")</f>
        <v>=0,5</v>
      </c>
      <c r="F37" s="288" t="str">
        <f ca="1">IFERROR(__xludf.DUMMYFUNCTION("""COMPUTED_VALUE"""),"=0")</f>
        <v>=0</v>
      </c>
      <c r="G37" s="288" t="str">
        <f ca="1">IFERROR(__xludf.DUMMYFUNCTION("""COMPUTED_VALUE"""),"=0")</f>
        <v>=0</v>
      </c>
      <c r="H37" s="288" t="str">
        <f ca="1">IFERROR(__xludf.DUMMYFUNCTION("""COMPUTED_VALUE"""),"=0")</f>
        <v>=0</v>
      </c>
      <c r="I37" s="289" t="str">
        <f ca="1">IFERROR(__xludf.DUMMYFUNCTION("""COMPUTED_VALUE"""),"=0")</f>
        <v>=0</v>
      </c>
      <c r="J37" s="290" t="str">
        <f ca="1">IFERROR(__xludf.DUMMYFUNCTION("""COMPUTED_VALUE"""),"=69")</f>
        <v>=69</v>
      </c>
      <c r="K37" s="288" t="str">
        <f ca="1">IFERROR(__xludf.DUMMYFUNCTION("""COMPUTED_VALUE"""),"=4,5")</f>
        <v>=4,5</v>
      </c>
      <c r="L37" s="291" t="str">
        <f ca="1">IFERROR(__xludf.DUMMYFUNCTION("""COMPUTED_VALUE"""),"=0,625")</f>
        <v>=0,625</v>
      </c>
      <c r="M37" s="291" t="str">
        <f ca="1">IFERROR(__xludf.DUMMYFUNCTION("""COMPUTED_VALUE"""),"=0,625")</f>
        <v>=0,625</v>
      </c>
      <c r="N37" s="292" t="str">
        <f ca="1">IFERROR(__xludf.DUMMYFUNCTION("""COMPUTED_VALUE"""),"=3,65%")</f>
        <v>=3,65%</v>
      </c>
      <c r="O37" s="287" t="str">
        <f ca="1">IFERROR(__xludf.DUMMYFUNCTION("""COMPUTED_VALUE"""),"=38")</f>
        <v>=38</v>
      </c>
      <c r="P37" s="287" t="str">
        <f ca="1">IFERROR(__xludf.DUMMYFUNCTION("""COMPUTED_VALUE"""),"=4,2")</f>
        <v>=4,2</v>
      </c>
      <c r="Q37" s="288" t="str">
        <f ca="1">IFERROR(__xludf.DUMMYFUNCTION("""COMPUTED_VALUE"""),"=32")</f>
        <v>=32</v>
      </c>
      <c r="R37" s="289" t="str">
        <f ca="1">IFERROR(__xludf.DUMMYFUNCTION("""COMPUTED_VALUE"""),"=1,55")</f>
        <v>=1,55</v>
      </c>
      <c r="S37" s="287" t="str">
        <f ca="1">IFERROR(__xludf.DUMMYFUNCTION("""COMPUTED_VALUE"""),"=340")</f>
        <v>=340</v>
      </c>
      <c r="T37" s="628" t="str">
        <f ca="1">IFERROR(__xludf.DUMMYFUNCTION("""COMPUTED_VALUE"""),"=175")</f>
        <v>=175</v>
      </c>
      <c r="U37" s="298" t="str">
        <f ca="1">IFERROR(__xludf.DUMMYFUNCTION("""COMPUTED_VALUE"""),"=(30*P_Q+0,5*Self_AD)*MOD_Phys")</f>
        <v>=(30*P_Q+0,5*Self_AD)*MOD_Phys</v>
      </c>
      <c r="V37" s="299" t="str">
        <f ca="1">IFERROR(__xludf.DUMMYFUNCTION("""COMPUTED_VALUE"""),"=(0,18*Self_BoHP+20*P_W+45)*MOD_SelfHeal")</f>
        <v>=(0,18*Self_BoHP+20*P_W+45)*MOD_SelfHeal</v>
      </c>
      <c r="W37" s="299" t="str">
        <f ca="1">IFERROR(__xludf.DUMMYFUNCTION("""COMPUTED_VALUE"""),"=((7+ROUNDDOWN(Self_BoAS / 0,2)) * (IF(Self_Level &gt;= 10; -0,6 * (Self_Level - 9); 0) + 4 * P_E + (0,3 + 0,02 * P_E) * Self_AD) * (1 + (Self_Crit * (Self_CritDMG - 1)))) * MOD_Phys * IF(Steroid_E; 1,25; 1)")</f>
        <v>=((7+ROUNDDOWN(Self_BoAS / 0,2)) * (IF(Self_Level &gt;= 10; -0,6 * (Self_Level - 9); 0) + 4 * P_E + (0,3 + 0,02 * P_E) * Self_AD) * (1 + (Self_Crit * (Self_CritDMG - 1)))) * MOD_Phys * IF(Steroid_E; 1,25; 1)</v>
      </c>
      <c r="X37" s="299" t="str">
        <f ca="1">IFERROR(__xludf.DUMMYFUNCTION("""COMPUTED_VALUE"""),"=((150*P_R+(0,2+0,05*P_R)*E_MisHPV))*Calc!O10")</f>
        <v>=((150*P_R+(0,2+0,05*P_R)*E_MisHPV))*Calc!O10</v>
      </c>
      <c r="Y37" s="300" t="str">
        <f ca="1">IFERROR(__xludf.DUMMYFUNCTION("""COMPUTED_VALUE"""),"=(0,015 + Sc_Lin * 0,086) * Self_MHP")</f>
        <v>=(0,015 + Sc_Lin * 0,086) * Self_MHP</v>
      </c>
      <c r="Z37" s="281" t="str">
        <f ca="1">IFERROR(__xludf.DUMMYFUNCTION("""COMPUTED_VALUE"""),"=8")</f>
        <v>=8</v>
      </c>
      <c r="AA37" s="282" t="str">
        <f ca="1">IFERROR(__xludf.DUMMYFUNCTION("""COMPUTED_VALUE"""),"=25-2*P_W")</f>
        <v>=25-2*P_W</v>
      </c>
      <c r="AB37" s="282" t="str">
        <f ca="1">IFERROR(__xludf.DUMMYFUNCTION("""COMPUTED_VALUE"""),"=9")</f>
        <v>=9</v>
      </c>
      <c r="AC37" s="282" t="str">
        <f ca="1">IFERROR(__xludf.DUMMYFUNCTION("""COMPUTED_VALUE"""),"=140 - 20 * P_R")</f>
        <v>=140 - 20 * P_R</v>
      </c>
      <c r="AD37" s="283" t="str">
        <f ca="1">IFERROR(__xludf.DUMMYFUNCTION("""COMPUTED_VALUE"""),"=1")</f>
        <v>=1</v>
      </c>
      <c r="AE37" s="281" t="b">
        <f ca="1">IFERROR(__xludf.DUMMYFUNCTION("""COMPUTED_VALUE"""),TRUE)</f>
        <v>1</v>
      </c>
      <c r="AF37" s="282" t="str">
        <f ca="1">IFERROR(__xludf.DUMMYFUNCTION("""COMPUTED_VALUE"""),"=Image(""https://ddragon.leagueoflegends.com/cdn/11.19.1/img/champion/Garen.png"")")</f>
        <v>=Image("https://ddragon.leagueoflegends.com/cdn/11.19.1/img/champion/Garen.png")</v>
      </c>
      <c r="AG37" s="282" t="str">
        <f ca="1">IFERROR(__xludf.DUMMYFUNCTION("""COMPUTED_VALUE"""),"=IF(OR(REGEXMATCH(FORMULATEXT(U37);""HMOD"");NOT(P_Q&gt;0));0;U37)+IF(OR(REGEXMATCH(FORMULATEXT(V37);""HMOD"");NOT(P_W&gt;0));0;V37)+IF(OR(REGEXMATCH(FORMULATEXT(W37);""HMOD"");NOT(P_E&gt;0));0;W37)+IF(OR(REGEXMATCH(FORMULATEXT(X37);""HMOD"");NOT(P_R&gt;0));0;X37)+IF"&amp;"(REGEXMATCH(FORMULATEXT(Y37);""HMOD"");0;Y37)+Self_Proc_Item+Self_Proc_Summ+Self_Proc_Rune+3*Self_DPS")</f>
        <v>=IF(OR(REGEXMATCH(FORMULATEXT(U37);"HMOD");NOT(P_Q&gt;0));0;U37)+IF(OR(REGEXMATCH(FORMULATEXT(V37);"HMOD");NOT(P_W&gt;0));0;V37)+IF(OR(REGEXMATCH(FORMULATEXT(W37);"HMOD");NOT(P_E&gt;0));0;W37)+IF(OR(REGEXMATCH(FORMULATEXT(X37);"HMOD");NOT(P_R&gt;0));0;X37)+IF(REGEXMATCH(FORMULATEXT(Y37);"HMOD");0;Y37)+Self_Proc_Item+Self_Proc_Summ+Self_Proc_Rune+3*Self_DPS</v>
      </c>
      <c r="AH37" s="282" t="str">
        <f ca="1">IFERROR(__xludf.DUMMYFUNCTION("""COMPUTED_VALUE"""),"=0")</f>
        <v>=0</v>
      </c>
      <c r="AI37" s="282" t="b">
        <f ca="1">IFERROR(__xludf.DUMMYFUNCTION("""COMPUTED_VALUE"""),FALSE)</f>
        <v>0</v>
      </c>
      <c r="AJ37" s="283" t="b">
        <f ca="1">IFERROR(__xludf.DUMMYFUNCTION("""COMPUTED_VALUE"""),TRUE)</f>
        <v>1</v>
      </c>
    </row>
    <row r="38" spans="1:36">
      <c r="A38" s="267" t="str">
        <f ca="1">IFERROR(__xludf.DUMMYFUNCTION("""COMPUTED_VALUE"""),"Gnar")</f>
        <v>Gnar</v>
      </c>
      <c r="B38" s="287" t="str">
        <f ca="1">IFERROR(__xludf.DUMMYFUNCTION("""COMPUTED_VALUE"""),"=IF(Steroid_Form;640;540)")</f>
        <v>=IF(Steroid_Form;640;540)</v>
      </c>
      <c r="C38" s="287" t="str">
        <f ca="1">IFERROR(__xludf.DUMMYFUNCTION("""COMPUTED_VALUE"""),"=if(Steroid_Form;122;79)")</f>
        <v>=if(Steroid_Form;122;79)</v>
      </c>
      <c r="D38" s="288" t="str">
        <f ca="1">IFERROR(__xludf.DUMMYFUNCTION("""COMPUTED_VALUE"""),"=4,5")</f>
        <v>=4,5</v>
      </c>
      <c r="E38" s="289" t="str">
        <f ca="1">IFERROR(__xludf.DUMMYFUNCTION("""COMPUTED_VALUE"""),"=1,25")</f>
        <v>=1,25</v>
      </c>
      <c r="F38" s="288" t="str">
        <f ca="1">IFERROR(__xludf.DUMMYFUNCTION("""COMPUTED_VALUE"""),"=100")</f>
        <v>=100</v>
      </c>
      <c r="G38" s="288" t="str">
        <f ca="1">IFERROR(__xludf.DUMMYFUNCTION("""COMPUTED_VALUE"""),"=0")</f>
        <v>=0</v>
      </c>
      <c r="H38" s="288" t="str">
        <f ca="1">IFERROR(__xludf.DUMMYFUNCTION("""COMPUTED_VALUE"""),"=0")</f>
        <v>=0</v>
      </c>
      <c r="I38" s="289" t="str">
        <f ca="1">IFERROR(__xludf.DUMMYFUNCTION("""COMPUTED_VALUE"""),"=0")</f>
        <v>=0</v>
      </c>
      <c r="J38" s="290" t="str">
        <f ca="1">IFERROR(__xludf.DUMMYFUNCTION("""COMPUTED_VALUE"""),"=if(Steroid_Form;63;57)")</f>
        <v>=if(Steroid_Form;63;57)</v>
      </c>
      <c r="K38" s="288" t="str">
        <f ca="1">IFERROR(__xludf.DUMMYFUNCTION("""COMPUTED_VALUE"""),"=if(Steroid_Form;5,5;3)")</f>
        <v>=if(Steroid_Form;5,5;3)</v>
      </c>
      <c r="L38" s="291" t="str">
        <f ca="1">IFERROR(__xludf.DUMMYFUNCTION("""COMPUTED_VALUE"""),"=0,625")</f>
        <v>=0,625</v>
      </c>
      <c r="M38" s="291" t="str">
        <f ca="1">IFERROR(__xludf.DUMMYFUNCTION("""COMPUTED_VALUE"""),"=0,625")</f>
        <v>=0,625</v>
      </c>
      <c r="N38" s="292" t="str">
        <f ca="1">IFERROR(__xludf.DUMMYFUNCTION("""COMPUTED_VALUE"""),"=if(Steroid_Form;0,005;0,06)")</f>
        <v>=if(Steroid_Form;0,005;0,06)</v>
      </c>
      <c r="O38" s="287" t="str">
        <f ca="1">IFERROR(__xludf.DUMMYFUNCTION("""COMPUTED_VALUE"""),"=if(Steroid_Form;36;32)")</f>
        <v>=if(Steroid_Form;36;32)</v>
      </c>
      <c r="P38" s="287" t="str">
        <f ca="1">IFERROR(__xludf.DUMMYFUNCTION("""COMPUTED_VALUE"""),"=if(Steroid_Form;6,7;3,7)")</f>
        <v>=if(Steroid_Form;6,7;3,7)</v>
      </c>
      <c r="Q38" s="288" t="str">
        <f ca="1">IFERROR(__xludf.DUMMYFUNCTION("""COMPUTED_VALUE"""),"=if(Steroid_Form;33,5;30)")</f>
        <v>=if(Steroid_Form;33,5;30)</v>
      </c>
      <c r="R38" s="289" t="str">
        <f ca="1">IFERROR(__xludf.DUMMYFUNCTION("""COMPUTED_VALUE"""),"=IF(Steroid_Form;4,8;1,3)")</f>
        <v>=IF(Steroid_Form;4,8;1,3)</v>
      </c>
      <c r="S38" s="287" t="str">
        <f ca="1">IFERROR(__xludf.DUMMYFUNCTION("""COMPUTED_VALUE"""),"=335")</f>
        <v>=335</v>
      </c>
      <c r="T38" s="628" t="str">
        <f ca="1">IFERROR(__xludf.DUMMYFUNCTION("""COMPUTED_VALUE"""),"=if(Steroid_Form;175;400+(100/17)*(Self_Level-1))")</f>
        <v>=if(Steroid_Form;175;400+(100/17)*(Self_Level-1))</v>
      </c>
      <c r="U38" s="295" t="str">
        <f ca="1">IFERROR(__xludf.DUMMYFUNCTION("""COMPUTED_VALUE"""),"=IF(Steroid_Form;45 * P_Q - 20 + 1,4 * Self_AD; 40 * P_Q - 35 + 1,15 * Self_AD) * MOD_Phys")</f>
        <v>=IF(Steroid_Form;45 * P_Q - 20 + 1,4 * Self_AD; 40 * P_Q - 35 + 1,15 * Self_AD) * MOD_Phys</v>
      </c>
      <c r="V38" s="296" t="str">
        <f ca="1">IFERROR(__xludf.DUMMYFUNCTION("""COMPUTED_VALUE"""),"=IF(Steroid_Form;(30*P_W-5+Self_AD)*MOD_Phys;(-10+10*P_W+Self_AP+(0,04+0,02*P_W)*E_MHP)*MOD_Magic)")</f>
        <v>=IF(Steroid_Form;(30*P_W-5+Self_AD)*MOD_Phys;(-10+10*P_W+Self_AP+(0,04+0,02*P_W)*E_MHP)*MOD_Magic)</v>
      </c>
      <c r="W38" s="296" t="str">
        <f ca="1">IFERROR(__xludf.DUMMYFUNCTION("""COMPUTED_VALUE"""),"=(0,06 * E_MHP + 35 * P_E + IF(Steroid_Form; 45; 15)) * MOD_Phys")</f>
        <v>=(0,06 * E_MHP + 35 * P_E + IF(Steroid_Form; 45; 15)) * MOD_Phys</v>
      </c>
      <c r="X38" s="296" t="str">
        <f ca="1">IFERROR(__xludf.DUMMYFUNCTION("""COMPUTED_VALUE"""),"=IF(Steroid_Form;100 + 100 * P_R + 0,5 * Self_BoAD + Self_AP; 0)*MOD_Phys")</f>
        <v>=IF(Steroid_Form;100 + 100 * P_R + 0,5 * Self_BoAD + Self_AP; 0)*MOD_Phys</v>
      </c>
      <c r="Y38" s="297" t="str">
        <f ca="1">IFERROR(__xludf.DUMMYFUNCTION("""COMPUTED_VALUE"""),"=0")</f>
        <v>=0</v>
      </c>
      <c r="Z38" s="281" t="str">
        <f ca="1">IFERROR(__xludf.DUMMYFUNCTION("""COMPUTED_VALUE"""),"=22,5-2,5*P_Q")</f>
        <v>=22,5-2,5*P_Q</v>
      </c>
      <c r="AA38" s="282" t="str">
        <f ca="1">IFERROR(__xludf.DUMMYFUNCTION("""COMPUTED_VALUE"""),"=if(Steroid_Form;7;3/if(Self_AS&gt;0;Self_AS;0,6))")</f>
        <v>=if(Steroid_Form;7;3/if(Self_AS&gt;0;Self_AS;0,6))</v>
      </c>
      <c r="AB38" s="282" t="str">
        <f ca="1">IFERROR(__xludf.DUMMYFUNCTION("""COMPUTED_VALUE"""),"=24,5-2,5*P_E")</f>
        <v>=24,5-2,5*P_E</v>
      </c>
      <c r="AC38" s="282" t="str">
        <f ca="1">IFERROR(__xludf.DUMMYFUNCTION("""COMPUTED_VALUE"""),"=120-30*P_R")</f>
        <v>=120-30*P_R</v>
      </c>
      <c r="AD38" s="283" t="str">
        <f ca="1">IFERROR(__xludf.DUMMYFUNCTION("""COMPUTED_VALUE"""),"=1")</f>
        <v>=1</v>
      </c>
      <c r="AE38" s="281" t="str">
        <f ca="1">IFERROR(__xludf.DUMMYFUNCTION("""COMPUTED_VALUE"""),"=if(Steroid_Form;TRUE;FALSE)")</f>
        <v>=if(Steroid_Form;TRUE;FALSE)</v>
      </c>
      <c r="AF38" s="282" t="str">
        <f ca="1">IFERROR(__xludf.DUMMYFUNCTION("""COMPUTED_VALUE"""),"=Image(""https://ddragon.leagueoflegends.com/cdn/11.19.1/img/champion/Gnar.png"")")</f>
        <v>=Image("https://ddragon.leagueoflegends.com/cdn/11.19.1/img/champion/Gnar.png")</v>
      </c>
      <c r="AG38" s="282" t="str">
        <f ca="1">IFERROR(__xludf.DUMMYFUNCTION("""COMPUTED_VALUE"""),"=IF(OR(REGEXMATCH(FORMULATEXT(U38);""HMOD"");NOT(P_Q&gt;0));0;U38)+IF(OR(REGEXMATCH(FORMULATEXT(V38);""HMOD"");NOT(P_W&gt;0));0;V38)+IF(OR(REGEXMATCH(FORMULATEXT(W38);""HMOD"");NOT(P_E&gt;0));0;W38)+IF(OR(REGEXMATCH(FORMULATEXT(X38);""HMOD"");NOT(P_R&gt;0));0;X38)+IF"&amp;"(REGEXMATCH(FORMULATEXT(Y38);""HMOD"");0;Y38)+Self_Proc_Item+Self_Proc_Summ+Self_Proc_Rune+3*Self_DPS")</f>
        <v>=IF(OR(REGEXMATCH(FORMULATEXT(U38);"HMOD");NOT(P_Q&gt;0));0;U38)+IF(OR(REGEXMATCH(FORMULATEXT(V38);"HMOD");NOT(P_W&gt;0));0;V38)+IF(OR(REGEXMATCH(FORMULATEXT(W38);"HMOD");NOT(P_E&gt;0));0;W38)+IF(OR(REGEXMATCH(FORMULATEXT(X38);"HMOD");NOT(P_R&gt;0));0;X38)+IF(REGEXMATCH(FORMULATEXT(Y38);"HMOD");0;Y38)+Self_Proc_Item+Self_Proc_Summ+Self_Proc_Rune+3*Self_DPS</v>
      </c>
      <c r="AH38" s="282" t="str">
        <f ca="1">IFERROR(__xludf.DUMMYFUNCTION("""COMPUTED_VALUE"""),"=0")</f>
        <v>=0</v>
      </c>
      <c r="AI38" s="282" t="b">
        <f ca="1">IFERROR(__xludf.DUMMYFUNCTION("""COMPUTED_VALUE"""),FALSE)</f>
        <v>0</v>
      </c>
      <c r="AJ38" s="283" t="b">
        <f ca="1">IFERROR(__xludf.DUMMYFUNCTION("""COMPUTED_VALUE"""),TRUE)</f>
        <v>1</v>
      </c>
    </row>
    <row r="39" spans="1:36">
      <c r="A39" s="267" t="str">
        <f ca="1">IFERROR(__xludf.DUMMYFUNCTION("""COMPUTED_VALUE"""),"Gragas")</f>
        <v>Gragas</v>
      </c>
      <c r="B39" s="287" t="str">
        <f ca="1">IFERROR(__xludf.DUMMYFUNCTION("""COMPUTED_VALUE"""),"=670")</f>
        <v>=670</v>
      </c>
      <c r="C39" s="287" t="str">
        <f ca="1">IFERROR(__xludf.DUMMYFUNCTION("""COMPUTED_VALUE"""),"=109")</f>
        <v>=109</v>
      </c>
      <c r="D39" s="288" t="str">
        <f ca="1">IFERROR(__xludf.DUMMYFUNCTION("""COMPUTED_VALUE"""),"=5,5")</f>
        <v>=5,5</v>
      </c>
      <c r="E39" s="289" t="str">
        <f ca="1">IFERROR(__xludf.DUMMYFUNCTION("""COMPUTED_VALUE"""),"=0,5")</f>
        <v>=0,5</v>
      </c>
      <c r="F39" s="288" t="str">
        <f ca="1">IFERROR(__xludf.DUMMYFUNCTION("""COMPUTED_VALUE"""),"=400")</f>
        <v>=400</v>
      </c>
      <c r="G39" s="288" t="str">
        <f ca="1">IFERROR(__xludf.DUMMYFUNCTION("""COMPUTED_VALUE"""),"=47")</f>
        <v>=47</v>
      </c>
      <c r="H39" s="288" t="str">
        <f ca="1">IFERROR(__xludf.DUMMYFUNCTION("""COMPUTED_VALUE"""),"=6")</f>
        <v>=6</v>
      </c>
      <c r="I39" s="289" t="str">
        <f ca="1">IFERROR(__xludf.DUMMYFUNCTION("""COMPUTED_VALUE"""),"=0,8")</f>
        <v>=0,8</v>
      </c>
      <c r="J39" s="290" t="str">
        <f ca="1">IFERROR(__xludf.DUMMYFUNCTION("""COMPUTED_VALUE"""),"=64")</f>
        <v>=64</v>
      </c>
      <c r="K39" s="288" t="str">
        <f ca="1">IFERROR(__xludf.DUMMYFUNCTION("""COMPUTED_VALUE"""),"=3,5")</f>
        <v>=3,5</v>
      </c>
      <c r="L39" s="291" t="str">
        <f ca="1">IFERROR(__xludf.DUMMYFUNCTION("""COMPUTED_VALUE"""),"=0,675")</f>
        <v>=0,675</v>
      </c>
      <c r="M39" s="291" t="str">
        <f ca="1">IFERROR(__xludf.DUMMYFUNCTION("""COMPUTED_VALUE"""),"=0,625")</f>
        <v>=0,625</v>
      </c>
      <c r="N39" s="292" t="str">
        <f ca="1">IFERROR(__xludf.DUMMYFUNCTION("""COMPUTED_VALUE"""),"=2,05%")</f>
        <v>=2,05%</v>
      </c>
      <c r="O39" s="287" t="str">
        <f ca="1">IFERROR(__xludf.DUMMYFUNCTION("""COMPUTED_VALUE"""),"=38")</f>
        <v>=38</v>
      </c>
      <c r="P39" s="287" t="str">
        <f ca="1">IFERROR(__xludf.DUMMYFUNCTION("""COMPUTED_VALUE"""),"=4,8")</f>
        <v>=4,8</v>
      </c>
      <c r="Q39" s="288" t="str">
        <f ca="1">IFERROR(__xludf.DUMMYFUNCTION("""COMPUTED_VALUE"""),"=32")</f>
        <v>=32</v>
      </c>
      <c r="R39" s="289" t="str">
        <f ca="1">IFERROR(__xludf.DUMMYFUNCTION("""COMPUTED_VALUE"""),"=2,05")</f>
        <v>=2,05</v>
      </c>
      <c r="S39" s="287" t="str">
        <f ca="1">IFERROR(__xludf.DUMMYFUNCTION("""COMPUTED_VALUE"""),"=330")</f>
        <v>=330</v>
      </c>
      <c r="T39" s="628" t="str">
        <f ca="1">IFERROR(__xludf.DUMMYFUNCTION("""COMPUTED_VALUE"""),"=125")</f>
        <v>=125</v>
      </c>
      <c r="U39" s="298" t="str">
        <f ca="1">IFERROR(__xludf.DUMMYFUNCTION("""COMPUTED_VALUE"""),"=(40+40*P_Q+0,8*Self_AP)*MOD_Magic*IF(Steroid_Q;1,5;1)")</f>
        <v>=(40+40*P_Q+0,8*Self_AP)*MOD_Magic*IF(Steroid_Q;1,5;1)</v>
      </c>
      <c r="V39" s="299" t="str">
        <f ca="1">IFERROR(__xludf.DUMMYFUNCTION("""COMPUTED_VALUE"""),"=(-10 + 30 * P_W + 0,7 * Self_AP + 0,07 * E_MHP) * MOD_Magic")</f>
        <v>=(-10 + 30 * P_W + 0,7 * Self_AP + 0,07 * E_MHP) * MOD_Magic</v>
      </c>
      <c r="W39" s="299" t="str">
        <f ca="1">IFERROR(__xludf.DUMMYFUNCTION("""COMPUTED_VALUE"""),"=(35 + 45 * P_E + 0,6 * Self_AP) * MOD_Magic")</f>
        <v>=(35 + 45 * P_E + 0,6 * Self_AP) * MOD_Magic</v>
      </c>
      <c r="X39" s="299" t="str">
        <f ca="1">IFERROR(__xludf.DUMMYFUNCTION("""COMPUTED_VALUE"""),"=(100+100*P_R+0,8*Self_AP)*MOD_Magic")</f>
        <v>=(100+100*P_R+0,8*Self_AP)*MOD_Magic</v>
      </c>
      <c r="Y39" s="300" t="str">
        <f ca="1">IFERROR(__xludf.DUMMYFUNCTION("""COMPUTED_VALUE"""),"=(0,065 * Self_MHP) * MOD_SelfHeal")</f>
        <v>=(0,065 * Self_MHP) * MOD_SelfHeal</v>
      </c>
      <c r="Z39" s="281" t="str">
        <f ca="1">IFERROR(__xludf.DUMMYFUNCTION("""COMPUTED_VALUE"""),"=11-P_Q")</f>
        <v>=11-P_Q</v>
      </c>
      <c r="AA39" s="282" t="str">
        <f ca="1">IFERROR(__xludf.DUMMYFUNCTION("""COMPUTED_VALUE"""),"=5")</f>
        <v>=5</v>
      </c>
      <c r="AB39" s="282" t="str">
        <f ca="1">IFERROR(__xludf.DUMMYFUNCTION("""COMPUTED_VALUE"""),"=14,5 - 0,5 * P_E")</f>
        <v>=14,5 - 0,5 * P_E</v>
      </c>
      <c r="AC39" s="282" t="str">
        <f ca="1">IFERROR(__xludf.DUMMYFUNCTION("""COMPUTED_VALUE"""),"=140 - 20 * P_R")</f>
        <v>=140 - 20 * P_R</v>
      </c>
      <c r="AD39" s="283" t="str">
        <f ca="1">IFERROR(__xludf.DUMMYFUNCTION("""COMPUTED_VALUE"""),"=12")</f>
        <v>=12</v>
      </c>
      <c r="AE39" s="281" t="b">
        <f ca="1">IFERROR(__xludf.DUMMYFUNCTION("""COMPUTED_VALUE"""),TRUE)</f>
        <v>1</v>
      </c>
      <c r="AF39" s="282" t="str">
        <f ca="1">IFERROR(__xludf.DUMMYFUNCTION("""COMPUTED_VALUE"""),"=Image(""https://ddragon.leagueoflegends.com/cdn/11.19.1/img/champion/Gragas.png"")")</f>
        <v>=Image("https://ddragon.leagueoflegends.com/cdn/11.19.1/img/champion/Gragas.png")</v>
      </c>
      <c r="AG39" s="282" t="str">
        <f ca="1">IFERROR(__xludf.DUMMYFUNCTION("""COMPUTED_VALUE"""),"=IF(OR(REGEXMATCH(FORMULATEXT(U39);""HMOD"");NOT(P_Q&gt;0));0;U39)+IF(OR(REGEXMATCH(FORMULATEXT(V39);""HMOD"");NOT(P_W&gt;0));0;V39)+IF(OR(REGEXMATCH(FORMULATEXT(W39);""HMOD"");NOT(P_E&gt;0));0;W39)+IF(OR(REGEXMATCH(FORMULATEXT(X39);""HMOD"");NOT(P_R&gt;0));0;X39)+IF"&amp;"(REGEXMATCH(FORMULATEXT(Y39);""HMOD"");0;Y39)+Self_Proc_Item+Self_Proc_Summ+Self_Proc_Rune+3*Self_DPS")</f>
        <v>=IF(OR(REGEXMATCH(FORMULATEXT(U39);"HMOD");NOT(P_Q&gt;0));0;U39)+IF(OR(REGEXMATCH(FORMULATEXT(V39);"HMOD");NOT(P_W&gt;0));0;V39)+IF(OR(REGEXMATCH(FORMULATEXT(W39);"HMOD");NOT(P_E&gt;0));0;W39)+IF(OR(REGEXMATCH(FORMULATEXT(X39);"HMOD");NOT(P_R&gt;0));0;X39)+IF(REGEXMATCH(FORMULATEXT(Y39);"HMOD");0;Y39)+Self_Proc_Item+Self_Proc_Summ+Self_Proc_Rune+3*Self_DPS</v>
      </c>
      <c r="AH39" s="282" t="str">
        <f ca="1">IFERROR(__xludf.DUMMYFUNCTION("""COMPUTED_VALUE"""),"=0")</f>
        <v>=0</v>
      </c>
      <c r="AI39" s="282" t="b">
        <f ca="1">IFERROR(__xludf.DUMMYFUNCTION("""COMPUTED_VALUE"""),FALSE)</f>
        <v>0</v>
      </c>
      <c r="AJ39" s="283" t="b">
        <f ca="1">IFERROR(__xludf.DUMMYFUNCTION("""COMPUTED_VALUE"""),FALSE)</f>
        <v>0</v>
      </c>
    </row>
    <row r="40" spans="1:36">
      <c r="A40" s="267" t="str">
        <f ca="1">IFERROR(__xludf.DUMMYFUNCTION("""COMPUTED_VALUE"""),"Graves")</f>
        <v>Graves</v>
      </c>
      <c r="B40" s="287" t="str">
        <f ca="1">IFERROR(__xludf.DUMMYFUNCTION("""COMPUTED_VALUE"""),"=625")</f>
        <v>=625</v>
      </c>
      <c r="C40" s="287" t="str">
        <f ca="1">IFERROR(__xludf.DUMMYFUNCTION("""COMPUTED_VALUE"""),"=106")</f>
        <v>=106</v>
      </c>
      <c r="D40" s="288" t="str">
        <f ca="1">IFERROR(__xludf.DUMMYFUNCTION("""COMPUTED_VALUE"""),"=8")</f>
        <v>=8</v>
      </c>
      <c r="E40" s="289" t="str">
        <f ca="1">IFERROR(__xludf.DUMMYFUNCTION("""COMPUTED_VALUE"""),"=0,7")</f>
        <v>=0,7</v>
      </c>
      <c r="F40" s="288" t="str">
        <f ca="1">IFERROR(__xludf.DUMMYFUNCTION("""COMPUTED_VALUE"""),"=325")</f>
        <v>=325</v>
      </c>
      <c r="G40" s="288" t="str">
        <f ca="1">IFERROR(__xludf.DUMMYFUNCTION("""COMPUTED_VALUE"""),"=40")</f>
        <v>=40</v>
      </c>
      <c r="H40" s="288" t="str">
        <f ca="1">IFERROR(__xludf.DUMMYFUNCTION("""COMPUTED_VALUE"""),"=8")</f>
        <v>=8</v>
      </c>
      <c r="I40" s="289" t="str">
        <f ca="1">IFERROR(__xludf.DUMMYFUNCTION("""COMPUTED_VALUE"""),"=0,7")</f>
        <v>=0,7</v>
      </c>
      <c r="J40" s="290" t="str">
        <f ca="1">IFERROR(__xludf.DUMMYFUNCTION("""COMPUTED_VALUE"""),"=68")</f>
        <v>=68</v>
      </c>
      <c r="K40" s="288" t="str">
        <f ca="1">IFERROR(__xludf.DUMMYFUNCTION("""COMPUTED_VALUE"""),"=4")</f>
        <v>=4</v>
      </c>
      <c r="L40" s="291" t="str">
        <f ca="1">IFERROR(__xludf.DUMMYFUNCTION("""COMPUTED_VALUE"""),"=0,475")</f>
        <v>=0,475</v>
      </c>
      <c r="M40" s="291" t="str">
        <f ca="1">IFERROR(__xludf.DUMMYFUNCTION("""COMPUTED_VALUE"""),"=0,49")</f>
        <v>=0,49</v>
      </c>
      <c r="N40" s="292" t="str">
        <f ca="1">IFERROR(__xludf.DUMMYFUNCTION("""COMPUTED_VALUE"""),"=2,6%")</f>
        <v>=2,6%</v>
      </c>
      <c r="O40" s="287" t="str">
        <f ca="1">IFERROR(__xludf.DUMMYFUNCTION("""COMPUTED_VALUE"""),"=33")</f>
        <v>=33</v>
      </c>
      <c r="P40" s="287" t="str">
        <f ca="1">IFERROR(__xludf.DUMMYFUNCTION("""COMPUTED_VALUE"""),"=4,6")</f>
        <v>=4,6</v>
      </c>
      <c r="Q40" s="288" t="str">
        <f ca="1">IFERROR(__xludf.DUMMYFUNCTION("""COMPUTED_VALUE"""),"=32")</f>
        <v>=32</v>
      </c>
      <c r="R40" s="289" t="str">
        <f ca="1">IFERROR(__xludf.DUMMYFUNCTION("""COMPUTED_VALUE"""),"=2,05")</f>
        <v>=2,05</v>
      </c>
      <c r="S40" s="287" t="str">
        <f ca="1">IFERROR(__xludf.DUMMYFUNCTION("""COMPUTED_VALUE"""),"=340")</f>
        <v>=340</v>
      </c>
      <c r="T40" s="628" t="str">
        <f ca="1">IFERROR(__xludf.DUMMYFUNCTION("""COMPUTED_VALUE"""),"=425")</f>
        <v>=425</v>
      </c>
      <c r="U40" s="295" t="str">
        <f ca="1">IFERROR(__xludf.DUMMYFUNCTION("""COMPUTED_VALUE"""),"=(80+50*P_Q+(0,9+0,3*P_Q)*Self_BoAD)*MOD_Phys")</f>
        <v>=(80+50*P_Q+(0,9+0,3*P_Q)*Self_BoAD)*MOD_Phys</v>
      </c>
      <c r="V40" s="296" t="str">
        <f ca="1">IFERROR(__xludf.DUMMYFUNCTION("""COMPUTED_VALUE"""),"=(10+50*P_W+0,6*Self_AP)*MOD_Magic")</f>
        <v>=(10+50*P_W+0,6*Self_AP)*MOD_Magic</v>
      </c>
      <c r="W40" s="296" t="str">
        <f ca="1">IFERROR(__xludf.DUMMYFUNCTION("""COMPUTED_VALUE"""),"=0")</f>
        <v>=0</v>
      </c>
      <c r="X40" s="296" t="str">
        <f ca="1">IFERROR(__xludf.DUMMYFUNCTION("""COMPUTED_VALUE"""),"=(125+150*P_R+1,5*Self_BoAD)*MOD_Phys")</f>
        <v>=(125+150*P_R+1,5*Self_BoAD)*MOD_Phys</v>
      </c>
      <c r="Y40" s="297" t="str">
        <f ca="1">IFERROR(__xludf.DUMMYFUNCTION("""COMPUTED_VALUE"""),"=Calc!M10*Self_AD")</f>
        <v>=Calc!M10*Self_AD</v>
      </c>
      <c r="Z40" s="281" t="str">
        <f ca="1">IFERROR(__xludf.DUMMYFUNCTION("""COMPUTED_VALUE"""),"=14,5- 1,5 * P_Q")</f>
        <v>=14,5- 1,5 * P_Q</v>
      </c>
      <c r="AA40" s="282" t="str">
        <f ca="1">IFERROR(__xludf.DUMMYFUNCTION("""COMPUTED_VALUE"""),"=28-2*P_W")</f>
        <v>=28-2*P_W</v>
      </c>
      <c r="AB40" s="282" t="str">
        <f ca="1">IFERROR(__xludf.DUMMYFUNCTION("""COMPUTED_VALUE"""),"=17 - P_E")</f>
        <v>=17 - P_E</v>
      </c>
      <c r="AC40" s="282" t="str">
        <f ca="1">IFERROR(__xludf.DUMMYFUNCTION("""COMPUTED_VALUE"""),"=120-20*P_R")</f>
        <v>=120-20*P_R</v>
      </c>
      <c r="AD40" s="283" t="str">
        <f ca="1">IFERROR(__xludf.DUMMYFUNCTION("""COMPUTED_VALUE"""),"=1")</f>
        <v>=1</v>
      </c>
      <c r="AE40" s="281" t="b">
        <f ca="1">IFERROR(__xludf.DUMMYFUNCTION("""COMPUTED_VALUE"""),FALSE)</f>
        <v>0</v>
      </c>
      <c r="AF40" s="282" t="str">
        <f ca="1">IFERROR(__xludf.DUMMYFUNCTION("""COMPUTED_VALUE"""),"=Image(""https://ddragon.leagueoflegends.com/cdn/11.19.1/img/champion/Graves.png"")")</f>
        <v>=Image("https://ddragon.leagueoflegends.com/cdn/11.19.1/img/champion/Graves.png")</v>
      </c>
      <c r="AG40" s="282" t="str">
        <f ca="1">IFERROR(__xludf.DUMMYFUNCTION("""COMPUTED_VALUE"""),"=IF(OR(REGEXMATCH(FORMULATEXT(U40);""HMOD"");NOT(P_Q&gt;0));0;U40)+IF(OR(REGEXMATCH(FORMULATEXT(V40);""HMOD"");NOT(P_W&gt;0));0;V40)+IF(OR(REGEXMATCH(FORMULATEXT(W40);""HMOD"");NOT(P_E&gt;0));0;W40)+IF(OR(REGEXMATCH(FORMULATEXT(X40);""HMOD"");NOT(P_R&gt;0));0;X40)+IF"&amp;"(REGEXMATCH(FORMULATEXT(Y40);""HMOD"");0;Y40)+Self_Proc_Item+Self_Proc_Summ+Self_Proc_Rune+3*Self_DPS")</f>
        <v>=IF(OR(REGEXMATCH(FORMULATEXT(U40);"HMOD");NOT(P_Q&gt;0));0;U40)+IF(OR(REGEXMATCH(FORMULATEXT(V40);"HMOD");NOT(P_W&gt;0));0;V40)+IF(OR(REGEXMATCH(FORMULATEXT(W40);"HMOD");NOT(P_E&gt;0));0;W40)+IF(OR(REGEXMATCH(FORMULATEXT(X40);"HMOD");NOT(P_R&gt;0));0;X40)+IF(REGEXMATCH(FORMULATEXT(Y40);"HMOD");0;Y40)+Self_Proc_Item+Self_Proc_Summ+Self_Proc_Rune+3*Self_DPS</v>
      </c>
      <c r="AH40" s="282" t="str">
        <f ca="1">IFERROR(__xludf.DUMMYFUNCTION("""COMPUTED_VALUE"""),"=0")</f>
        <v>=0</v>
      </c>
      <c r="AI40" s="282" t="b">
        <f ca="1">IFERROR(__xludf.DUMMYFUNCTION("""COMPUTED_VALUE"""),FALSE)</f>
        <v>0</v>
      </c>
      <c r="AJ40" s="283" t="b">
        <f ca="1">IFERROR(__xludf.DUMMYFUNCTION("""COMPUTED_VALUE"""),FALSE)</f>
        <v>0</v>
      </c>
    </row>
    <row r="41" spans="1:36">
      <c r="A41" s="267" t="str">
        <f ca="1">IFERROR(__xludf.DUMMYFUNCTION("""COMPUTED_VALUE"""),"Gwen")</f>
        <v>Gwen</v>
      </c>
      <c r="B41" s="287" t="str">
        <f ca="1">IFERROR(__xludf.DUMMYFUNCTION("""COMPUTED_VALUE"""),"=620")</f>
        <v>=620</v>
      </c>
      <c r="C41" s="287" t="str">
        <f ca="1">IFERROR(__xludf.DUMMYFUNCTION("""COMPUTED_VALUE"""),"=109")</f>
        <v>=109</v>
      </c>
      <c r="D41" s="288" t="str">
        <f ca="1">IFERROR(__xludf.DUMMYFUNCTION("""COMPUTED_VALUE"""),"=8,5")</f>
        <v>=8,5</v>
      </c>
      <c r="E41" s="289" t="str">
        <f ca="1">IFERROR(__xludf.DUMMYFUNCTION("""COMPUTED_VALUE"""),"=0,95")</f>
        <v>=0,95</v>
      </c>
      <c r="F41" s="288" t="str">
        <f ca="1">IFERROR(__xludf.DUMMYFUNCTION("""COMPUTED_VALUE"""),"=330")</f>
        <v>=330</v>
      </c>
      <c r="G41" s="288" t="str">
        <f ca="1">IFERROR(__xludf.DUMMYFUNCTION("""COMPUTED_VALUE"""),"=40")</f>
        <v>=40</v>
      </c>
      <c r="H41" s="288" t="str">
        <f ca="1">IFERROR(__xludf.DUMMYFUNCTION("""COMPUTED_VALUE"""),"=7")</f>
        <v>=7</v>
      </c>
      <c r="I41" s="289" t="str">
        <f ca="1">IFERROR(__xludf.DUMMYFUNCTION("""COMPUTED_VALUE"""),"=0,7")</f>
        <v>=0,7</v>
      </c>
      <c r="J41" s="290" t="str">
        <f ca="1">IFERROR(__xludf.DUMMYFUNCTION("""COMPUTED_VALUE"""),"=63")</f>
        <v>=63</v>
      </c>
      <c r="K41" s="288" t="str">
        <f ca="1">IFERROR(__xludf.DUMMYFUNCTION("""COMPUTED_VALUE"""),"=3")</f>
        <v>=3</v>
      </c>
      <c r="L41" s="291" t="str">
        <f ca="1">IFERROR(__xludf.DUMMYFUNCTION("""COMPUTED_VALUE"""),"=0,69")</f>
        <v>=0,69</v>
      </c>
      <c r="M41" s="291" t="str">
        <f ca="1">IFERROR(__xludf.DUMMYFUNCTION("""COMPUTED_VALUE"""),"=0,625")</f>
        <v>=0,625</v>
      </c>
      <c r="N41" s="292" t="str">
        <f ca="1">IFERROR(__xludf.DUMMYFUNCTION("""COMPUTED_VALUE"""),"=0,0225")</f>
        <v>=0,0225</v>
      </c>
      <c r="O41" s="287" t="str">
        <f ca="1">IFERROR(__xludf.DUMMYFUNCTION("""COMPUTED_VALUE"""),"=39")</f>
        <v>=39</v>
      </c>
      <c r="P41" s="287" t="str">
        <f ca="1">IFERROR(__xludf.DUMMYFUNCTION("""COMPUTED_VALUE"""),"=5,2")</f>
        <v>=5,2</v>
      </c>
      <c r="Q41" s="288" t="str">
        <f ca="1">IFERROR(__xludf.DUMMYFUNCTION("""COMPUTED_VALUE"""),"=32")</f>
        <v>=32</v>
      </c>
      <c r="R41" s="289" t="str">
        <f ca="1">IFERROR(__xludf.DUMMYFUNCTION("""COMPUTED_VALUE"""),"=2,05")</f>
        <v>=2,05</v>
      </c>
      <c r="S41" s="287" t="str">
        <f ca="1">IFERROR(__xludf.DUMMYFUNCTION("""COMPUTED_VALUE"""),"=340")</f>
        <v>=340</v>
      </c>
      <c r="T41" s="628" t="str">
        <f ca="1">IFERROR(__xludf.DUMMYFUNCTION("""COMPUTED_VALUE"""),"=150 + IF(Steroid_E; 75; 0)")</f>
        <v>=150 + IF(Steroid_E; 75; 0)</v>
      </c>
      <c r="U41" s="298" t="str">
        <f ca="1">IFERROR(__xludf.DUMMYFUNCTION("""COMPUTED_VALUE"""),"=((25 * P_Q + 35 + 0,35 * Self_AP) + (5 * P_Q + 5 + 0,05 * Self_AP) * IF(Steroid_Q; 5; 1)) * IF(Steroid_Q; Calc!O10 * 0,5 + MOD_Magic * 0,5;MOD_Magic) + IF(Steroid_Q; 5 * Y41; 0)")</f>
        <v>=((25 * P_Q + 35 + 0,35 * Self_AP) + (5 * P_Q + 5 + 0,05 * Self_AP) * IF(Steroid_Q; 5; 1)) * IF(Steroid_Q; Calc!O10 * 0,5 + MOD_Magic * 0,5;MOD_Magic) + IF(Steroid_Q; 5 * Y41; 0)</v>
      </c>
      <c r="V41" s="299" t="str">
        <f ca="1">IFERROR(__xludf.DUMMYFUNCTION("""COMPUTED_VALUE"""),"=0")</f>
        <v>=0</v>
      </c>
      <c r="W41" s="299" t="str">
        <f ca="1">IFERROR(__xludf.DUMMYFUNCTION("""COMPUTED_VALUE"""),"=0")</f>
        <v>=0</v>
      </c>
      <c r="X41" s="299" t="str">
        <f ca="1">IFERROR(__xludf.DUMMYFUNCTION("""COMPUTED_VALUE"""),"=((30 * P_R + 5 + 0,1 * Self_AP) * MOD_Magic + Y41) * IF(Steroid_R;9;1)")</f>
        <v>=((30 * P_R + 5 + 0,1 * Self_AP) * MOD_Magic + Y41) * IF(Steroid_R;9;1)</v>
      </c>
      <c r="Y41" s="300" t="str">
        <f ca="1">IFERROR(__xludf.DUMMYFUNCTION("""COMPUTED_VALUE"""),"=(0,01+0,00008*Self_AP)*E_MHP*MOD_Magic")</f>
        <v>=(0,01+0,00008*Self_AP)*E_MHP*MOD_Magic</v>
      </c>
      <c r="Z41" s="281" t="str">
        <f ca="1">IFERROR(__xludf.DUMMYFUNCTION("""COMPUTED_VALUE"""),"=7,25-0,75*P_Q")</f>
        <v>=7,25-0,75*P_Q</v>
      </c>
      <c r="AA41" s="282" t="str">
        <f ca="1">IFERROR(__xludf.DUMMYFUNCTION("""COMPUTED_VALUE"""),"=24-2*P_W")</f>
        <v>=24-2*P_W</v>
      </c>
      <c r="AB41" s="282" t="str">
        <f ca="1">IFERROR(__xludf.DUMMYFUNCTION("""COMPUTED_VALUE"""),"=13,5 - 0,5 * P_E")</f>
        <v>=13,5 - 0,5 * P_E</v>
      </c>
      <c r="AC41" s="282" t="str">
        <f ca="1">IFERROR(__xludf.DUMMYFUNCTION("""COMPUTED_VALUE"""),"=140 - 20 * P_R")</f>
        <v>=140 - 20 * P_R</v>
      </c>
      <c r="AD41" s="283" t="str">
        <f ca="1">IFERROR(__xludf.DUMMYFUNCTION("""COMPUTED_VALUE"""),"=1")</f>
        <v>=1</v>
      </c>
      <c r="AE41" s="281" t="b">
        <f ca="1">IFERROR(__xludf.DUMMYFUNCTION("""COMPUTED_VALUE"""),TRUE)</f>
        <v>1</v>
      </c>
      <c r="AF41" s="282" t="str">
        <f ca="1">IFERROR(__xludf.DUMMYFUNCTION("""COMPUTED_VALUE"""),"=Image(""https://ddragon.leagueoflegends.com/cdn/11.19.1/img/champion/Gwen.png"")")</f>
        <v>=Image("https://ddragon.leagueoflegends.com/cdn/11.19.1/img/champion/Gwen.png")</v>
      </c>
      <c r="AG41" s="282" t="str">
        <f ca="1">IFERROR(__xludf.DUMMYFUNCTION("""COMPUTED_VALUE"""),"=IF(OR(REGEXMATCH(FORMULATEXT(U41);""HMOD"");NOT(P_Q&gt;0));0;U41)+IF(OR(REGEXMATCH(FORMULATEXT(V41);""HMOD"");NOT(P_W&gt;0));0;V41)+IF(OR(REGEXMATCH(FORMULATEXT(W41);""HMOD"");NOT(P_E&gt;0));0;W41)+IF(OR(REGEXMATCH(FORMULATEXT(X41);""HMOD"");NOT(P_R&gt;0));0;X41)+IF"&amp;"(REGEXMATCH(FORMULATEXT(Y41);""HMOD"");0;Y41)+Self_Proc_Item+Self_Proc_Summ+Self_Proc_Rune+3*Self_DPS")</f>
        <v>=IF(OR(REGEXMATCH(FORMULATEXT(U41);"HMOD");NOT(P_Q&gt;0));0;U41)+IF(OR(REGEXMATCH(FORMULATEXT(V41);"HMOD");NOT(P_W&gt;0));0;V41)+IF(OR(REGEXMATCH(FORMULATEXT(W41);"HMOD");NOT(P_E&gt;0));0;W41)+IF(OR(REGEXMATCH(FORMULATEXT(X41);"HMOD");NOT(P_R&gt;0));0;X41)+IF(REGEXMATCH(FORMULATEXT(Y41);"HMOD");0;Y41)+Self_Proc_Item+Self_Proc_Summ+Self_Proc_Rune+3*Self_DPS</v>
      </c>
      <c r="AH41" s="282" t="str">
        <f ca="1">IFERROR(__xludf.DUMMYFUNCTION("""COMPUTED_VALUE"""),"=0")</f>
        <v>=0</v>
      </c>
      <c r="AI41" s="282" t="b">
        <f ca="1">IFERROR(__xludf.DUMMYFUNCTION("""COMPUTED_VALUE"""),FALSE)</f>
        <v>0</v>
      </c>
      <c r="AJ41" s="283" t="b">
        <f ca="1">IFERROR(__xludf.DUMMYFUNCTION("""COMPUTED_VALUE"""),FALSE)</f>
        <v>0</v>
      </c>
    </row>
    <row r="42" spans="1:36">
      <c r="A42" s="267" t="str">
        <f ca="1">IFERROR(__xludf.DUMMYFUNCTION("""COMPUTED_VALUE"""),"Hecarim")</f>
        <v>Hecarim</v>
      </c>
      <c r="B42" s="287" t="str">
        <f ca="1">IFERROR(__xludf.DUMMYFUNCTION("""COMPUTED_VALUE"""),"=625")</f>
        <v>=625</v>
      </c>
      <c r="C42" s="287" t="str">
        <f ca="1">IFERROR(__xludf.DUMMYFUNCTION("""COMPUTED_VALUE"""),"=99")</f>
        <v>=99</v>
      </c>
      <c r="D42" s="288" t="str">
        <f ca="1">IFERROR(__xludf.DUMMYFUNCTION("""COMPUTED_VALUE"""),"=7")</f>
        <v>=7</v>
      </c>
      <c r="E42" s="289" t="str">
        <f ca="1">IFERROR(__xludf.DUMMYFUNCTION("""COMPUTED_VALUE"""),"=0,75")</f>
        <v>=0,75</v>
      </c>
      <c r="F42" s="288" t="str">
        <f ca="1">IFERROR(__xludf.DUMMYFUNCTION("""COMPUTED_VALUE"""),"=277")</f>
        <v>=277</v>
      </c>
      <c r="G42" s="288" t="str">
        <f ca="1">IFERROR(__xludf.DUMMYFUNCTION("""COMPUTED_VALUE"""),"=60")</f>
        <v>=60</v>
      </c>
      <c r="H42" s="288" t="str">
        <f ca="1">IFERROR(__xludf.DUMMYFUNCTION("""COMPUTED_VALUE"""),"=6,5")</f>
        <v>=6,5</v>
      </c>
      <c r="I42" s="289" t="str">
        <f ca="1">IFERROR(__xludf.DUMMYFUNCTION("""COMPUTED_VALUE"""),"=0,6")</f>
        <v>=0,6</v>
      </c>
      <c r="J42" s="290" t="str">
        <f ca="1">IFERROR(__xludf.DUMMYFUNCTION("""COMPUTED_VALUE"""),"=66")</f>
        <v>=66</v>
      </c>
      <c r="K42" s="288" t="str">
        <f ca="1">IFERROR(__xludf.DUMMYFUNCTION("""COMPUTED_VALUE"""),"=3,2")</f>
        <v>=3,2</v>
      </c>
      <c r="L42" s="291" t="str">
        <f ca="1">IFERROR(__xludf.DUMMYFUNCTION("""COMPUTED_VALUE"""),"=0,67")</f>
        <v>=0,67</v>
      </c>
      <c r="M42" s="291" t="str">
        <f ca="1">IFERROR(__xludf.DUMMYFUNCTION("""COMPUTED_VALUE"""),"=0,67")</f>
        <v>=0,67</v>
      </c>
      <c r="N42" s="292" t="str">
        <f ca="1">IFERROR(__xludf.DUMMYFUNCTION("""COMPUTED_VALUE"""),"=2,5%")</f>
        <v>=2,5%</v>
      </c>
      <c r="O42" s="287" t="str">
        <f ca="1">IFERROR(__xludf.DUMMYFUNCTION("""COMPUTED_VALUE"""),"=32")</f>
        <v>=32</v>
      </c>
      <c r="P42" s="287" t="str">
        <f ca="1">IFERROR(__xludf.DUMMYFUNCTION("""COMPUTED_VALUE"""),"=5,45")</f>
        <v>=5,45</v>
      </c>
      <c r="Q42" s="288" t="str">
        <f ca="1">IFERROR(__xludf.DUMMYFUNCTION("""COMPUTED_VALUE"""),"=32")</f>
        <v>=32</v>
      </c>
      <c r="R42" s="289" t="str">
        <f ca="1">IFERROR(__xludf.DUMMYFUNCTION("""COMPUTED_VALUE"""),"=2,05")</f>
        <v>=2,05</v>
      </c>
      <c r="S42" s="287" t="str">
        <f ca="1">IFERROR(__xludf.DUMMYFUNCTION("""COMPUTED_VALUE"""),"=345")</f>
        <v>=345</v>
      </c>
      <c r="T42" s="628" t="str">
        <f ca="1">IFERROR(__xludf.DUMMYFUNCTION("""COMPUTED_VALUE"""),"=175")</f>
        <v>=175</v>
      </c>
      <c r="U42" s="295" t="str">
        <f ca="1">IFERROR(__xludf.DUMMYFUNCTION("""COMPUTED_VALUE"""),"=(35 + 25 * P_Q + 0,9 * Self_BoAD) * MOD_Phys * IF(Steroid_Q; 1,09 + 0,0012 * Self_BoAD; 1)")</f>
        <v>=(35 + 25 * P_Q + 0,9 * Self_BoAD) * MOD_Phys * IF(Steroid_Q; 1,09 + 0,0012 * Self_BoAD; 1)</v>
      </c>
      <c r="V42" s="296" t="str">
        <f ca="1">IFERROR(__xludf.DUMMYFUNCTION("""COMPUTED_VALUE"""),"=(40+40*P_W+0,8*Self_AP)*MOD_Magic")</f>
        <v>=(40+40*P_W+0,8*Self_AP)*MOD_Magic</v>
      </c>
      <c r="W42" s="296" t="str">
        <f ca="1">IFERROR(__xludf.DUMMYFUNCTION("""COMPUTED_VALUE"""),"=(15 + 15 * P_E + 0,5 * Self_BoAD) * MOD_Phys * IF(Steroid_E; 2; 1)")</f>
        <v>=(15 + 15 * P_E + 0,5 * Self_BoAD) * MOD_Phys * IF(Steroid_E; 2; 1)</v>
      </c>
      <c r="X42" s="296" t="str">
        <f ca="1">IFERROR(__xludf.DUMMYFUNCTION("""COMPUTED_VALUE"""),"=(50+100*P_R+Self_AP)*MOD_Magic")</f>
        <v>=(50+100*P_R+Self_AP)*MOD_Magic</v>
      </c>
      <c r="Y42" s="297" t="str">
        <f ca="1">IFERROR(__xludf.DUMMYFUNCTION("""COMPUTED_VALUE"""),"=0,15+0,025*ROUNDDOWN((Self_Level-1)/3)")</f>
        <v>=0,15+0,025*ROUNDDOWN((Self_Level-1)/3)</v>
      </c>
      <c r="Z42" s="281" t="str">
        <f ca="1">IFERROR(__xludf.DUMMYFUNCTION("""COMPUTED_VALUE"""),"=4")</f>
        <v>=4</v>
      </c>
      <c r="AA42" s="282" t="str">
        <f ca="1">IFERROR(__xludf.DUMMYFUNCTION("""COMPUTED_VALUE"""),"=16,5 - 0,5 * P_W")</f>
        <v>=16,5 - 0,5 * P_W</v>
      </c>
      <c r="AB42" s="282" t="str">
        <f ca="1">IFERROR(__xludf.DUMMYFUNCTION("""COMPUTED_VALUE"""),"=18")</f>
        <v>=18</v>
      </c>
      <c r="AC42" s="282" t="str">
        <f ca="1">IFERROR(__xludf.DUMMYFUNCTION("""COMPUTED_VALUE"""),"=160 - 20 * P_R")</f>
        <v>=160 - 20 * P_R</v>
      </c>
      <c r="AD42" s="283" t="str">
        <f ca="1">IFERROR(__xludf.DUMMYFUNCTION("""COMPUTED_VALUE"""),"=1")</f>
        <v>=1</v>
      </c>
      <c r="AE42" s="281" t="b">
        <f ca="1">IFERROR(__xludf.DUMMYFUNCTION("""COMPUTED_VALUE"""),TRUE)</f>
        <v>1</v>
      </c>
      <c r="AF42" s="282" t="str">
        <f ca="1">IFERROR(__xludf.DUMMYFUNCTION("""COMPUTED_VALUE"""),"=Image(""https://ddragon.leagueoflegends.com/cdn/11.19.1/img/champion/Hecarim.png"")")</f>
        <v>=Image("https://ddragon.leagueoflegends.com/cdn/11.19.1/img/champion/Hecarim.png")</v>
      </c>
      <c r="AG42" s="282" t="str">
        <f ca="1">IFERROR(__xludf.DUMMYFUNCTION("""COMPUTED_VALUE"""),"=IF(OR(REGEXMATCH(FORMULATEXT(U42);""HMOD"");NOT(P_Q&gt;0));0;U42)+IF(OR(REGEXMATCH(FORMULATEXT(V42);""HMOD"");NOT(P_W&gt;0));0;V42)+IF(OR(REGEXMATCH(FORMULATEXT(W42);""HMOD"");NOT(P_E&gt;0));0;W42)+IF(OR(REGEXMATCH(FORMULATEXT(X42);""HMOD"");NOT(P_R&gt;0));0;X42)+IF"&amp;"(REGEXMATCH(FORMULATEXT(Y42);""HMOD"");0;Y42)+Self_Proc_Item+Self_Proc_Summ+Self_Proc_Rune+3*Self_DPS")</f>
        <v>=IF(OR(REGEXMATCH(FORMULATEXT(U42);"HMOD");NOT(P_Q&gt;0));0;U42)+IF(OR(REGEXMATCH(FORMULATEXT(V42);"HMOD");NOT(P_W&gt;0));0;V42)+IF(OR(REGEXMATCH(FORMULATEXT(W42);"HMOD");NOT(P_E&gt;0));0;W42)+IF(OR(REGEXMATCH(FORMULATEXT(X42);"HMOD");NOT(P_R&gt;0));0;X42)+IF(REGEXMATCH(FORMULATEXT(Y42);"HMOD");0;Y42)+Self_Proc_Item+Self_Proc_Summ+Self_Proc_Rune+3*Self_DPS</v>
      </c>
      <c r="AH42" s="282" t="str">
        <f ca="1">IFERROR(__xludf.DUMMYFUNCTION("""COMPUTED_VALUE"""),"=0")</f>
        <v>=0</v>
      </c>
      <c r="AI42" s="282" t="b">
        <f ca="1">IFERROR(__xludf.DUMMYFUNCTION("""COMPUTED_VALUE"""),FALSE)</f>
        <v>0</v>
      </c>
      <c r="AJ42" s="283" t="b">
        <f ca="1">IFERROR(__xludf.DUMMYFUNCTION("""COMPUTED_VALUE"""),FALSE)</f>
        <v>0</v>
      </c>
    </row>
    <row r="43" spans="1:36">
      <c r="A43" s="267" t="str">
        <f ca="1">IFERROR(__xludf.DUMMYFUNCTION("""COMPUTED_VALUE"""),"Heimerdinger")</f>
        <v>Heimerdinger</v>
      </c>
      <c r="B43" s="287" t="str">
        <f ca="1">IFERROR(__xludf.DUMMYFUNCTION("""COMPUTED_VALUE"""),"=558")</f>
        <v>=558</v>
      </c>
      <c r="C43" s="287" t="str">
        <f ca="1">IFERROR(__xludf.DUMMYFUNCTION("""COMPUTED_VALUE"""),"=101")</f>
        <v>=101</v>
      </c>
      <c r="D43" s="288" t="str">
        <f ca="1">IFERROR(__xludf.DUMMYFUNCTION("""COMPUTED_VALUE"""),"=7")</f>
        <v>=7</v>
      </c>
      <c r="E43" s="289" t="str">
        <f ca="1">IFERROR(__xludf.DUMMYFUNCTION("""COMPUTED_VALUE"""),"=0,55")</f>
        <v>=0,55</v>
      </c>
      <c r="F43" s="288" t="str">
        <f ca="1">IFERROR(__xludf.DUMMYFUNCTION("""COMPUTED_VALUE"""),"=385")</f>
        <v>=385</v>
      </c>
      <c r="G43" s="288" t="str">
        <f ca="1">IFERROR(__xludf.DUMMYFUNCTION("""COMPUTED_VALUE"""),"=20")</f>
        <v>=20</v>
      </c>
      <c r="H43" s="288" t="str">
        <f ca="1">IFERROR(__xludf.DUMMYFUNCTION("""COMPUTED_VALUE"""),"=8")</f>
        <v>=8</v>
      </c>
      <c r="I43" s="289" t="str">
        <f ca="1">IFERROR(__xludf.DUMMYFUNCTION("""COMPUTED_VALUE"""),"=0,8")</f>
        <v>=0,8</v>
      </c>
      <c r="J43" s="290" t="str">
        <f ca="1">IFERROR(__xludf.DUMMYFUNCTION("""COMPUTED_VALUE"""),"=56")</f>
        <v>=56</v>
      </c>
      <c r="K43" s="288" t="str">
        <f ca="1">IFERROR(__xludf.DUMMYFUNCTION("""COMPUTED_VALUE"""),"=2,7")</f>
        <v>=2,7</v>
      </c>
      <c r="L43" s="291" t="str">
        <f ca="1">IFERROR(__xludf.DUMMYFUNCTION("""COMPUTED_VALUE"""),"=0,625")</f>
        <v>=0,625</v>
      </c>
      <c r="M43" s="291" t="str">
        <f ca="1">IFERROR(__xludf.DUMMYFUNCTION("""COMPUTED_VALUE"""),"=0,625")</f>
        <v>=0,625</v>
      </c>
      <c r="N43" s="292" t="str">
        <f ca="1">IFERROR(__xludf.DUMMYFUNCTION("""COMPUTED_VALUE"""),"=1,36%")</f>
        <v>=1,36%</v>
      </c>
      <c r="O43" s="287" t="str">
        <f ca="1">IFERROR(__xludf.DUMMYFUNCTION("""COMPUTED_VALUE"""),"=19")</f>
        <v>=19</v>
      </c>
      <c r="P43" s="287" t="str">
        <f ca="1">IFERROR(__xludf.DUMMYFUNCTION("""COMPUTED_VALUE"""),"=4,2")</f>
        <v>=4,2</v>
      </c>
      <c r="Q43" s="288" t="str">
        <f ca="1">IFERROR(__xludf.DUMMYFUNCTION("""COMPUTED_VALUE"""),"=30")</f>
        <v>=30</v>
      </c>
      <c r="R43" s="289" t="str">
        <f ca="1">IFERROR(__xludf.DUMMYFUNCTION("""COMPUTED_VALUE"""),"=1,3")</f>
        <v>=1,3</v>
      </c>
      <c r="S43" s="287" t="str">
        <f ca="1">IFERROR(__xludf.DUMMYFUNCTION("""COMPUTED_VALUE"""),"=340")</f>
        <v>=340</v>
      </c>
      <c r="T43" s="628" t="str">
        <f ca="1">IFERROR(__xludf.DUMMYFUNCTION("""COMPUTED_VALUE"""),"=550")</f>
        <v>=550</v>
      </c>
      <c r="U43" s="298" t="str">
        <f ca="1">IFERROR(__xludf.DUMMYFUNCTION("""COMPUTED_VALUE"""),"=(0,35 * Self_AP + IF(Steroid_Q; 60 + 20 * P_Q; 3 + 4 * P_Q)) * MOD_Magic")</f>
        <v>=(0,35 * Self_AP + IF(Steroid_Q; 60 + 20 * P_Q; 3 + 4 * P_Q)) * MOD_Magic</v>
      </c>
      <c r="V43" s="299" t="str">
        <f ca="1">IFERROR(__xludf.DUMMYFUNCTION("""COMPUTED_VALUE"""),"=IF(Steroid_W; (45 * P_R + 90) + 4 * (13 * P_R + 19) + 15 * (6,5 * P_R + 9,5) + (0,45 * Self_AP) + (4 * 0,12 + 15 * 0,06) * Self_AP;(15 + 25 * P_W) * 1,8 + (0,55 * Self_AP) * 2,05) * MOD_Magic")</f>
        <v>=IF(Steroid_W; (45 * P_R + 90) + 4 * (13 * P_R + 19) + 15 * (6,5 * P_R + 9,5) + (0,45 * Self_AP) + (4 * 0,12 + 15 * 0,06) * Self_AP;(15 + 25 * P_W) * 1,8 + (0,55 * Self_AP) * 2,05) * MOD_Magic</v>
      </c>
      <c r="W43" s="299" t="str">
        <f ca="1">IFERROR(__xludf.DUMMYFUNCTION("""COMPUTED_VALUE"""),"=(0,6 * Self_AP + IF(Steroid_E; 100 * P_R; 20 + 40 * P_E)) * MOD_Magic")</f>
        <v>=(0,6 * Self_AP + IF(Steroid_E; 100 * P_R; 20 + 40 * P_E)) * MOD_Magic</v>
      </c>
      <c r="X43" s="299" t="str">
        <f ca="1">IFERROR(__xludf.DUMMYFUNCTION("""COMPUTED_VALUE"""),"=0")</f>
        <v>=0</v>
      </c>
      <c r="Y43" s="300" t="str">
        <f ca="1">IFERROR(__xludf.DUMMYFUNCTION("""COMPUTED_VALUE"""),"=0")</f>
        <v>=0</v>
      </c>
      <c r="Z43" s="281" t="str">
        <f ca="1">IFERROR(__xludf.DUMMYFUNCTION("""COMPUTED_VALUE"""),"=20")</f>
        <v>=20</v>
      </c>
      <c r="AA43" s="282" t="str">
        <f ca="1">IFERROR(__xludf.DUMMYFUNCTION("""COMPUTED_VALUE"""),"=12-P_W")</f>
        <v>=12-P_W</v>
      </c>
      <c r="AB43" s="282" t="str">
        <f ca="1">IFERROR(__xludf.DUMMYFUNCTION("""COMPUTED_VALUE"""),"=11")</f>
        <v>=11</v>
      </c>
      <c r="AC43" s="282" t="str">
        <f ca="1">IFERROR(__xludf.DUMMYFUNCTION("""COMPUTED_VALUE"""),"=115-15*P_R")</f>
        <v>=115-15*P_R</v>
      </c>
      <c r="AD43" s="283" t="str">
        <f ca="1">IFERROR(__xludf.DUMMYFUNCTION("""COMPUTED_VALUE"""),"=1")</f>
        <v>=1</v>
      </c>
      <c r="AE43" s="281" t="b">
        <f ca="1">IFERROR(__xludf.DUMMYFUNCTION("""COMPUTED_VALUE"""),FALSE)</f>
        <v>0</v>
      </c>
      <c r="AF43" s="282" t="str">
        <f ca="1">IFERROR(__xludf.DUMMYFUNCTION("""COMPUTED_VALUE"""),"=Image(""https://ddragon.leagueoflegends.com/cdn/11.19.1/img/champion/Heimerdinger.png"")")</f>
        <v>=Image("https://ddragon.leagueoflegends.com/cdn/11.19.1/img/champion/Heimerdinger.png")</v>
      </c>
      <c r="AG43" s="282" t="str">
        <f ca="1">IFERROR(__xludf.DUMMYFUNCTION("""COMPUTED_VALUE"""),"=IF(OR(REGEXMATCH(FORMULATEXT(U43);""HMOD"");NOT(P_Q&gt;0));0;U43)+IF(OR(REGEXMATCH(FORMULATEXT(V43);""HMOD"");NOT(P_W&gt;0));0;V43)+IF(OR(REGEXMATCH(FORMULATEXT(W43);""HMOD"");NOT(P_E&gt;0));0;W43)+IF(OR(REGEXMATCH(FORMULATEXT(X43);""HMOD"");NOT(P_R&gt;0));0;X43)+IF"&amp;"(REGEXMATCH(FORMULATEXT(Y43);""HMOD"");0;Y43)+Self_Proc_Item+Self_Proc_Summ+Self_Proc_Rune+3*Self_DPS")</f>
        <v>=IF(OR(REGEXMATCH(FORMULATEXT(U43);"HMOD");NOT(P_Q&gt;0));0;U43)+IF(OR(REGEXMATCH(FORMULATEXT(V43);"HMOD");NOT(P_W&gt;0));0;V43)+IF(OR(REGEXMATCH(FORMULATEXT(W43);"HMOD");NOT(P_E&gt;0));0;W43)+IF(OR(REGEXMATCH(FORMULATEXT(X43);"HMOD");NOT(P_R&gt;0));0;X43)+IF(REGEXMATCH(FORMULATEXT(Y43);"HMOD");0;Y43)+Self_Proc_Item+Self_Proc_Summ+Self_Proc_Rune+3*Self_DPS</v>
      </c>
      <c r="AH43" s="282" t="str">
        <f ca="1">IFERROR(__xludf.DUMMYFUNCTION("""COMPUTED_VALUE"""),"=0")</f>
        <v>=0</v>
      </c>
      <c r="AI43" s="282" t="b">
        <f ca="1">IFERROR(__xludf.DUMMYFUNCTION("""COMPUTED_VALUE"""),FALSE)</f>
        <v>0</v>
      </c>
      <c r="AJ43" s="283" t="b">
        <f ca="1">IFERROR(__xludf.DUMMYFUNCTION("""COMPUTED_VALUE"""),FALSE)</f>
        <v>0</v>
      </c>
    </row>
    <row r="44" spans="1:36">
      <c r="A44" s="267" t="str">
        <f ca="1">IFERROR(__xludf.DUMMYFUNCTION("""COMPUTED_VALUE"""),"Illaoi")</f>
        <v>Illaoi</v>
      </c>
      <c r="B44" s="287" t="str">
        <f ca="1">IFERROR(__xludf.DUMMYFUNCTION("""COMPUTED_VALUE"""),"=656")</f>
        <v>=656</v>
      </c>
      <c r="C44" s="287" t="str">
        <f ca="1">IFERROR(__xludf.DUMMYFUNCTION("""COMPUTED_VALUE"""),"=109")</f>
        <v>=109</v>
      </c>
      <c r="D44" s="288" t="str">
        <f ca="1">IFERROR(__xludf.DUMMYFUNCTION("""COMPUTED_VALUE"""),"=9,5")</f>
        <v>=9,5</v>
      </c>
      <c r="E44" s="289" t="str">
        <f ca="1">IFERROR(__xludf.DUMMYFUNCTION("""COMPUTED_VALUE"""),"=0,8")</f>
        <v>=0,8</v>
      </c>
      <c r="F44" s="288" t="str">
        <f ca="1">IFERROR(__xludf.DUMMYFUNCTION("""COMPUTED_VALUE"""),"=300")</f>
        <v>=300</v>
      </c>
      <c r="G44" s="288" t="str">
        <f ca="1">IFERROR(__xludf.DUMMYFUNCTION("""COMPUTED_VALUE"""),"=50")</f>
        <v>=50</v>
      </c>
      <c r="H44" s="288" t="str">
        <f ca="1">IFERROR(__xludf.DUMMYFUNCTION("""COMPUTED_VALUE"""),"=7,5")</f>
        <v>=7,5</v>
      </c>
      <c r="I44" s="289" t="str">
        <f ca="1">IFERROR(__xludf.DUMMYFUNCTION("""COMPUTED_VALUE"""),"=0,75")</f>
        <v>=0,75</v>
      </c>
      <c r="J44" s="290" t="str">
        <f ca="1">IFERROR(__xludf.DUMMYFUNCTION("""COMPUTED_VALUE"""),"=68")</f>
        <v>=68</v>
      </c>
      <c r="K44" s="288" t="str">
        <f ca="1">IFERROR(__xludf.DUMMYFUNCTION("""COMPUTED_VALUE"""),"=5")</f>
        <v>=5</v>
      </c>
      <c r="L44" s="291" t="str">
        <f ca="1">IFERROR(__xludf.DUMMYFUNCTION("""COMPUTED_VALUE"""),"=0,625")</f>
        <v>=0,625</v>
      </c>
      <c r="M44" s="291" t="str">
        <f ca="1">IFERROR(__xludf.DUMMYFUNCTION("""COMPUTED_VALUE"""),"=0,625")</f>
        <v>=0,625</v>
      </c>
      <c r="N44" s="292" t="str">
        <f ca="1">IFERROR(__xludf.DUMMYFUNCTION("""COMPUTED_VALUE"""),"=2,5%")</f>
        <v>=2,5%</v>
      </c>
      <c r="O44" s="287" t="str">
        <f ca="1">IFERROR(__xludf.DUMMYFUNCTION("""COMPUTED_VALUE"""),"=35")</f>
        <v>=35</v>
      </c>
      <c r="P44" s="287" t="str">
        <f ca="1">IFERROR(__xludf.DUMMYFUNCTION("""COMPUTED_VALUE"""),"=5")</f>
        <v>=5</v>
      </c>
      <c r="Q44" s="288" t="str">
        <f ca="1">IFERROR(__xludf.DUMMYFUNCTION("""COMPUTED_VALUE"""),"=32")</f>
        <v>=32</v>
      </c>
      <c r="R44" s="289" t="str">
        <f ca="1">IFERROR(__xludf.DUMMYFUNCTION("""COMPUTED_VALUE"""),"=2,05")</f>
        <v>=2,05</v>
      </c>
      <c r="S44" s="287" t="str">
        <f ca="1">IFERROR(__xludf.DUMMYFUNCTION("""COMPUTED_VALUE"""),"=350")</f>
        <v>=350</v>
      </c>
      <c r="T44" s="628" t="str">
        <f ca="1">IFERROR(__xludf.DUMMYFUNCTION("""COMPUTED_VALUE"""),"=125")</f>
        <v>=125</v>
      </c>
      <c r="U44" s="295" t="str">
        <f ca="1">IFERROR(__xludf.DUMMYFUNCTION("""COMPUTED_VALUE"""),"=(1,05+0,05*P_Q)*(10*Self_Level+1,2*Self_AD)*MOD_Phys")</f>
        <v>=(1,05+0,05*P_Q)*(10*Self_Level+1,2*Self_AD)*MOD_Phys</v>
      </c>
      <c r="V44" s="296" t="str">
        <f ca="1">IFERROR(__xludf.DUMMYFUNCTION("""COMPUTED_VALUE"""),"=(0,025+0,005*P_W+0,0004*Self_AD)*E_MHP*MOD_Phys")</f>
        <v>=(0,025+0,005*P_W+0,0004*Self_AD)*E_MHP*MOD_Phys</v>
      </c>
      <c r="W44" s="296" t="str">
        <f ca="1">IFERROR(__xludf.DUMMYFUNCTION("""COMPUTED_VALUE"""),"=(0,2+0,05*P_E+0,0008*Self_AD)")</f>
        <v>=(0,2+0,05*P_E+0,0008*Self_AD)</v>
      </c>
      <c r="X44" s="296" t="str">
        <f ca="1">IFERROR(__xludf.DUMMYFUNCTION("""COMPUTED_VALUE"""),"=(50+100*P_R+0,5*Self_BoAD)*MOD_Phys")</f>
        <v>=(50+100*P_R+0,5*Self_BoAD)*MOD_Phys</v>
      </c>
      <c r="Y44" s="297" t="str">
        <f ca="1">IFERROR(__xludf.DUMMYFUNCTION("""COMPUTED_VALUE"""),"=(10*Self_Level+1,2*Self_AD+0,4*Self_AP)*MOD_Phys")</f>
        <v>=(10*Self_Level+1,2*Self_AD+0,4*Self_AP)*MOD_Phys</v>
      </c>
      <c r="Z44" s="281" t="str">
        <f ca="1">IFERROR(__xludf.DUMMYFUNCTION("""COMPUTED_VALUE"""),"=11-P_Q")</f>
        <v>=11-P_Q</v>
      </c>
      <c r="AA44" s="282" t="str">
        <f ca="1">IFERROR(__xludf.DUMMYFUNCTION("""COMPUTED_VALUE"""),"=4")</f>
        <v>=4</v>
      </c>
      <c r="AB44" s="282" t="str">
        <f ca="1">IFERROR(__xludf.DUMMYFUNCTION("""COMPUTED_VALUE"""),"=17-1*P_E")</f>
        <v>=17-1*P_E</v>
      </c>
      <c r="AC44" s="282" t="str">
        <f ca="1">IFERROR(__xludf.DUMMYFUNCTION("""COMPUTED_VALUE"""),"=145-25*P_R")</f>
        <v>=145-25*P_R</v>
      </c>
      <c r="AD44" s="283" t="str">
        <f ca="1">IFERROR(__xludf.DUMMYFUNCTION("""COMPUTED_VALUE"""),"=20,75-0,75*Self_Level")</f>
        <v>=20,75-0,75*Self_Level</v>
      </c>
      <c r="AE44" s="281" t="b">
        <f ca="1">IFERROR(__xludf.DUMMYFUNCTION("""COMPUTED_VALUE"""),TRUE)</f>
        <v>1</v>
      </c>
      <c r="AF44" s="282" t="str">
        <f ca="1">IFERROR(__xludf.DUMMYFUNCTION("""COMPUTED_VALUE"""),"=Image(""https://ddragon.leagueoflegends.com/cdn/11.19.1/img/champion/Illaoi.png"")")</f>
        <v>=Image("https://ddragon.leagueoflegends.com/cdn/11.19.1/img/champion/Illaoi.png")</v>
      </c>
      <c r="AG44" s="282" t="str">
        <f ca="1">IFERROR(__xludf.DUMMYFUNCTION("""COMPUTED_VALUE"""),"=IF(OR(REGEXMATCH(FORMULATEXT(U44);""HMOD"");NOT(P_Q&gt;0));0;U44)+IF(OR(REGEXMATCH(FORMULATEXT(V44);""HMOD"");NOT(P_W&gt;0));0;V44)+IF(OR(REGEXMATCH(FORMULATEXT(W44);""HMOD"");NOT(P_E&gt;0));0;W44)+IF(OR(REGEXMATCH(FORMULATEXT(X44);""HMOD"");NOT(P_R&gt;0));0;X44)+IF"&amp;"(REGEXMATCH(FORMULATEXT(Y44);""HMOD"");0;Y44)+Self_Proc_Item+Self_Proc_Summ+Self_Proc_Rune+3*Self_DPS")</f>
        <v>=IF(OR(REGEXMATCH(FORMULATEXT(U44);"HMOD");NOT(P_Q&gt;0));0;U44)+IF(OR(REGEXMATCH(FORMULATEXT(V44);"HMOD");NOT(P_W&gt;0));0;V44)+IF(OR(REGEXMATCH(FORMULATEXT(W44);"HMOD");NOT(P_E&gt;0));0;W44)+IF(OR(REGEXMATCH(FORMULATEXT(X44);"HMOD");NOT(P_R&gt;0));0;X44)+IF(REGEXMATCH(FORMULATEXT(Y44);"HMOD");0;Y44)+Self_Proc_Item+Self_Proc_Summ+Self_Proc_Rune+3*Self_DPS</v>
      </c>
      <c r="AH44" s="282" t="str">
        <f ca="1">IFERROR(__xludf.DUMMYFUNCTION("""COMPUTED_VALUE"""),"=0")</f>
        <v>=0</v>
      </c>
      <c r="AI44" s="282" t="b">
        <f ca="1">IFERROR(__xludf.DUMMYFUNCTION("""COMPUTED_VALUE"""),FALSE)</f>
        <v>0</v>
      </c>
      <c r="AJ44" s="283" t="b">
        <f ca="1">IFERROR(__xludf.DUMMYFUNCTION("""COMPUTED_VALUE"""),FALSE)</f>
        <v>0</v>
      </c>
    </row>
    <row r="45" spans="1:36">
      <c r="A45" s="267" t="str">
        <f ca="1">IFERROR(__xludf.DUMMYFUNCTION("""COMPUTED_VALUE"""),"Irelia")</f>
        <v>Irelia</v>
      </c>
      <c r="B45" s="287" t="str">
        <f ca="1">IFERROR(__xludf.DUMMYFUNCTION("""COMPUTED_VALUE"""),"=590")</f>
        <v>=590</v>
      </c>
      <c r="C45" s="287" t="str">
        <f ca="1">IFERROR(__xludf.DUMMYFUNCTION("""COMPUTED_VALUE"""),"=124")</f>
        <v>=124</v>
      </c>
      <c r="D45" s="288" t="str">
        <f ca="1">IFERROR(__xludf.DUMMYFUNCTION("""COMPUTED_VALUE"""),"=8,5")</f>
        <v>=8,5</v>
      </c>
      <c r="E45" s="289" t="str">
        <f ca="1">IFERROR(__xludf.DUMMYFUNCTION("""COMPUTED_VALUE"""),"=0,85")</f>
        <v>=0,85</v>
      </c>
      <c r="F45" s="288" t="str">
        <f ca="1">IFERROR(__xludf.DUMMYFUNCTION("""COMPUTED_VALUE"""),"=350")</f>
        <v>=350</v>
      </c>
      <c r="G45" s="288" t="str">
        <f ca="1">IFERROR(__xludf.DUMMYFUNCTION("""COMPUTED_VALUE"""),"=50")</f>
        <v>=50</v>
      </c>
      <c r="H45" s="288" t="str">
        <f ca="1">IFERROR(__xludf.DUMMYFUNCTION("""COMPUTED_VALUE"""),"=8")</f>
        <v>=8</v>
      </c>
      <c r="I45" s="289" t="str">
        <f ca="1">IFERROR(__xludf.DUMMYFUNCTION("""COMPUTED_VALUE"""),"=0,8")</f>
        <v>=0,8</v>
      </c>
      <c r="J45" s="290" t="str">
        <f ca="1">IFERROR(__xludf.DUMMYFUNCTION("""COMPUTED_VALUE"""),"=63")</f>
        <v>=63</v>
      </c>
      <c r="K45" s="288" t="str">
        <f ca="1">IFERROR(__xludf.DUMMYFUNCTION("""COMPUTED_VALUE"""),"=4")</f>
        <v>=4</v>
      </c>
      <c r="L45" s="291" t="str">
        <f ca="1">IFERROR(__xludf.DUMMYFUNCTION("""COMPUTED_VALUE"""),"=0,625")</f>
        <v>=0,625</v>
      </c>
      <c r="M45" s="291" t="str">
        <f ca="1">IFERROR(__xludf.DUMMYFUNCTION("""COMPUTED_VALUE"""),"=0,625")</f>
        <v>=0,625</v>
      </c>
      <c r="N45" s="292" t="str">
        <f ca="1">IFERROR(__xludf.DUMMYFUNCTION("""COMPUTED_VALUE"""),"=2,5%")</f>
        <v>=2,5%</v>
      </c>
      <c r="O45" s="287" t="str">
        <f ca="1">IFERROR(__xludf.DUMMYFUNCTION("""COMPUTED_VALUE"""),"=36")</f>
        <v>=36</v>
      </c>
      <c r="P45" s="287" t="str">
        <f ca="1">IFERROR(__xludf.DUMMYFUNCTION("""COMPUTED_VALUE"""),"=4,7")</f>
        <v>=4,7</v>
      </c>
      <c r="Q45" s="288" t="str">
        <f ca="1">IFERROR(__xludf.DUMMYFUNCTION("""COMPUTED_VALUE"""),"=30")</f>
        <v>=30</v>
      </c>
      <c r="R45" s="289" t="str">
        <f ca="1">IFERROR(__xludf.DUMMYFUNCTION("""COMPUTED_VALUE"""),"=2,05")</f>
        <v>=2,05</v>
      </c>
      <c r="S45" s="287" t="str">
        <f ca="1">IFERROR(__xludf.DUMMYFUNCTION("""COMPUTED_VALUE"""),"=335")</f>
        <v>=335</v>
      </c>
      <c r="T45" s="628" t="str">
        <f ca="1">IFERROR(__xludf.DUMMYFUNCTION("""COMPUTED_VALUE"""),"=200")</f>
        <v>=200</v>
      </c>
      <c r="U45" s="298" t="str">
        <f ca="1">IFERROR(__xludf.DUMMYFUNCTION("""COMPUTED_VALUE"""),"=(-15+20*P_Q+0,6*Self_AD)*MOD_Phys + OH_Phys + OH_Magic + OH_True + Calc!O32")</f>
        <v>=(-15+20*P_Q+0,6*Self_AD)*MOD_Phys + OH_Phys + OH_Magic + OH_True + Calc!O32</v>
      </c>
      <c r="V45" s="299" t="str">
        <f ca="1">IFERROR(__xludf.DUMMYFUNCTION("""COMPUTED_VALUE"""),"=MAX(IF(Steroid_W; 3; 1) * (-5 + 15 * P_W + 0,4 * Self_AP + 0,4 * Self_AD);10 + 10 * P_W) * MOD_Phys")</f>
        <v>=MAX(IF(Steroid_W; 3; 1) * (-5 + 15 * P_W + 0,4 * Self_AP + 0,4 * Self_AD);10 + 10 * P_W) * MOD_Phys</v>
      </c>
      <c r="W45" s="299" t="str">
        <f ca="1">IFERROR(__xludf.DUMMYFUNCTION("""COMPUTED_VALUE"""),"=(35+45*P_E+0,8*Self_AP)*MOD_Magic")</f>
        <v>=(35+45*P_E+0,8*Self_AP)*MOD_Magic</v>
      </c>
      <c r="X45" s="299" t="str">
        <f ca="1">IFERROR(__xludf.DUMMYFUNCTION("""COMPUTED_VALUE"""),"=(125*P_R+0,7*Self_AP)*MOD_Magic")</f>
        <v>=(125*P_R+0,7*Self_AP)*MOD_Magic</v>
      </c>
      <c r="Y45" s="300" t="str">
        <f ca="1">IFERROR(__xludf.DUMMYFUNCTION("""COMPUTED_VALUE"""),"=0")</f>
        <v>=0</v>
      </c>
      <c r="Z45" s="281" t="str">
        <f ca="1">IFERROR(__xludf.DUMMYFUNCTION("""COMPUTED_VALUE"""),"=12-1*P_Q")</f>
        <v>=12-1*P_Q</v>
      </c>
      <c r="AA45" s="282" t="str">
        <f ca="1">IFERROR(__xludf.DUMMYFUNCTION("""COMPUTED_VALUE"""),"=22 - 2 * P_W")</f>
        <v>=22 - 2 * P_W</v>
      </c>
      <c r="AB45" s="282" t="str">
        <f ca="1">IFERROR(__xludf.DUMMYFUNCTION("""COMPUTED_VALUE"""),"=17 - P_E")</f>
        <v>=17 - P_E</v>
      </c>
      <c r="AC45" s="282" t="str">
        <f ca="1">IFERROR(__xludf.DUMMYFUNCTION("""COMPUTED_VALUE"""),"=160 - 20 * P_R")</f>
        <v>=160 - 20 * P_R</v>
      </c>
      <c r="AD45" s="283" t="str">
        <f ca="1">IFERROR(__xludf.DUMMYFUNCTION("""COMPUTED_VALUE"""),"=1")</f>
        <v>=1</v>
      </c>
      <c r="AE45" s="281" t="b">
        <f ca="1">IFERROR(__xludf.DUMMYFUNCTION("""COMPUTED_VALUE"""),TRUE)</f>
        <v>1</v>
      </c>
      <c r="AF45" s="282" t="str">
        <f ca="1">IFERROR(__xludf.DUMMYFUNCTION("""COMPUTED_VALUE"""),"=Image(""https://ddragon.leagueoflegends.com/cdn/11.19.1/img/champion/Irelia.png"")")</f>
        <v>=Image("https://ddragon.leagueoflegends.com/cdn/11.19.1/img/champion/Irelia.png")</v>
      </c>
      <c r="AG45" s="282" t="str">
        <f ca="1">IFERROR(__xludf.DUMMYFUNCTION("""COMPUTED_VALUE"""),"=IF(OR(REGEXMATCH(FORMULATEXT(U45);""HMOD"");NOT(P_Q&gt;0));0;U45)+IF(OR(REGEXMATCH(FORMULATEXT(V45);""HMOD"");NOT(P_W&gt;0));0;V45)+IF(OR(REGEXMATCH(FORMULATEXT(W45);""HMOD"");NOT(P_E&gt;0));0;W45)+IF(OR(REGEXMATCH(FORMULATEXT(X45);""HMOD"");NOT(P_R&gt;0));0;X45)+IF"&amp;"(REGEXMATCH(FORMULATEXT(Y45);""HMOD"");0;Y45)+Self_Proc_Item+Self_Proc_Summ+Self_Proc_Rune+3*Self_DPS")</f>
        <v>=IF(OR(REGEXMATCH(FORMULATEXT(U45);"HMOD");NOT(P_Q&gt;0));0;U45)+IF(OR(REGEXMATCH(FORMULATEXT(V45);"HMOD");NOT(P_W&gt;0));0;V45)+IF(OR(REGEXMATCH(FORMULATEXT(W45);"HMOD");NOT(P_E&gt;0));0;W45)+IF(OR(REGEXMATCH(FORMULATEXT(X45);"HMOD");NOT(P_R&gt;0));0;X45)+IF(REGEXMATCH(FORMULATEXT(Y45);"HMOD");0;Y45)+Self_Proc_Item+Self_Proc_Summ+Self_Proc_Rune+3*Self_DPS</v>
      </c>
      <c r="AH45" s="282" t="str">
        <f ca="1">IFERROR(__xludf.DUMMYFUNCTION("""COMPUTED_VALUE"""),"=0")</f>
        <v>=0</v>
      </c>
      <c r="AI45" s="282" t="b">
        <f ca="1">IFERROR(__xludf.DUMMYFUNCTION("""COMPUTED_VALUE"""),FALSE)</f>
        <v>0</v>
      </c>
      <c r="AJ45" s="283" t="b">
        <f ca="1">IFERROR(__xludf.DUMMYFUNCTION("""COMPUTED_VALUE"""),FALSE)</f>
        <v>0</v>
      </c>
    </row>
    <row r="46" spans="1:36">
      <c r="A46" s="267" t="str">
        <f ca="1">IFERROR(__xludf.DUMMYFUNCTION("""COMPUTED_VALUE"""),"Ivern")</f>
        <v>Ivern</v>
      </c>
      <c r="B46" s="287" t="str">
        <f ca="1">IFERROR(__xludf.DUMMYFUNCTION("""COMPUTED_VALUE"""),"=655")</f>
        <v>=655</v>
      </c>
      <c r="C46" s="287" t="str">
        <f ca="1">IFERROR(__xludf.DUMMYFUNCTION("""COMPUTED_VALUE"""),"=99")</f>
        <v>=99</v>
      </c>
      <c r="D46" s="288" t="str">
        <f ca="1">IFERROR(__xludf.DUMMYFUNCTION("""COMPUTED_VALUE"""),"=7")</f>
        <v>=7</v>
      </c>
      <c r="E46" s="289" t="str">
        <f ca="1">IFERROR(__xludf.DUMMYFUNCTION("""COMPUTED_VALUE"""),"=0,85")</f>
        <v>=0,85</v>
      </c>
      <c r="F46" s="288" t="str">
        <f ca="1">IFERROR(__xludf.DUMMYFUNCTION("""COMPUTED_VALUE"""),"=450")</f>
        <v>=450</v>
      </c>
      <c r="G46" s="288" t="str">
        <f ca="1">IFERROR(__xludf.DUMMYFUNCTION("""COMPUTED_VALUE"""),"=60")</f>
        <v>=60</v>
      </c>
      <c r="H46" s="288" t="str">
        <f ca="1">IFERROR(__xludf.DUMMYFUNCTION("""COMPUTED_VALUE"""),"=6")</f>
        <v>=6</v>
      </c>
      <c r="I46" s="289" t="str">
        <f ca="1">IFERROR(__xludf.DUMMYFUNCTION("""COMPUTED_VALUE"""),"=0,75")</f>
        <v>=0,75</v>
      </c>
      <c r="J46" s="290" t="str">
        <f ca="1">IFERROR(__xludf.DUMMYFUNCTION("""COMPUTED_VALUE"""),"=50")</f>
        <v>=50</v>
      </c>
      <c r="K46" s="288" t="str">
        <f ca="1">IFERROR(__xludf.DUMMYFUNCTION("""COMPUTED_VALUE"""),"=3")</f>
        <v>=3</v>
      </c>
      <c r="L46" s="291" t="str">
        <f ca="1">IFERROR(__xludf.DUMMYFUNCTION("""COMPUTED_VALUE"""),"=0,644")</f>
        <v>=0,644</v>
      </c>
      <c r="M46" s="291" t="str">
        <f ca="1">IFERROR(__xludf.DUMMYFUNCTION("""COMPUTED_VALUE"""),"=0,644")</f>
        <v>=0,644</v>
      </c>
      <c r="N46" s="292" t="str">
        <f ca="1">IFERROR(__xludf.DUMMYFUNCTION("""COMPUTED_VALUE"""),"=3,4%")</f>
        <v>=3,4%</v>
      </c>
      <c r="O46" s="287" t="str">
        <f ca="1">IFERROR(__xludf.DUMMYFUNCTION("""COMPUTED_VALUE"""),"=27")</f>
        <v>=27</v>
      </c>
      <c r="P46" s="287" t="str">
        <f ca="1">IFERROR(__xludf.DUMMYFUNCTION("""COMPUTED_VALUE"""),"=4,7")</f>
        <v>=4,7</v>
      </c>
      <c r="Q46" s="288" t="str">
        <f ca="1">IFERROR(__xludf.DUMMYFUNCTION("""COMPUTED_VALUE"""),"=32")</f>
        <v>=32</v>
      </c>
      <c r="R46" s="289" t="str">
        <f ca="1">IFERROR(__xludf.DUMMYFUNCTION("""COMPUTED_VALUE"""),"=2,05")</f>
        <v>=2,05</v>
      </c>
      <c r="S46" s="287" t="str">
        <f ca="1">IFERROR(__xludf.DUMMYFUNCTION("""COMPUTED_VALUE"""),"=330")</f>
        <v>=330</v>
      </c>
      <c r="T46" s="628" t="str">
        <f ca="1">IFERROR(__xludf.DUMMYFUNCTION("""COMPUTED_VALUE"""),"=475")</f>
        <v>=475</v>
      </c>
      <c r="U46" s="295" t="str">
        <f ca="1">IFERROR(__xludf.DUMMYFUNCTION("""COMPUTED_VALUE"""),"=(35+45*P_Q+0,7*Self_AP)*MOD_Magic")</f>
        <v>=(35+45*P_Q+0,7*Self_AP)*MOD_Magic</v>
      </c>
      <c r="V46" s="296" t="str">
        <f ca="1">IFERROR(__xludf.DUMMYFUNCTION("""COMPUTED_VALUE"""),"=(22,5+7,5*P_W+Self_AP*0,3)*MOD_Magic")</f>
        <v>=(22,5+7,5*P_W+Self_AP*0,3)*MOD_Magic</v>
      </c>
      <c r="W46" s="296" t="str">
        <f ca="1">IFERROR(__xludf.DUMMYFUNCTION("""COMPUTED_VALUE"""),"=(50+20*P_E+0,8*Self_AP)*MOD_Magic")</f>
        <v>=(50+20*P_E+0,8*Self_AP)*MOD_Magic</v>
      </c>
      <c r="X46" s="296" t="str">
        <f ca="1">IFERROR(__xludf.DUMMYFUNCTION("""COMPUTED_VALUE"""),"=(40+30*P_R+ROUNDDOWN(P_R/3)*40+0,3*Self_AP)*MOD_Phys")</f>
        <v>=(40+30*P_R+ROUNDDOWN(P_R/3)*40+0,3*Self_AP)*MOD_Phys</v>
      </c>
      <c r="Y46" s="297" t="str">
        <f ca="1">IFERROR(__xludf.DUMMYFUNCTION("""COMPUTED_VALUE"""),"=0")</f>
        <v>=0</v>
      </c>
      <c r="Z46" s="281" t="str">
        <f ca="1">IFERROR(__xludf.DUMMYFUNCTION("""COMPUTED_VALUE"""),"=13-P_Q")</f>
        <v>=13-P_Q</v>
      </c>
      <c r="AA46" s="282" t="str">
        <f ca="1">IFERROR(__xludf.DUMMYFUNCTION("""COMPUTED_VALUE"""),"=44-4*P_W")</f>
        <v>=44-4*P_W</v>
      </c>
      <c r="AB46" s="282" t="str">
        <f ca="1">IFERROR(__xludf.DUMMYFUNCTION("""COMPUTED_VALUE"""),"=12 - P_E")</f>
        <v>=12 - P_E</v>
      </c>
      <c r="AC46" s="282" t="str">
        <f ca="1">IFERROR(__xludf.DUMMYFUNCTION("""COMPUTED_VALUE"""),"=150-P_R*10")</f>
        <v>=150-P_R*10</v>
      </c>
      <c r="AD46" s="283" t="str">
        <f ca="1">IFERROR(__xludf.DUMMYFUNCTION("""COMPUTED_VALUE"""),"=1")</f>
        <v>=1</v>
      </c>
      <c r="AE46" s="281" t="b">
        <f ca="1">IFERROR(__xludf.DUMMYFUNCTION("""COMPUTED_VALUE"""),FALSE)</f>
        <v>0</v>
      </c>
      <c r="AF46" s="282" t="str">
        <f ca="1">IFERROR(__xludf.DUMMYFUNCTION("""COMPUTED_VALUE"""),"=Image(""https://ddragon.leagueoflegends.com/cdn/11.19.1/img/champion/Ivern.png"")")</f>
        <v>=Image("https://ddragon.leagueoflegends.com/cdn/11.19.1/img/champion/Ivern.png")</v>
      </c>
      <c r="AG46" s="282" t="str">
        <f ca="1">IFERROR(__xludf.DUMMYFUNCTION("""COMPUTED_VALUE"""),"=IF(OR(REGEXMATCH(FORMULATEXT(U46);""HMOD"");NOT(P_Q&gt;0));0;U46)+IF(OR(REGEXMATCH(FORMULATEXT(V46);""HMOD"");NOT(P_W&gt;0));0;V46)+IF(OR(REGEXMATCH(FORMULATEXT(W46);""HMOD"");NOT(P_E&gt;0));0;W46)+IF(OR(REGEXMATCH(FORMULATEXT(X46);""HMOD"");NOT(P_R&gt;0));0;X46)+IF"&amp;"(REGEXMATCH(FORMULATEXT(Y46);""HMOD"");0;Y46)+Self_Proc_Item+Self_Proc_Summ+Self_Proc_Rune+3*Self_DPS")</f>
        <v>=IF(OR(REGEXMATCH(FORMULATEXT(U46);"HMOD");NOT(P_Q&gt;0));0;U46)+IF(OR(REGEXMATCH(FORMULATEXT(V46);"HMOD");NOT(P_W&gt;0));0;V46)+IF(OR(REGEXMATCH(FORMULATEXT(W46);"HMOD");NOT(P_E&gt;0));0;W46)+IF(OR(REGEXMATCH(FORMULATEXT(X46);"HMOD");NOT(P_R&gt;0));0;X46)+IF(REGEXMATCH(FORMULATEXT(Y46);"HMOD");0;Y46)+Self_Proc_Item+Self_Proc_Summ+Self_Proc_Rune+3*Self_DPS</v>
      </c>
      <c r="AH46" s="282" t="str">
        <f ca="1">IFERROR(__xludf.DUMMYFUNCTION("""COMPUTED_VALUE"""),"=0")</f>
        <v>=0</v>
      </c>
      <c r="AI46" s="282" t="b">
        <f ca="1">IFERROR(__xludf.DUMMYFUNCTION("""COMPUTED_VALUE"""),FALSE)</f>
        <v>0</v>
      </c>
      <c r="AJ46" s="283" t="b">
        <f ca="1">IFERROR(__xludf.DUMMYFUNCTION("""COMPUTED_VALUE"""),FALSE)</f>
        <v>0</v>
      </c>
    </row>
    <row r="47" spans="1:36">
      <c r="A47" s="267" t="str">
        <f ca="1">IFERROR(__xludf.DUMMYFUNCTION("""COMPUTED_VALUE"""),"Janna")</f>
        <v>Janna</v>
      </c>
      <c r="B47" s="287" t="str">
        <f ca="1">IFERROR(__xludf.DUMMYFUNCTION("""COMPUTED_VALUE"""),"=570")</f>
        <v>=570</v>
      </c>
      <c r="C47" s="287" t="str">
        <f ca="1">IFERROR(__xludf.DUMMYFUNCTION("""COMPUTED_VALUE"""),"=84")</f>
        <v>=84</v>
      </c>
      <c r="D47" s="288" t="str">
        <f ca="1">IFERROR(__xludf.DUMMYFUNCTION("""COMPUTED_VALUE"""),"=5,5")</f>
        <v>=5,5</v>
      </c>
      <c r="E47" s="289" t="str">
        <f ca="1">IFERROR(__xludf.DUMMYFUNCTION("""COMPUTED_VALUE"""),"=0,55")</f>
        <v>=0,55</v>
      </c>
      <c r="F47" s="288" t="str">
        <f ca="1">IFERROR(__xludf.DUMMYFUNCTION("""COMPUTED_VALUE"""),"=350")</f>
        <v>=350</v>
      </c>
      <c r="G47" s="288" t="str">
        <f ca="1">IFERROR(__xludf.DUMMYFUNCTION("""COMPUTED_VALUE"""),"=64")</f>
        <v>=64</v>
      </c>
      <c r="H47" s="288" t="str">
        <f ca="1">IFERROR(__xludf.DUMMYFUNCTION("""COMPUTED_VALUE"""),"=11,5")</f>
        <v>=11,5</v>
      </c>
      <c r="I47" s="289" t="str">
        <f ca="1">IFERROR(__xludf.DUMMYFUNCTION("""COMPUTED_VALUE"""),"=0,4")</f>
        <v>=0,4</v>
      </c>
      <c r="J47" s="290" t="str">
        <f ca="1">IFERROR(__xludf.DUMMYFUNCTION("""COMPUTED_VALUE"""),"=52")</f>
        <v>=52</v>
      </c>
      <c r="K47" s="288" t="str">
        <f ca="1">IFERROR(__xludf.DUMMYFUNCTION("""COMPUTED_VALUE"""),"=3")</f>
        <v>=3</v>
      </c>
      <c r="L47" s="291" t="str">
        <f ca="1">IFERROR(__xludf.DUMMYFUNCTION("""COMPUTED_VALUE"""),"=0,625")</f>
        <v>=0,625</v>
      </c>
      <c r="M47" s="291" t="str">
        <f ca="1">IFERROR(__xludf.DUMMYFUNCTION("""COMPUTED_VALUE"""),"=0,625")</f>
        <v>=0,625</v>
      </c>
      <c r="N47" s="292" t="str">
        <f ca="1">IFERROR(__xludf.DUMMYFUNCTION("""COMPUTED_VALUE"""),"=2,95%")</f>
        <v>=2,95%</v>
      </c>
      <c r="O47" s="287" t="str">
        <f ca="1">IFERROR(__xludf.DUMMYFUNCTION("""COMPUTED_VALUE"""),"=28")</f>
        <v>=28</v>
      </c>
      <c r="P47" s="287" t="str">
        <f ca="1">IFERROR(__xludf.DUMMYFUNCTION("""COMPUTED_VALUE"""),"=5")</f>
        <v>=5</v>
      </c>
      <c r="Q47" s="288" t="str">
        <f ca="1">IFERROR(__xludf.DUMMYFUNCTION("""COMPUTED_VALUE"""),"=30")</f>
        <v>=30</v>
      </c>
      <c r="R47" s="289" t="str">
        <f ca="1">IFERROR(__xludf.DUMMYFUNCTION("""COMPUTED_VALUE"""),"=1,3")</f>
        <v>=1,3</v>
      </c>
      <c r="S47" s="287" t="str">
        <f ca="1">IFERROR(__xludf.DUMMYFUNCTION("""COMPUTED_VALUE"""),"=330")</f>
        <v>=330</v>
      </c>
      <c r="T47" s="628" t="str">
        <f ca="1">IFERROR(__xludf.DUMMYFUNCTION("""COMPUTED_VALUE"""),"=500")</f>
        <v>=500</v>
      </c>
      <c r="U47" s="298" t="str">
        <f ca="1">IFERROR(__xludf.DUMMYFUNCTION("""COMPUTED_VALUE"""),"=(35+25*P_Q+0,35*Self_AP+IF(Steroid_Q;0,3*Self_AP+30+15*P_Q;0))*MOD_Magic")</f>
        <v>=(35+25*P_Q+0,35*Self_AP+IF(Steroid_Q;0,3*Self_AP+30+15*P_Q;0))*MOD_Magic</v>
      </c>
      <c r="V47" s="299" t="str">
        <f ca="1">IFERROR(__xludf.DUMMYFUNCTION("""COMPUTED_VALUE"""),"=(50 + 30 * P_W + 0,6 * Self_AP) * MOD_Magic")</f>
        <v>=(50 + 30 * P_W + 0,6 * Self_AP) * MOD_Magic</v>
      </c>
      <c r="W47" s="299" t="str">
        <f ca="1">IFERROR(__xludf.DUMMYFUNCTION("""COMPUTED_VALUE"""),"=(50 + 25 * P_E + 0,55 * Self_AP) * MOD_Heal")</f>
        <v>=(50 + 25 * P_E + 0,55 * Self_AP) * MOD_Heal</v>
      </c>
      <c r="X47" s="299" t="str">
        <f ca="1">IFERROR(__xludf.DUMMYFUNCTION("""COMPUTED_VALUE"""),"=(50 + 50 * P_R + 0,5 * Self_AP) * 3 * MOD_Heal")</f>
        <v>=(50 + 50 * P_R + 0,5 * Self_AP) * 3 * MOD_Heal</v>
      </c>
      <c r="Y47" s="300" t="str">
        <f ca="1">IFERROR(__xludf.DUMMYFUNCTION("""COMPUTED_VALUE"""),"=0")</f>
        <v>=0</v>
      </c>
      <c r="Z47" s="281" t="str">
        <f ca="1">IFERROR(__xludf.DUMMYFUNCTION("""COMPUTED_VALUE"""),"=12")</f>
        <v>=12</v>
      </c>
      <c r="AA47" s="282" t="str">
        <f ca="1">IFERROR(__xludf.DUMMYFUNCTION("""COMPUTED_VALUE"""),"=12")</f>
        <v>=12</v>
      </c>
      <c r="AB47" s="282" t="str">
        <f ca="1">IFERROR(__xludf.DUMMYFUNCTION("""COMPUTED_VALUE"""),"=16,5 - 1,5 * P_E")</f>
        <v>=16,5 - 1,5 * P_E</v>
      </c>
      <c r="AC47" s="282" t="str">
        <f ca="1">IFERROR(__xludf.DUMMYFUNCTION("""COMPUTED_VALUE"""),"=165-15*P_R")</f>
        <v>=165-15*P_R</v>
      </c>
      <c r="AD47" s="283" t="str">
        <f ca="1">IFERROR(__xludf.DUMMYFUNCTION("""COMPUTED_VALUE"""),"=1")</f>
        <v>=1</v>
      </c>
      <c r="AE47" s="281" t="b">
        <f ca="1">IFERROR(__xludf.DUMMYFUNCTION("""COMPUTED_VALUE"""),FALSE)</f>
        <v>0</v>
      </c>
      <c r="AF47" s="282" t="str">
        <f ca="1">IFERROR(__xludf.DUMMYFUNCTION("""COMPUTED_VALUE"""),"=Image(""https://ddragon.leagueoflegends.com/cdn/11.19.1/img/champion/Janna.png"")")</f>
        <v>=Image("https://ddragon.leagueoflegends.com/cdn/11.19.1/img/champion/Janna.png")</v>
      </c>
      <c r="AG47" s="282" t="str">
        <f ca="1">IFERROR(__xludf.DUMMYFUNCTION("""COMPUTED_VALUE"""),"=IF(OR(REGEXMATCH(FORMULATEXT(U47);""HMOD"");NOT(P_Q&gt;0));0;U47)+IF(OR(REGEXMATCH(FORMULATEXT(V47);""HMOD"");NOT(P_W&gt;0));0;V47)+IF(OR(REGEXMATCH(FORMULATEXT(W47);""HMOD"");NOT(P_E&gt;0));0;W47)+IF(OR(REGEXMATCH(FORMULATEXT(X47);""HMOD"");NOT(P_R&gt;0));0;X47)+IF"&amp;"(REGEXMATCH(FORMULATEXT(Y47);""HMOD"");0;Y47)+Self_Proc_Item+Self_Proc_Summ+Self_Proc_Rune+3*Self_DPS")</f>
        <v>=IF(OR(REGEXMATCH(FORMULATEXT(U47);"HMOD");NOT(P_Q&gt;0));0;U47)+IF(OR(REGEXMATCH(FORMULATEXT(V47);"HMOD");NOT(P_W&gt;0));0;V47)+IF(OR(REGEXMATCH(FORMULATEXT(W47);"HMOD");NOT(P_E&gt;0));0;W47)+IF(OR(REGEXMATCH(FORMULATEXT(X47);"HMOD");NOT(P_R&gt;0));0;X47)+IF(REGEXMATCH(FORMULATEXT(Y47);"HMOD");0;Y47)+Self_Proc_Item+Self_Proc_Summ+Self_Proc_Rune+3*Self_DPS</v>
      </c>
      <c r="AH47" s="282" t="str">
        <f ca="1">IFERROR(__xludf.DUMMYFUNCTION("""COMPUTED_VALUE"""),"=0")</f>
        <v>=0</v>
      </c>
      <c r="AI47" s="282" t="b">
        <f ca="1">IFERROR(__xludf.DUMMYFUNCTION("""COMPUTED_VALUE"""),FALSE)</f>
        <v>0</v>
      </c>
      <c r="AJ47" s="283" t="b">
        <f ca="1">IFERROR(__xludf.DUMMYFUNCTION("""COMPUTED_VALUE"""),FALSE)</f>
        <v>0</v>
      </c>
    </row>
    <row r="48" spans="1:36">
      <c r="A48" s="267" t="str">
        <f ca="1">IFERROR(__xludf.DUMMYFUNCTION("""COMPUTED_VALUE"""),"Jarvan IV")</f>
        <v>Jarvan IV</v>
      </c>
      <c r="B48" s="287" t="str">
        <f ca="1">IFERROR(__xludf.DUMMYFUNCTION("""COMPUTED_VALUE"""),"=640")</f>
        <v>=640</v>
      </c>
      <c r="C48" s="287" t="str">
        <f ca="1">IFERROR(__xludf.DUMMYFUNCTION("""COMPUTED_VALUE"""),"=104")</f>
        <v>=104</v>
      </c>
      <c r="D48" s="288" t="str">
        <f ca="1">IFERROR(__xludf.DUMMYFUNCTION("""COMPUTED_VALUE"""),"=8")</f>
        <v>=8</v>
      </c>
      <c r="E48" s="289" t="str">
        <f ca="1">IFERROR(__xludf.DUMMYFUNCTION("""COMPUTED_VALUE"""),"=0,7")</f>
        <v>=0,7</v>
      </c>
      <c r="F48" s="288" t="str">
        <f ca="1">IFERROR(__xludf.DUMMYFUNCTION("""COMPUTED_VALUE"""),"=300")</f>
        <v>=300</v>
      </c>
      <c r="G48" s="288" t="str">
        <f ca="1">IFERROR(__xludf.DUMMYFUNCTION("""COMPUTED_VALUE"""),"=55")</f>
        <v>=55</v>
      </c>
      <c r="H48" s="288" t="str">
        <f ca="1">IFERROR(__xludf.DUMMYFUNCTION("""COMPUTED_VALUE"""),"=6,5")</f>
        <v>=6,5</v>
      </c>
      <c r="I48" s="289" t="str">
        <f ca="1">IFERROR(__xludf.DUMMYFUNCTION("""COMPUTED_VALUE"""),"=0,45")</f>
        <v>=0,45</v>
      </c>
      <c r="J48" s="290" t="str">
        <f ca="1">IFERROR(__xludf.DUMMYFUNCTION("""COMPUTED_VALUE"""),"=64")</f>
        <v>=64</v>
      </c>
      <c r="K48" s="288" t="str">
        <f ca="1">IFERROR(__xludf.DUMMYFUNCTION("""COMPUTED_VALUE"""),"=3")</f>
        <v>=3</v>
      </c>
      <c r="L48" s="291" t="str">
        <f ca="1">IFERROR(__xludf.DUMMYFUNCTION("""COMPUTED_VALUE"""),"=0,658")</f>
        <v>=0,658</v>
      </c>
      <c r="M48" s="291" t="str">
        <f ca="1">IFERROR(__xludf.DUMMYFUNCTION("""COMPUTED_VALUE"""),"=0,658")</f>
        <v>=0,658</v>
      </c>
      <c r="N48" s="292" t="str">
        <f ca="1">IFERROR(__xludf.DUMMYFUNCTION("""COMPUTED_VALUE"""),"=2,5%")</f>
        <v>=2,5%</v>
      </c>
      <c r="O48" s="287" t="str">
        <f ca="1">IFERROR(__xludf.DUMMYFUNCTION("""COMPUTED_VALUE"""),"=36")</f>
        <v>=36</v>
      </c>
      <c r="P48" s="287" t="str">
        <f ca="1">IFERROR(__xludf.DUMMYFUNCTION("""COMPUTED_VALUE"""),"=4,8")</f>
        <v>=4,8</v>
      </c>
      <c r="Q48" s="288" t="str">
        <f ca="1">IFERROR(__xludf.DUMMYFUNCTION("""COMPUTED_VALUE"""),"=32")</f>
        <v>=32</v>
      </c>
      <c r="R48" s="289" t="str">
        <f ca="1">IFERROR(__xludf.DUMMYFUNCTION("""COMPUTED_VALUE"""),"=2,05")</f>
        <v>=2,05</v>
      </c>
      <c r="S48" s="287" t="str">
        <f ca="1">IFERROR(__xludf.DUMMYFUNCTION("""COMPUTED_VALUE"""),"=340")</f>
        <v>=340</v>
      </c>
      <c r="T48" s="628" t="str">
        <f ca="1">IFERROR(__xludf.DUMMYFUNCTION("""COMPUTED_VALUE"""),"=175")</f>
        <v>=175</v>
      </c>
      <c r="U48" s="295" t="str">
        <f ca="1">IFERROR(__xludf.DUMMYFUNCTION("""COMPUTED_VALUE"""),"=(40 + 40 * P_Q + 1,4 * Self_BoAD) * MOD_Phys")</f>
        <v>=(40 + 40 * P_Q + 1,4 * Self_BoAD) * MOD_Phys</v>
      </c>
      <c r="V48" s="296" t="str">
        <f ca="1">IFERROR(__xludf.DUMMYFUNCTION("""COMPUTED_VALUE"""),"=(40 + 20 * P_W + (0,013 * Self_MHP) * IF(Steroid_Form;5;1) + 0,7 * Self_BoAD) * MOD_SelfHeal")</f>
        <v>=(40 + 20 * P_W + (0,013 * Self_MHP) * IF(Steroid_Form;5;1) + 0,7 * Self_BoAD) * MOD_SelfHeal</v>
      </c>
      <c r="W48" s="296" t="str">
        <f ca="1">IFERROR(__xludf.DUMMYFUNCTION("""COMPUTED_VALUE"""),"=(40+40*P_E+0,8*Self_AP)*MOD_Magic")</f>
        <v>=(40+40*P_E+0,8*Self_AP)*MOD_Magic</v>
      </c>
      <c r="X48" s="296" t="str">
        <f ca="1">IFERROR(__xludf.DUMMYFUNCTION("""COMPUTED_VALUE"""),"=(75 + 125 * P_R + 1,8 * Self_BoAD) * MOD_Phys")</f>
        <v>=(75 + 125 * P_R + 1,8 * Self_BoAD) * MOD_Phys</v>
      </c>
      <c r="Y48" s="297" t="str">
        <f ca="1">IFERROR(__xludf.DUMMYFUNCTION("""COMPUTED_VALUE"""),"=IF(0,08 * E_CHPV &lt; 20; 20; 0,08 * E_CHPV) * MOD_Phys")</f>
        <v>=IF(0,08 * E_CHPV &lt; 20; 20; 0,08 * E_CHPV) * MOD_Phys</v>
      </c>
      <c r="Z48" s="281" t="str">
        <f ca="1">IFERROR(__xludf.DUMMYFUNCTION("""COMPUTED_VALUE"""),"=11-P_Q")</f>
        <v>=11-P_Q</v>
      </c>
      <c r="AA48" s="282" t="str">
        <f ca="1">IFERROR(__xludf.DUMMYFUNCTION("""COMPUTED_VALUE"""),"=9")</f>
        <v>=9</v>
      </c>
      <c r="AB48" s="282" t="str">
        <f ca="1">IFERROR(__xludf.DUMMYFUNCTION("""COMPUTED_VALUE"""),"=12,5-0,5*P_E")</f>
        <v>=12,5-0,5*P_E</v>
      </c>
      <c r="AC48" s="282" t="str">
        <f ca="1">IFERROR(__xludf.DUMMYFUNCTION("""COMPUTED_VALUE"""),"=135-15*P_R")</f>
        <v>=135-15*P_R</v>
      </c>
      <c r="AD48" s="283" t="str">
        <f ca="1">IFERROR(__xludf.DUMMYFUNCTION("""COMPUTED_VALUE"""),"=6 - ROUNDDOWN((Self_Level - 1) / 5)")</f>
        <v>=6 - ROUNDDOWN((Self_Level - 1) / 5)</v>
      </c>
      <c r="AE48" s="281" t="b">
        <f ca="1">IFERROR(__xludf.DUMMYFUNCTION("""COMPUTED_VALUE"""),TRUE)</f>
        <v>1</v>
      </c>
      <c r="AF48" s="282" t="str">
        <f ca="1">IFERROR(__xludf.DUMMYFUNCTION("""COMPUTED_VALUE"""),"=Image(""https://ddragon.leagueoflegends.com/cdn/11.19.1/img/champion/JarvanIV.png"")")</f>
        <v>=Image("https://ddragon.leagueoflegends.com/cdn/11.19.1/img/champion/JarvanIV.png")</v>
      </c>
      <c r="AG48" s="282" t="str">
        <f ca="1">IFERROR(__xludf.DUMMYFUNCTION("""COMPUTED_VALUE"""),"=IF(OR(REGEXMATCH(FORMULATEXT(U48);""HMOD"");NOT(P_Q&gt;0));0;U48)+IF(OR(REGEXMATCH(FORMULATEXT(V48);""HMOD"");NOT(P_W&gt;0));0;V48)+IF(OR(REGEXMATCH(FORMULATEXT(W48);""HMOD"");NOT(P_E&gt;0));0;W48)+IF(OR(REGEXMATCH(FORMULATEXT(X48);""HMOD"");NOT(P_R&gt;0));0;X48)+IF"&amp;"(REGEXMATCH(FORMULATEXT(Y48);""HMOD"");0;Y48)+Self_Proc_Item+Self_Proc_Summ+Self_Proc_Rune+3*Self_DPS")</f>
        <v>=IF(OR(REGEXMATCH(FORMULATEXT(U48);"HMOD");NOT(P_Q&gt;0));0;U48)+IF(OR(REGEXMATCH(FORMULATEXT(V48);"HMOD");NOT(P_W&gt;0));0;V48)+IF(OR(REGEXMATCH(FORMULATEXT(W48);"HMOD");NOT(P_E&gt;0));0;W48)+IF(OR(REGEXMATCH(FORMULATEXT(X48);"HMOD");NOT(P_R&gt;0));0;X48)+IF(REGEXMATCH(FORMULATEXT(Y48);"HMOD");0;Y48)+Self_Proc_Item+Self_Proc_Summ+Self_Proc_Rune+3*Self_DPS</v>
      </c>
      <c r="AH48" s="282" t="str">
        <f ca="1">IFERROR(__xludf.DUMMYFUNCTION("""COMPUTED_VALUE"""),"=0")</f>
        <v>=0</v>
      </c>
      <c r="AI48" s="282" t="b">
        <f ca="1">IFERROR(__xludf.DUMMYFUNCTION("""COMPUTED_VALUE"""),FALSE)</f>
        <v>0</v>
      </c>
      <c r="AJ48" s="283" t="b">
        <f ca="1">IFERROR(__xludf.DUMMYFUNCTION("""COMPUTED_VALUE"""),FALSE)</f>
        <v>0</v>
      </c>
    </row>
    <row r="49" spans="1:36">
      <c r="A49" s="267" t="str">
        <f ca="1">IFERROR(__xludf.DUMMYFUNCTION("""COMPUTED_VALUE"""),"Jax")</f>
        <v>Jax</v>
      </c>
      <c r="B49" s="287" t="str">
        <f ca="1">IFERROR(__xludf.DUMMYFUNCTION("""COMPUTED_VALUE"""),"=665")</f>
        <v>=665</v>
      </c>
      <c r="C49" s="287" t="str">
        <f ca="1">IFERROR(__xludf.DUMMYFUNCTION("""COMPUTED_VALUE"""),"=100")</f>
        <v>=100</v>
      </c>
      <c r="D49" s="288" t="str">
        <f ca="1">IFERROR(__xludf.DUMMYFUNCTION("""COMPUTED_VALUE"""),"=8,5")</f>
        <v>=8,5</v>
      </c>
      <c r="E49" s="289" t="str">
        <f ca="1">IFERROR(__xludf.DUMMYFUNCTION("""COMPUTED_VALUE"""),"=0,55")</f>
        <v>=0,55</v>
      </c>
      <c r="F49" s="288" t="str">
        <f ca="1">IFERROR(__xludf.DUMMYFUNCTION("""COMPUTED_VALUE"""),"=339")</f>
        <v>=339</v>
      </c>
      <c r="G49" s="288" t="str">
        <f ca="1">IFERROR(__xludf.DUMMYFUNCTION("""COMPUTED_VALUE"""),"=52")</f>
        <v>=52</v>
      </c>
      <c r="H49" s="288" t="str">
        <f ca="1">IFERROR(__xludf.DUMMYFUNCTION("""COMPUTED_VALUE"""),"=7,6")</f>
        <v>=7,6</v>
      </c>
      <c r="I49" s="289" t="str">
        <f ca="1">IFERROR(__xludf.DUMMYFUNCTION("""COMPUTED_VALUE"""),"=0,7")</f>
        <v>=0,7</v>
      </c>
      <c r="J49" s="290" t="str">
        <f ca="1">IFERROR(__xludf.DUMMYFUNCTION("""COMPUTED_VALUE"""),"=68")</f>
        <v>=68</v>
      </c>
      <c r="K49" s="288" t="str">
        <f ca="1">IFERROR(__xludf.DUMMYFUNCTION("""COMPUTED_VALUE"""),"=4,25")</f>
        <v>=4,25</v>
      </c>
      <c r="L49" s="291" t="str">
        <f ca="1">IFERROR(__xludf.DUMMYFUNCTION("""COMPUTED_VALUE"""),"=0,638")</f>
        <v>=0,638</v>
      </c>
      <c r="M49" s="291" t="str">
        <f ca="1">IFERROR(__xludf.DUMMYFUNCTION("""COMPUTED_VALUE"""),"=0,638")</f>
        <v>=0,638</v>
      </c>
      <c r="N49" s="292" t="str">
        <f ca="1">IFERROR(__xludf.DUMMYFUNCTION("""COMPUTED_VALUE"""),"=3,4%")</f>
        <v>=3,4%</v>
      </c>
      <c r="O49" s="287" t="str">
        <f ca="1">IFERROR(__xludf.DUMMYFUNCTION("""COMPUTED_VALUE"""),"=36")</f>
        <v>=36</v>
      </c>
      <c r="P49" s="287" t="str">
        <f ca="1">IFERROR(__xludf.DUMMYFUNCTION("""COMPUTED_VALUE"""),"=4,2")</f>
        <v>=4,2</v>
      </c>
      <c r="Q49" s="288" t="str">
        <f ca="1">IFERROR(__xludf.DUMMYFUNCTION("""COMPUTED_VALUE"""),"=32")</f>
        <v>=32</v>
      </c>
      <c r="R49" s="289" t="str">
        <f ca="1">IFERROR(__xludf.DUMMYFUNCTION("""COMPUTED_VALUE"""),"=2,05")</f>
        <v>=2,05</v>
      </c>
      <c r="S49" s="287" t="str">
        <f ca="1">IFERROR(__xludf.DUMMYFUNCTION("""COMPUTED_VALUE"""),"=350")</f>
        <v>=350</v>
      </c>
      <c r="T49" s="628" t="str">
        <f ca="1">IFERROR(__xludf.DUMMYFUNCTION("""COMPUTED_VALUE"""),"=125")</f>
        <v>=125</v>
      </c>
      <c r="U49" s="298" t="str">
        <f ca="1">IFERROR(__xludf.DUMMYFUNCTION("""COMPUTED_VALUE"""),"=(25+40*P_Q+Self_BoAD)*MOD_Phys")</f>
        <v>=(25+40*P_Q+Self_BoAD)*MOD_Phys</v>
      </c>
      <c r="V49" s="299" t="str">
        <f ca="1">IFERROR(__xludf.DUMMYFUNCTION("""COMPUTED_VALUE"""),"=(25+25*P_W+0,6*Self_AP)*MOD_Magic")</f>
        <v>=(25+25*P_W+0,6*Self_AP)*MOD_Magic</v>
      </c>
      <c r="W49" s="299" t="str">
        <f ca="1">IFERROR(__xludf.DUMMYFUNCTION("""COMPUTED_VALUE"""),"=(25 + 30 * P_E + 0,04 * E_MHP + 0,7 * Self_AP) * MOD_Magic * IF(Steroid_E; 2; 1)")</f>
        <v>=(25 + 30 * P_E + 0,04 * E_MHP + 0,7 * Self_AP) * MOD_Magic * IF(Steroid_E; 2; 1)</v>
      </c>
      <c r="X49" s="299" t="str">
        <f ca="1">IFERROR(__xludf.DUMMYFUNCTION("""COMPUTED_VALUE"""),"=(50+100*P_R+Self_AP)*MOD_Magic")</f>
        <v>=(50+100*P_R+Self_AP)*MOD_Magic</v>
      </c>
      <c r="Y49" s="300" t="str">
        <f ca="1">IFERROR(__xludf.DUMMYFUNCTION("""COMPUTED_VALUE"""),"=0")</f>
        <v>=0</v>
      </c>
      <c r="Z49" s="281" t="str">
        <f ca="1">IFERROR(__xludf.DUMMYFUNCTION("""COMPUTED_VALUE"""),"=8,5-0,5*P_Q")</f>
        <v>=8,5-0,5*P_Q</v>
      </c>
      <c r="AA49" s="282" t="str">
        <f ca="1">IFERROR(__xludf.DUMMYFUNCTION("""COMPUTED_VALUE"""),"=8-P_W")</f>
        <v>=8-P_W</v>
      </c>
      <c r="AB49" s="282" t="str">
        <f ca="1">IFERROR(__xludf.DUMMYFUNCTION("""COMPUTED_VALUE"""),"=15,5-1,5*P_E")</f>
        <v>=15,5-1,5*P_E</v>
      </c>
      <c r="AC49" s="282" t="str">
        <f ca="1">IFERROR(__xludf.DUMMYFUNCTION("""COMPUTED_VALUE"""),"=110 - 10 * P_R")</f>
        <v>=110 - 10 * P_R</v>
      </c>
      <c r="AD49" s="283" t="str">
        <f ca="1">IFERROR(__xludf.DUMMYFUNCTION("""COMPUTED_VALUE"""),"=1")</f>
        <v>=1</v>
      </c>
      <c r="AE49" s="281" t="b">
        <f ca="1">IFERROR(__xludf.DUMMYFUNCTION("""COMPUTED_VALUE"""),TRUE)</f>
        <v>1</v>
      </c>
      <c r="AF49" s="282" t="str">
        <f ca="1">IFERROR(__xludf.DUMMYFUNCTION("""COMPUTED_VALUE"""),"=Image(""https://ddragon.leagueoflegends.com/cdn/11.19.1/img/champion/Jax.png"")")</f>
        <v>=Image("https://ddragon.leagueoflegends.com/cdn/11.19.1/img/champion/Jax.png")</v>
      </c>
      <c r="AG49" s="282" t="str">
        <f ca="1">IFERROR(__xludf.DUMMYFUNCTION("""COMPUTED_VALUE"""),"=IF(OR(REGEXMATCH(FORMULATEXT(U49);""HMOD"");NOT(P_Q&gt;0));0;U49)+IF(OR(REGEXMATCH(FORMULATEXT(V49);""HMOD"");NOT(P_W&gt;0));0;V49)+IF(OR(REGEXMATCH(FORMULATEXT(W49);""HMOD"");NOT(P_E&gt;0));0;W49)+IF(OR(REGEXMATCH(FORMULATEXT(X49);""HMOD"");NOT(P_R&gt;0));0;X49)+IF"&amp;"(REGEXMATCH(FORMULATEXT(Y49);""HMOD"");0;Y49)+Self_Proc_Item+Self_Proc_Summ+Self_Proc_Rune+3*Self_DPS")</f>
        <v>=IF(OR(REGEXMATCH(FORMULATEXT(U49);"HMOD");NOT(P_Q&gt;0));0;U49)+IF(OR(REGEXMATCH(FORMULATEXT(V49);"HMOD");NOT(P_W&gt;0));0;V49)+IF(OR(REGEXMATCH(FORMULATEXT(W49);"HMOD");NOT(P_E&gt;0));0;W49)+IF(OR(REGEXMATCH(FORMULATEXT(X49);"HMOD");NOT(P_R&gt;0));0;X49)+IF(REGEXMATCH(FORMULATEXT(Y49);"HMOD");0;Y49)+Self_Proc_Item+Self_Proc_Summ+Self_Proc_Rune+3*Self_DPS</v>
      </c>
      <c r="AH49" s="282" t="str">
        <f ca="1">IFERROR(__xludf.DUMMYFUNCTION("""COMPUTED_VALUE"""),"=0")</f>
        <v>=0</v>
      </c>
      <c r="AI49" s="282" t="b">
        <f ca="1">IFERROR(__xludf.DUMMYFUNCTION("""COMPUTED_VALUE"""),FALSE)</f>
        <v>0</v>
      </c>
      <c r="AJ49" s="283" t="b">
        <f ca="1">IFERROR(__xludf.DUMMYFUNCTION("""COMPUTED_VALUE"""),FALSE)</f>
        <v>0</v>
      </c>
    </row>
    <row r="50" spans="1:36">
      <c r="A50" s="267" t="str">
        <f ca="1">IFERROR(__xludf.DUMMYFUNCTION("""COMPUTED_VALUE"""),"Jayce")</f>
        <v>Jayce</v>
      </c>
      <c r="B50" s="287" t="str">
        <f ca="1">IFERROR(__xludf.DUMMYFUNCTION("""COMPUTED_VALUE"""),"=590")</f>
        <v>=590</v>
      </c>
      <c r="C50" s="287" t="str">
        <f ca="1">IFERROR(__xludf.DUMMYFUNCTION("""COMPUTED_VALUE"""),"=109")</f>
        <v>=109</v>
      </c>
      <c r="D50" s="288" t="str">
        <f ca="1">IFERROR(__xludf.DUMMYFUNCTION("""COMPUTED_VALUE"""),"=6")</f>
        <v>=6</v>
      </c>
      <c r="E50" s="289" t="str">
        <f ca="1">IFERROR(__xludf.DUMMYFUNCTION("""COMPUTED_VALUE"""),"=0,6")</f>
        <v>=0,6</v>
      </c>
      <c r="F50" s="288" t="str">
        <f ca="1">IFERROR(__xludf.DUMMYFUNCTION("""COMPUTED_VALUE"""),"=375")</f>
        <v>=375</v>
      </c>
      <c r="G50" s="288" t="str">
        <f ca="1">IFERROR(__xludf.DUMMYFUNCTION("""COMPUTED_VALUE"""),"=45")</f>
        <v>=45</v>
      </c>
      <c r="H50" s="288" t="str">
        <f ca="1">IFERROR(__xludf.DUMMYFUNCTION("""COMPUTED_VALUE"""),"=6")</f>
        <v>=6</v>
      </c>
      <c r="I50" s="289" t="str">
        <f ca="1">IFERROR(__xludf.DUMMYFUNCTION("""COMPUTED_VALUE"""),"=0,8")</f>
        <v>=0,8</v>
      </c>
      <c r="J50" s="290" t="str">
        <f ca="1">IFERROR(__xludf.DUMMYFUNCTION("""COMPUTED_VALUE"""),"=57")</f>
        <v>=57</v>
      </c>
      <c r="K50" s="288" t="str">
        <f ca="1">IFERROR(__xludf.DUMMYFUNCTION("""COMPUTED_VALUE"""),"=4,25")</f>
        <v>=4,25</v>
      </c>
      <c r="L50" s="291" t="str">
        <f ca="1">IFERROR(__xludf.DUMMYFUNCTION("""COMPUTED_VALUE"""),"=0,658")</f>
        <v>=0,658</v>
      </c>
      <c r="M50" s="291" t="str">
        <f ca="1">IFERROR(__xludf.DUMMYFUNCTION("""COMPUTED_VALUE"""),"=0,658")</f>
        <v>=0,658</v>
      </c>
      <c r="N50" s="292" t="str">
        <f ca="1">IFERROR(__xludf.DUMMYFUNCTION("""COMPUTED_VALUE"""),"=3%")</f>
        <v>=3%</v>
      </c>
      <c r="O50" s="287" t="str">
        <f ca="1">IFERROR(__xludf.DUMMYFUNCTION("""COMPUTED_VALUE"""),"=22")</f>
        <v>=22</v>
      </c>
      <c r="P50" s="287" t="str">
        <f ca="1">IFERROR(__xludf.DUMMYFUNCTION("""COMPUTED_VALUE"""),"=5")</f>
        <v>=5</v>
      </c>
      <c r="Q50" s="288" t="str">
        <f ca="1">IFERROR(__xludf.DUMMYFUNCTION("""COMPUTED_VALUE"""),"=30")</f>
        <v>=30</v>
      </c>
      <c r="R50" s="289" t="str">
        <f ca="1">IFERROR(__xludf.DUMMYFUNCTION("""COMPUTED_VALUE"""),"=1,3")</f>
        <v>=1,3</v>
      </c>
      <c r="S50" s="287" t="str">
        <f ca="1">IFERROR(__xludf.DUMMYFUNCTION("""COMPUTED_VALUE"""),"=335")</f>
        <v>=335</v>
      </c>
      <c r="T50" s="628" t="str">
        <f ca="1">IFERROR(__xludf.DUMMYFUNCTION("""COMPUTED_VALUE"""),"=If(Steroid_Form;500;125)")</f>
        <v>=If(Steroid_Form;500;125)</v>
      </c>
      <c r="U50" s="295" t="str">
        <f ca="1">IFERROR(__xludf.DUMMYFUNCTION("""COMPUTED_VALUE"""),"=IF(Steroid_Form; 10 + 50 * P_Q + 1,2 * Self_BoAD; 55 * P_Q + 1,2 * Self_BoAD) * MOD_Phys")</f>
        <v>=IF(Steroid_Form; 10 + 50 * P_Q + 1,2 * Self_BoAD; 55 * P_Q + 1,2 * Self_BoAD) * MOD_Phys</v>
      </c>
      <c r="V50" s="296" t="str">
        <f ca="1">IFERROR(__xludf.DUMMYFUNCTION("""COMPUTED_VALUE"""),"=IF(Steroid_Form; (80 + 60 * P_W + Self_AP) * MOD_Magic; (0,62 + 0,08 * P_W) * Self_AD * MOD_Phys * 3)")</f>
        <v>=IF(Steroid_Form; (80 + 60 * P_W + Self_AP) * MOD_Magic; (0,62 + 0,08 * P_W) * Self_AD * MOD_Phys * 3)</v>
      </c>
      <c r="W50" s="296" t="str">
        <f ca="1">IFERROR(__xludf.DUMMYFUNCTION("""COMPUTED_VALUE"""),"=IF(Steroid_Form;(0,052 + 0,028 * P_E) * E_MHP + Self_BoAD; 0) * MOD_Magic")</f>
        <v>=IF(Steroid_Form;(0,052 + 0,028 * P_E) * E_MHP + Self_BoAD; 0) * MOD_Magic</v>
      </c>
      <c r="X50" s="296" t="str">
        <f ca="1">IFERROR(__xludf.DUMMYFUNCTION("""COMPUTED_VALUE"""),"=IF(Steroid_Form;0;(25+40*ROUNDDOWN((Self_Level-1)/5)+0,25*Self_BoAD)*MOD_Magic)")</f>
        <v>=IF(Steroid_Form;0;(25+40*ROUNDDOWN((Self_Level-1)/5)+0,25*Self_BoAD)*MOD_Magic)</v>
      </c>
      <c r="Y50" s="297" t="str">
        <f ca="1">IFERROR(__xludf.DUMMYFUNCTION("""COMPUTED_VALUE"""),"=0")</f>
        <v>=0</v>
      </c>
      <c r="Z50" s="281" t="str">
        <f ca="1">IFERROR(__xludf.DUMMYFUNCTION("""COMPUTED_VALUE"""),"=if(Steroid_Form;18-2*P_Q;8)")</f>
        <v>=if(Steroid_Form;18-2*P_Q;8)</v>
      </c>
      <c r="AA50" s="282" t="str">
        <f ca="1">IFERROR(__xludf.DUMMYFUNCTION("""COMPUTED_VALUE"""),"=if(Steroid_Form;10;14,6-1,6*P_W)")</f>
        <v>=if(Steroid_Form;10;14,6-1,6*P_W)</v>
      </c>
      <c r="AB50" s="282" t="str">
        <f ca="1">IFERROR(__xludf.DUMMYFUNCTION("""COMPUTED_VALUE"""),"=if(Steroid_Form;22-2*P_E;16)")</f>
        <v>=if(Steroid_Form;22-2*P_E;16)</v>
      </c>
      <c r="AC50" s="282" t="str">
        <f ca="1">IFERROR(__xludf.DUMMYFUNCTION("""COMPUTED_VALUE"""),"=6")</f>
        <v>=6</v>
      </c>
      <c r="AD50" s="283" t="str">
        <f ca="1">IFERROR(__xludf.DUMMYFUNCTION("""COMPUTED_VALUE"""),"=1")</f>
        <v>=1</v>
      </c>
      <c r="AE50" s="281" t="str">
        <f ca="1">IFERROR(__xludf.DUMMYFUNCTION("""COMPUTED_VALUE"""),"=if(Steroid_Form;TRUE;FALSE)")</f>
        <v>=if(Steroid_Form;TRUE;FALSE)</v>
      </c>
      <c r="AF50" s="282" t="str">
        <f ca="1">IFERROR(__xludf.DUMMYFUNCTION("""COMPUTED_VALUE"""),"=Image(""https://ddragon.leagueoflegends.com/cdn/11.19.1/img/champion/Jayce.png"")")</f>
        <v>=Image("https://ddragon.leagueoflegends.com/cdn/11.19.1/img/champion/Jayce.png")</v>
      </c>
      <c r="AG50" s="282" t="str">
        <f ca="1">IFERROR(__xludf.DUMMYFUNCTION("""COMPUTED_VALUE"""),"=IF(OR(REGEXMATCH(FORMULATEXT(U50);""HMOD"");NOT(P_Q&gt;0));0;U50)+IF(OR(REGEXMATCH(FORMULATEXT(V50);""HMOD"");NOT(P_W&gt;0));0;V50)+IF(OR(REGEXMATCH(FORMULATEXT(W50);""HMOD"");NOT(P_E&gt;0));0;W50)+IF(OR(REGEXMATCH(FORMULATEXT(X50);""HMOD"");NOT(P_R&gt;0));0;X50)+IF"&amp;"(REGEXMATCH(FORMULATEXT(Y50);""HMOD"");0;Y50)+Self_Proc_Item+Self_Proc_Summ+Self_Proc_Rune+3*Self_DPS")</f>
        <v>=IF(OR(REGEXMATCH(FORMULATEXT(U50);"HMOD");NOT(P_Q&gt;0));0;U50)+IF(OR(REGEXMATCH(FORMULATEXT(V50);"HMOD");NOT(P_W&gt;0));0;V50)+IF(OR(REGEXMATCH(FORMULATEXT(W50);"HMOD");NOT(P_E&gt;0));0;W50)+IF(OR(REGEXMATCH(FORMULATEXT(X50);"HMOD");NOT(P_R&gt;0));0;X50)+IF(REGEXMATCH(FORMULATEXT(Y50);"HMOD");0;Y50)+Self_Proc_Item+Self_Proc_Summ+Self_Proc_Rune+3*Self_DPS</v>
      </c>
      <c r="AH50" s="282" t="str">
        <f ca="1">IFERROR(__xludf.DUMMYFUNCTION("""COMPUTED_VALUE"""),"=0")</f>
        <v>=0</v>
      </c>
      <c r="AI50" s="282" t="b">
        <f ca="1">IFERROR(__xludf.DUMMYFUNCTION("""COMPUTED_VALUE"""),FALSE)</f>
        <v>0</v>
      </c>
      <c r="AJ50" s="283" t="b">
        <f ca="1">IFERROR(__xludf.DUMMYFUNCTION("""COMPUTED_VALUE"""),FALSE)</f>
        <v>0</v>
      </c>
    </row>
    <row r="51" spans="1:36">
      <c r="A51" s="301" t="str">
        <f ca="1">IFERROR(__xludf.DUMMYFUNCTION("""COMPUTED_VALUE"""),"Jhin")</f>
        <v>Jhin</v>
      </c>
      <c r="B51" s="282" t="str">
        <f ca="1">IFERROR(__xludf.DUMMYFUNCTION("""COMPUTED_VALUE"""),"=655")</f>
        <v>=655</v>
      </c>
      <c r="C51" s="282" t="str">
        <f ca="1">IFERROR(__xludf.DUMMYFUNCTION("""COMPUTED_VALUE"""),"=107")</f>
        <v>=107</v>
      </c>
      <c r="D51" s="282" t="str">
        <f ca="1">IFERROR(__xludf.DUMMYFUNCTION("""COMPUTED_VALUE"""),"=3,75")</f>
        <v>=3,75</v>
      </c>
      <c r="E51" s="302" t="str">
        <f ca="1">IFERROR(__xludf.DUMMYFUNCTION("""COMPUTED_VALUE"""),"=0,55")</f>
        <v>=0,55</v>
      </c>
      <c r="F51" s="282" t="str">
        <f ca="1">IFERROR(__xludf.DUMMYFUNCTION("""COMPUTED_VALUE"""),"=300")</f>
        <v>=300</v>
      </c>
      <c r="G51" s="282" t="str">
        <f ca="1">IFERROR(__xludf.DUMMYFUNCTION("""COMPUTED_VALUE"""),"=50")</f>
        <v>=50</v>
      </c>
      <c r="H51" s="282" t="str">
        <f ca="1">IFERROR(__xludf.DUMMYFUNCTION("""COMPUTED_VALUE"""),"=6")</f>
        <v>=6</v>
      </c>
      <c r="I51" s="302" t="str">
        <f ca="1">IFERROR(__xludf.DUMMYFUNCTION("""COMPUTED_VALUE"""),"=0,8")</f>
        <v>=0,8</v>
      </c>
      <c r="J51" s="303" t="str">
        <f ca="1">IFERROR(__xludf.DUMMYFUNCTION("""COMPUTED_VALUE"""),"=59")</f>
        <v>=59</v>
      </c>
      <c r="K51" s="282" t="str">
        <f ca="1">IFERROR(__xludf.DUMMYFUNCTION("""COMPUTED_VALUE"""),"=4,7")</f>
        <v>=4,7</v>
      </c>
      <c r="L51" s="304" t="str">
        <f ca="1">IFERROR(__xludf.DUMMYFUNCTION("""COMPUTED_VALUE"""),"=0,625")</f>
        <v>=0,625</v>
      </c>
      <c r="M51" s="304" t="str">
        <f ca="1">IFERROR(__xludf.DUMMYFUNCTION("""COMPUTED_VALUE"""),"=0")</f>
        <v>=0</v>
      </c>
      <c r="N51" s="305" t="str">
        <f ca="1">IFERROR(__xludf.DUMMYFUNCTION("""COMPUTED_VALUE"""),"=3%")</f>
        <v>=3%</v>
      </c>
      <c r="O51" s="282" t="str">
        <f ca="1">IFERROR(__xludf.DUMMYFUNCTION("""COMPUTED_VALUE"""),"=24")</f>
        <v>=24</v>
      </c>
      <c r="P51" s="282" t="str">
        <f ca="1">IFERROR(__xludf.DUMMYFUNCTION("""COMPUTED_VALUE"""),"=4,7")</f>
        <v>=4,7</v>
      </c>
      <c r="Q51" s="282" t="str">
        <f ca="1">IFERROR(__xludf.DUMMYFUNCTION("""COMPUTED_VALUE"""),"=30")</f>
        <v>=30</v>
      </c>
      <c r="R51" s="302" t="str">
        <f ca="1">IFERROR(__xludf.DUMMYFUNCTION("""COMPUTED_VALUE"""),"=1,3")</f>
        <v>=1,3</v>
      </c>
      <c r="S51" s="282" t="str">
        <f ca="1">IFERROR(__xludf.DUMMYFUNCTION("""COMPUTED_VALUE"""),"=330")</f>
        <v>=330</v>
      </c>
      <c r="T51" s="283" t="str">
        <f ca="1">IFERROR(__xludf.DUMMYFUNCTION("""COMPUTED_VALUE"""),"=550")</f>
        <v>=550</v>
      </c>
      <c r="U51" s="298" t="str">
        <f ca="1">IFERROR(__xludf.DUMMYFUNCTION("""COMPUTED_VALUE"""),"=(20+25*P_Q+0,6*Self_AP+(0,275+0,075*P_Q)*Self_AD)*MOD_Phys*IF(Steroid_Q;2,460375;1)")</f>
        <v>=(20+25*P_Q+0,6*Self_AP+(0,275+0,075*P_Q)*Self_AD)*MOD_Phys*IF(Steroid_Q;2,460375;1)</v>
      </c>
      <c r="V51" s="299" t="str">
        <f ca="1">IFERROR(__xludf.DUMMYFUNCTION("""COMPUTED_VALUE"""),"=(25 + 35 * P_W + 0,5 * Self_AD) * MOD_Phys")</f>
        <v>=(25 + 35 * P_W + 0,5 * Self_AD) * MOD_Phys</v>
      </c>
      <c r="W51" s="299" t="str">
        <f ca="1">IFERROR(__xludf.DUMMYFUNCTION("""COMPUTED_VALUE"""),"=(-40+60*P_E+1,2*Self_AD+Self_AP)*MOD_Magic")</f>
        <v>=(-40+60*P_E+1,2*Self_AD+Self_AP)*MOD_Magic</v>
      </c>
      <c r="X51" s="299" t="str">
        <f ca="1">IFERROR(__xludf.DUMMYFUNCTION("""COMPUTED_VALUE"""),"=(-25 + 75 * P_R + 0,25 * Self_AD) * MOD_Phys * (1 + (3 * (1 - E_CHP/100))) * IF(Steroid_R; 2 + IT_CDMG; 1)")</f>
        <v>=(-25 + 75 * P_R + 0,25 * Self_AD) * MOD_Phys * (1 + (3 * (1 - E_CHP/100))) * IF(Steroid_R; 2 + IT_CDMG; 1)</v>
      </c>
      <c r="Y51" s="300" t="str">
        <f ca="1">IFERROR(__xludf.DUMMYFUNCTION("""COMPUTED_VALUE"""),"=0")</f>
        <v>=0</v>
      </c>
      <c r="Z51" s="281" t="str">
        <f ca="1">IFERROR(__xludf.DUMMYFUNCTION("""COMPUTED_VALUE"""),"=7,5-0,5*P_Q")</f>
        <v>=7,5-0,5*P_Q</v>
      </c>
      <c r="AA51" s="282" t="str">
        <f ca="1">IFERROR(__xludf.DUMMYFUNCTION("""COMPUTED_VALUE"""),"=12")</f>
        <v>=12</v>
      </c>
      <c r="AB51" s="282" t="str">
        <f ca="1">IFERROR(__xludf.DUMMYFUNCTION("""COMPUTED_VALUE"""),"=26,5-2,5*P_E")</f>
        <v>=26,5-2,5*P_E</v>
      </c>
      <c r="AC51" s="282" t="str">
        <f ca="1">IFERROR(__xludf.DUMMYFUNCTION("""COMPUTED_VALUE"""),"=135-15*P_R")</f>
        <v>=135-15*P_R</v>
      </c>
      <c r="AD51" s="306" t="str">
        <f ca="1">IFERROR(__xludf.DUMMYFUNCTION("""COMPUTED_VALUE"""),"=1")</f>
        <v>=1</v>
      </c>
      <c r="AE51" s="281" t="b">
        <f ca="1">IFERROR(__xludf.DUMMYFUNCTION("""COMPUTED_VALUE"""),FALSE)</f>
        <v>0</v>
      </c>
      <c r="AF51" s="282" t="str">
        <f ca="1">IFERROR(__xludf.DUMMYFUNCTION("""COMPUTED_VALUE"""),"=Image(""https://ddragon.leagueoflegends.com/cdn/11.19.1/img/champion/Jhin.png"")")</f>
        <v>=Image("https://ddragon.leagueoflegends.com/cdn/11.19.1/img/champion/Jhin.png")</v>
      </c>
      <c r="AG51" s="282" t="str">
        <f ca="1">IFERROR(__xludf.DUMMYFUNCTION("""COMPUTED_VALUE"""),"=IF(OR(REGEXMATCH(FORMULATEXT(U51);""HMOD"");NOT(P_Q&gt;0));0;U51)+IF(OR(REGEXMATCH(FORMULATEXT(V51);""HMOD"");NOT(P_W&gt;0));0;V51)+IF(OR(REGEXMATCH(FORMULATEXT(W51);""HMOD"");NOT(P_E&gt;0));0;W51)+IF(OR(REGEXMATCH(FORMULATEXT(X51);""HMOD"");NOT(P_R&gt;0));0;X51)+IF"&amp;"(REGEXMATCH(FORMULATEXT(Y51);""HMOD"");0;Y51)+Self_Proc_Item+Self_Proc_Summ+Self_Proc_Rune+3*Self_DPS")</f>
        <v>=IF(OR(REGEXMATCH(FORMULATEXT(U51);"HMOD");NOT(P_Q&gt;0));0;U51)+IF(OR(REGEXMATCH(FORMULATEXT(V51);"HMOD");NOT(P_W&gt;0));0;V51)+IF(OR(REGEXMATCH(FORMULATEXT(W51);"HMOD");NOT(P_E&gt;0));0;W51)+IF(OR(REGEXMATCH(FORMULATEXT(X51);"HMOD");NOT(P_R&gt;0));0;X51)+IF(REGEXMATCH(FORMULATEXT(Y51);"HMOD");0;Y51)+Self_Proc_Item+Self_Proc_Summ+Self_Proc_Rune+3*Self_DPS</v>
      </c>
      <c r="AH51" s="282" t="str">
        <f ca="1">IFERROR(__xludf.DUMMYFUNCTION("""COMPUTED_VALUE"""),"=0")</f>
        <v>=0</v>
      </c>
      <c r="AI51" s="282" t="b">
        <f ca="1">IFERROR(__xludf.DUMMYFUNCTION("""COMPUTED_VALUE"""),FALSE)</f>
        <v>0</v>
      </c>
      <c r="AJ51" s="283" t="b">
        <f ca="1">IFERROR(__xludf.DUMMYFUNCTION("""COMPUTED_VALUE"""),FALSE)</f>
        <v>0</v>
      </c>
    </row>
    <row r="52" spans="1:36">
      <c r="A52" s="267" t="str">
        <f ca="1">IFERROR(__xludf.DUMMYFUNCTION("""COMPUTED_VALUE"""),"Jinx")</f>
        <v>Jinx</v>
      </c>
      <c r="B52" s="287" t="str">
        <f ca="1">IFERROR(__xludf.DUMMYFUNCTION("""COMPUTED_VALUE"""),"=630")</f>
        <v>=630</v>
      </c>
      <c r="C52" s="287" t="str">
        <f ca="1">IFERROR(__xludf.DUMMYFUNCTION("""COMPUTED_VALUE"""),"=100")</f>
        <v>=100</v>
      </c>
      <c r="D52" s="288" t="str">
        <f ca="1">IFERROR(__xludf.DUMMYFUNCTION("""COMPUTED_VALUE"""),"=3,5")</f>
        <v>=3,5</v>
      </c>
      <c r="E52" s="289" t="str">
        <f ca="1">IFERROR(__xludf.DUMMYFUNCTION("""COMPUTED_VALUE"""),"=0,5")</f>
        <v>=0,5</v>
      </c>
      <c r="F52" s="288" t="str">
        <f ca="1">IFERROR(__xludf.DUMMYFUNCTION("""COMPUTED_VALUE"""),"=260")</f>
        <v>=260</v>
      </c>
      <c r="G52" s="288" t="str">
        <f ca="1">IFERROR(__xludf.DUMMYFUNCTION("""COMPUTED_VALUE"""),"=50")</f>
        <v>=50</v>
      </c>
      <c r="H52" s="288" t="str">
        <f ca="1">IFERROR(__xludf.DUMMYFUNCTION("""COMPUTED_VALUE"""),"=6,7")</f>
        <v>=6,7</v>
      </c>
      <c r="I52" s="289" t="str">
        <f ca="1">IFERROR(__xludf.DUMMYFUNCTION("""COMPUTED_VALUE"""),"=1")</f>
        <v>=1</v>
      </c>
      <c r="J52" s="290" t="str">
        <f ca="1">IFERROR(__xludf.DUMMYFUNCTION("""COMPUTED_VALUE"""),"=59")</f>
        <v>=59</v>
      </c>
      <c r="K52" s="288" t="str">
        <f ca="1">IFERROR(__xludf.DUMMYFUNCTION("""COMPUTED_VALUE"""),"=3,15")</f>
        <v>=3,15</v>
      </c>
      <c r="L52" s="291" t="str">
        <f ca="1">IFERROR(__xludf.DUMMYFUNCTION("""COMPUTED_VALUE"""),"=0,625")</f>
        <v>=0,625</v>
      </c>
      <c r="M52" s="291" t="str">
        <f ca="1">IFERROR(__xludf.DUMMYFUNCTION("""COMPUTED_VALUE"""),"=0,625")</f>
        <v>=0,625</v>
      </c>
      <c r="N52" s="292" t="str">
        <f ca="1">IFERROR(__xludf.DUMMYFUNCTION("""COMPUTED_VALUE"""),"=1%")</f>
        <v>=1%</v>
      </c>
      <c r="O52" s="287" t="str">
        <f ca="1">IFERROR(__xludf.DUMMYFUNCTION("""COMPUTED_VALUE"""),"=26")</f>
        <v>=26</v>
      </c>
      <c r="P52" s="287" t="str">
        <f ca="1">IFERROR(__xludf.DUMMYFUNCTION("""COMPUTED_VALUE"""),"=4,7")</f>
        <v>=4,7</v>
      </c>
      <c r="Q52" s="288" t="str">
        <f ca="1">IFERROR(__xludf.DUMMYFUNCTION("""COMPUTED_VALUE"""),"=30")</f>
        <v>=30</v>
      </c>
      <c r="R52" s="289" t="str">
        <f ca="1">IFERROR(__xludf.DUMMYFUNCTION("""COMPUTED_VALUE"""),"=1,3")</f>
        <v>=1,3</v>
      </c>
      <c r="S52" s="287" t="str">
        <f ca="1">IFERROR(__xludf.DUMMYFUNCTION("""COMPUTED_VALUE"""),"=325")</f>
        <v>=325</v>
      </c>
      <c r="T52" s="628" t="str">
        <f ca="1">IFERROR(__xludf.DUMMYFUNCTION("""COMPUTED_VALUE"""),"=525+if(and(P_Q&gt;0;Steroid_Q);50+30*P_Q;0)")</f>
        <v>=525+if(and(P_Q&gt;0;Steroid_Q);50+30*P_Q;0)</v>
      </c>
      <c r="U52" s="295" t="str">
        <f ca="1">IFERROR(__xludf.DUMMYFUNCTION("""COMPUTED_VALUE"""),"=(1,1*Self_AD)*MOD_Phys")</f>
        <v>=(1,1*Self_AD)*MOD_Phys</v>
      </c>
      <c r="V52" s="296" t="str">
        <f ca="1">IFERROR(__xludf.DUMMYFUNCTION("""COMPUTED_VALUE"""),"=(-40+50*P_W+1,4*Self_AD)*MOD_Phys")</f>
        <v>=(-40+50*P_W+1,4*Self_AD)*MOD_Phys</v>
      </c>
      <c r="W52" s="296" t="str">
        <f ca="1">IFERROR(__xludf.DUMMYFUNCTION("""COMPUTED_VALUE"""),"=(20+50*P_E+Self_AP)*MOD_Magic")</f>
        <v>=(20+50*P_E+Self_AP)*MOD_Magic</v>
      </c>
      <c r="X52" s="296" t="str">
        <f ca="1">IFERROR(__xludf.DUMMYFUNCTION("""COMPUTED_VALUE"""),"=(200 + 100 * P_R + 1,5 * Self_BoAD + (0,2 + 0,05 * P_R) * E_MisHPV) * MOD_Phys")</f>
        <v>=(200 + 100 * P_R + 1,5 * Self_BoAD + (0,2 + 0,05 * P_R) * E_MisHPV) * MOD_Phys</v>
      </c>
      <c r="Y52" s="297" t="str">
        <f ca="1">IFERROR(__xludf.DUMMYFUNCTION("""COMPUTED_VALUE"""),"=0")</f>
        <v>=0</v>
      </c>
      <c r="Z52" s="281" t="str">
        <f ca="1">IFERROR(__xludf.DUMMYFUNCTION("""COMPUTED_VALUE"""),"=0,9")</f>
        <v>=0,9</v>
      </c>
      <c r="AA52" s="282" t="str">
        <f ca="1">IFERROR(__xludf.DUMMYFUNCTION("""COMPUTED_VALUE"""),"=9-P_W")</f>
        <v>=9-P_W</v>
      </c>
      <c r="AB52" s="282" t="str">
        <f ca="1">IFERROR(__xludf.DUMMYFUNCTION("""COMPUTED_VALUE"""),"=27,5-3,5*P_E")</f>
        <v>=27,5-3,5*P_E</v>
      </c>
      <c r="AC52" s="282" t="str">
        <f ca="1">IFERROR(__xludf.DUMMYFUNCTION("""COMPUTED_VALUE"""),"=85 - 10 * P_R")</f>
        <v>=85 - 10 * P_R</v>
      </c>
      <c r="AD52" s="283" t="str">
        <f ca="1">IFERROR(__xludf.DUMMYFUNCTION("""COMPUTED_VALUE"""),"=1")</f>
        <v>=1</v>
      </c>
      <c r="AE52" s="281" t="b">
        <f ca="1">IFERROR(__xludf.DUMMYFUNCTION("""COMPUTED_VALUE"""),FALSE)</f>
        <v>0</v>
      </c>
      <c r="AF52" s="282" t="str">
        <f ca="1">IFERROR(__xludf.DUMMYFUNCTION("""COMPUTED_VALUE"""),"=Image(""https://ddragon.leagueoflegends.com/cdn/11.19.1/img/champion/Jinx.png"")")</f>
        <v>=Image("https://ddragon.leagueoflegends.com/cdn/11.19.1/img/champion/Jinx.png")</v>
      </c>
      <c r="AG52" s="282" t="str">
        <f ca="1">IFERROR(__xludf.DUMMYFUNCTION("""COMPUTED_VALUE"""),"=IF(OR(REGEXMATCH(FORMULATEXT(U52);""HMOD"");NOT(P_Q&gt;0));0;U52)+IF(OR(REGEXMATCH(FORMULATEXT(V52);""HMOD"");NOT(P_W&gt;0));0;V52)+IF(OR(REGEXMATCH(FORMULATEXT(W52);""HMOD"");NOT(P_E&gt;0));0;W52)+IF(OR(REGEXMATCH(FORMULATEXT(X52);""HMOD"");NOT(P_R&gt;0));0;X52)+IF"&amp;"(REGEXMATCH(FORMULATEXT(Y52);""HMOD"");0;Y52)+Self_Proc_Item+Self_Proc_Summ+Self_Proc_Rune+3*Self_DPS")</f>
        <v>=IF(OR(REGEXMATCH(FORMULATEXT(U52);"HMOD");NOT(P_Q&gt;0));0;U52)+IF(OR(REGEXMATCH(FORMULATEXT(V52);"HMOD");NOT(P_W&gt;0));0;V52)+IF(OR(REGEXMATCH(FORMULATEXT(W52);"HMOD");NOT(P_E&gt;0));0;W52)+IF(OR(REGEXMATCH(FORMULATEXT(X52);"HMOD");NOT(P_R&gt;0));0;X52)+IF(REGEXMATCH(FORMULATEXT(Y52);"HMOD");0;Y52)+Self_Proc_Item+Self_Proc_Summ+Self_Proc_Rune+3*Self_DPS</v>
      </c>
      <c r="AH52" s="282" t="str">
        <f ca="1">IFERROR(__xludf.DUMMYFUNCTION("""COMPUTED_VALUE"""),"=0")</f>
        <v>=0</v>
      </c>
      <c r="AI52" s="282" t="b">
        <f ca="1">IFERROR(__xludf.DUMMYFUNCTION("""COMPUTED_VALUE"""),FALSE)</f>
        <v>0</v>
      </c>
      <c r="AJ52" s="283" t="b">
        <f ca="1">IFERROR(__xludf.DUMMYFUNCTION("""COMPUTED_VALUE"""),FALSE)</f>
        <v>0</v>
      </c>
    </row>
    <row r="53" spans="1:36">
      <c r="A53" s="267" t="str">
        <f ca="1">IFERROR(__xludf.DUMMYFUNCTION("""COMPUTED_VALUE"""),"Kai'Sa")</f>
        <v>Kai'Sa</v>
      </c>
      <c r="B53" s="287" t="str">
        <f ca="1">IFERROR(__xludf.DUMMYFUNCTION("""COMPUTED_VALUE"""),"=670")</f>
        <v>=670</v>
      </c>
      <c r="C53" s="287" t="str">
        <f ca="1">IFERROR(__xludf.DUMMYFUNCTION("""COMPUTED_VALUE"""),"=102")</f>
        <v>=102</v>
      </c>
      <c r="D53" s="288" t="str">
        <f ca="1">IFERROR(__xludf.DUMMYFUNCTION("""COMPUTED_VALUE"""),"=3,5")</f>
        <v>=3,5</v>
      </c>
      <c r="E53" s="289" t="str">
        <f ca="1">IFERROR(__xludf.DUMMYFUNCTION("""COMPUTED_VALUE"""),"=0,55")</f>
        <v>=0,55</v>
      </c>
      <c r="F53" s="288" t="str">
        <f ca="1">IFERROR(__xludf.DUMMYFUNCTION("""COMPUTED_VALUE"""),"=345")</f>
        <v>=345</v>
      </c>
      <c r="G53" s="288" t="str">
        <f ca="1">IFERROR(__xludf.DUMMYFUNCTION("""COMPUTED_VALUE"""),"=40")</f>
        <v>=40</v>
      </c>
      <c r="H53" s="288" t="str">
        <f ca="1">IFERROR(__xludf.DUMMYFUNCTION("""COMPUTED_VALUE"""),"=8,2")</f>
        <v>=8,2</v>
      </c>
      <c r="I53" s="289" t="str">
        <f ca="1">IFERROR(__xludf.DUMMYFUNCTION("""COMPUTED_VALUE"""),"=0,7")</f>
        <v>=0,7</v>
      </c>
      <c r="J53" s="290" t="str">
        <f ca="1">IFERROR(__xludf.DUMMYFUNCTION("""COMPUTED_VALUE"""),"=59")</f>
        <v>=59</v>
      </c>
      <c r="K53" s="288" t="str">
        <f ca="1">IFERROR(__xludf.DUMMYFUNCTION("""COMPUTED_VALUE"""),"=2,6")</f>
        <v>=2,6</v>
      </c>
      <c r="L53" s="291" t="str">
        <f ca="1">IFERROR(__xludf.DUMMYFUNCTION("""COMPUTED_VALUE"""),"=0,644")</f>
        <v>=0,644</v>
      </c>
      <c r="M53" s="291" t="str">
        <f ca="1">IFERROR(__xludf.DUMMYFUNCTION("""COMPUTED_VALUE"""),"=0,644")</f>
        <v>=0,644</v>
      </c>
      <c r="N53" s="292" t="str">
        <f ca="1">IFERROR(__xludf.DUMMYFUNCTION("""COMPUTED_VALUE"""),"=1,8%")</f>
        <v>=1,8%</v>
      </c>
      <c r="O53" s="287" t="str">
        <f ca="1">IFERROR(__xludf.DUMMYFUNCTION("""COMPUTED_VALUE"""),"=28")</f>
        <v>=28</v>
      </c>
      <c r="P53" s="287" t="str">
        <f ca="1">IFERROR(__xludf.DUMMYFUNCTION("""COMPUTED_VALUE"""),"=4,2")</f>
        <v>=4,2</v>
      </c>
      <c r="Q53" s="288" t="str">
        <f ca="1">IFERROR(__xludf.DUMMYFUNCTION("""COMPUTED_VALUE"""),"=30")</f>
        <v>=30</v>
      </c>
      <c r="R53" s="289" t="str">
        <f ca="1">IFERROR(__xludf.DUMMYFUNCTION("""COMPUTED_VALUE"""),"=1,3")</f>
        <v>=1,3</v>
      </c>
      <c r="S53" s="287" t="str">
        <f ca="1">IFERROR(__xludf.DUMMYFUNCTION("""COMPUTED_VALUE"""),"=335")</f>
        <v>=335</v>
      </c>
      <c r="T53" s="628" t="str">
        <f ca="1">IFERROR(__xludf.DUMMYFUNCTION("""COMPUTED_VALUE"""),"=525")</f>
        <v>=525</v>
      </c>
      <c r="U53" s="298" t="str">
        <f ca="1">IFERROR(__xludf.DUMMYFUNCTION("""COMPUTED_VALUE"""),"=IF(AND(Steroid_Q; (Self_BoAD - Calc!C4 + Self_BaAD - Calc!C5) &gt;= 100); 3,75; IF(Steroid_Q; 2,25; 1)) * (15 * P_Q+  25 + 0,5 * Self_BoAD + 0,3 * Self_AP) * MOD_Phys")</f>
        <v>=IF(AND(Steroid_Q; (Self_BoAD - Calc!C4 + Self_BaAD - Calc!C5) &gt;= 100); 3,75; IF(Steroid_Q; 2,25; 1)) * (15 * P_Q+  25 + 0,5 * Self_BoAD + 0,3 * Self_AP) * MOD_Phys</v>
      </c>
      <c r="V53" s="299" t="str">
        <f ca="1">IFERROR(__xludf.DUMMYFUNCTION("""COMPUTED_VALUE"""),"=(25*P_W+5+1,3*Self_AD+0,45*Self_AP)*MOD_Magic")</f>
        <v>=(25*P_W+5+1,3*Self_AD+0,45*Self_AP)*MOD_Magic</v>
      </c>
      <c r="W53" s="299" t="str">
        <f ca="1">IFERROR(__xludf.DUMMYFUNCTION("""COMPUTED_VALUE"""),"=0")</f>
        <v>=0</v>
      </c>
      <c r="X53" s="299" t="str">
        <f ca="1">IFERROR(__xludf.DUMMYFUNCTION("""COMPUTED_VALUE"""),"=(50 + 20 * P_R + (0,5 + 0,4 * P_R) * Self_AD + 1,2 * Self_AP) * MOD_SelfHeal")</f>
        <v>=(50 + 20 * P_R + (0,5 + 0,4 * P_R) * Self_AD + 1,2 * Self_AP) * MOD_SelfHeal</v>
      </c>
      <c r="Y53" s="300" t="str">
        <f ca="1">IFERROR(__xludf.DUMMYFUNCTION("""COMPUTED_VALUE"""),"=IF(Steroid_P; 1; 0,5) * ((0,15 + 0,0006 * Self_AP) * E_MisHPV) * MOD_Magic")</f>
        <v>=IF(Steroid_P; 1; 0,5) * ((0,15 + 0,0006 * Self_AP) * E_MisHPV) * MOD_Magic</v>
      </c>
      <c r="Z53" s="281" t="str">
        <f ca="1">IFERROR(__xludf.DUMMYFUNCTION("""COMPUTED_VALUE"""),"=11-P_Q")</f>
        <v>=11-P_Q</v>
      </c>
      <c r="AA53" s="282" t="str">
        <f ca="1">IFERROR(__xludf.DUMMYFUNCTION("""COMPUTED_VALUE"""),"=24-2*P_W")</f>
        <v>=24-2*P_W</v>
      </c>
      <c r="AB53" s="282" t="str">
        <f ca="1">IFERROR(__xludf.DUMMYFUNCTION("""COMPUTED_VALUE"""),"=17,5-1,5*P_E")</f>
        <v>=17,5-1,5*P_E</v>
      </c>
      <c r="AC53" s="282" t="str">
        <f ca="1">IFERROR(__xludf.DUMMYFUNCTION("""COMPUTED_VALUE"""),"=160-30*P_R")</f>
        <v>=160-30*P_R</v>
      </c>
      <c r="AD53" s="283" t="str">
        <f ca="1">IFERROR(__xludf.DUMMYFUNCTION("""COMPUTED_VALUE"""),"=if(Self_AS&gt;0;if(Calc!C49;4;5)/Self_AS;1)")</f>
        <v>=if(Self_AS&gt;0;if(Calc!C49;4;5)/Self_AS;1)</v>
      </c>
      <c r="AE53" s="281" t="b">
        <f ca="1">IFERROR(__xludf.DUMMYFUNCTION("""COMPUTED_VALUE"""),FALSE)</f>
        <v>0</v>
      </c>
      <c r="AF53" s="282" t="str">
        <f ca="1">IFERROR(__xludf.DUMMYFUNCTION("""COMPUTED_VALUE"""),"=Image(""https://ddragon.leagueoflegends.com/cdn/11.19.1/img/champion/Kaisa.png"")")</f>
        <v>=Image("https://ddragon.leagueoflegends.com/cdn/11.19.1/img/champion/Kaisa.png")</v>
      </c>
      <c r="AG53" s="282" t="str">
        <f ca="1">IFERROR(__xludf.DUMMYFUNCTION("""COMPUTED_VALUE"""),"=IF(OR(REGEXMATCH(FORMULATEXT(U53);""HMOD"");NOT(P_Q&gt;0));0;U53)+IF(OR(REGEXMATCH(FORMULATEXT(V53);""HMOD"");NOT(P_W&gt;0));0;V53)+IF(OR(REGEXMATCH(FORMULATEXT(W53);""HMOD"");NOT(P_E&gt;0));0;W53)+IF(OR(REGEXMATCH(FORMULATEXT(X53);""HMOD"");NOT(P_R&gt;0));0;X53)+IF"&amp;"(REGEXMATCH(FORMULATEXT(Y53);""HMOD"");0;Y53)+Self_Proc_Item+Self_Proc_Summ+Self_Proc_Rune+3*Self_DPS")</f>
        <v>=IF(OR(REGEXMATCH(FORMULATEXT(U53);"HMOD");NOT(P_Q&gt;0));0;U53)+IF(OR(REGEXMATCH(FORMULATEXT(V53);"HMOD");NOT(P_W&gt;0));0;V53)+IF(OR(REGEXMATCH(FORMULATEXT(W53);"HMOD");NOT(P_E&gt;0));0;W53)+IF(OR(REGEXMATCH(FORMULATEXT(X53);"HMOD");NOT(P_R&gt;0));0;X53)+IF(REGEXMATCH(FORMULATEXT(Y53);"HMOD");0;Y53)+Self_Proc_Item+Self_Proc_Summ+Self_Proc_Rune+3*Self_DPS</v>
      </c>
      <c r="AH53" s="282" t="str">
        <f ca="1">IFERROR(__xludf.DUMMYFUNCTION("""COMPUTED_VALUE"""),"=0")</f>
        <v>=0</v>
      </c>
      <c r="AI53" s="282" t="b">
        <f ca="1">IFERROR(__xludf.DUMMYFUNCTION("""COMPUTED_VALUE"""),FALSE)</f>
        <v>0</v>
      </c>
      <c r="AJ53" s="283" t="b">
        <f ca="1">IFERROR(__xludf.DUMMYFUNCTION("""COMPUTED_VALUE"""),FALSE)</f>
        <v>0</v>
      </c>
    </row>
    <row r="54" spans="1:36">
      <c r="A54" s="267" t="str">
        <f ca="1">IFERROR(__xludf.DUMMYFUNCTION("""COMPUTED_VALUE"""),"Kalista")</f>
        <v>Kalista</v>
      </c>
      <c r="B54" s="287" t="str">
        <f ca="1">IFERROR(__xludf.DUMMYFUNCTION("""COMPUTED_VALUE"""),"=600")</f>
        <v>=600</v>
      </c>
      <c r="C54" s="287" t="str">
        <f ca="1">IFERROR(__xludf.DUMMYFUNCTION("""COMPUTED_VALUE"""),"=114")</f>
        <v>=114</v>
      </c>
      <c r="D54" s="288" t="str">
        <f ca="1">IFERROR(__xludf.DUMMYFUNCTION("""COMPUTED_VALUE"""),"=4")</f>
        <v>=4</v>
      </c>
      <c r="E54" s="289" t="str">
        <f ca="1">IFERROR(__xludf.DUMMYFUNCTION("""COMPUTED_VALUE"""),"=0,75")</f>
        <v>=0,75</v>
      </c>
      <c r="F54" s="288" t="str">
        <f ca="1">IFERROR(__xludf.DUMMYFUNCTION("""COMPUTED_VALUE"""),"=300")</f>
        <v>=300</v>
      </c>
      <c r="G54" s="288" t="str">
        <f ca="1">IFERROR(__xludf.DUMMYFUNCTION("""COMPUTED_VALUE"""),"=45")</f>
        <v>=45</v>
      </c>
      <c r="H54" s="288" t="str">
        <f ca="1">IFERROR(__xludf.DUMMYFUNCTION("""COMPUTED_VALUE"""),"=6,3")</f>
        <v>=6,3</v>
      </c>
      <c r="I54" s="289" t="str">
        <f ca="1">IFERROR(__xludf.DUMMYFUNCTION("""COMPUTED_VALUE"""),"=0,4")</f>
        <v>=0,4</v>
      </c>
      <c r="J54" s="290" t="str">
        <f ca="1">IFERROR(__xludf.DUMMYFUNCTION("""COMPUTED_VALUE"""),"=61")</f>
        <v>=61</v>
      </c>
      <c r="K54" s="288" t="str">
        <f ca="1">IFERROR(__xludf.DUMMYFUNCTION("""COMPUTED_VALUE"""),"=3,25")</f>
        <v>=3,25</v>
      </c>
      <c r="L54" s="291" t="str">
        <f ca="1">IFERROR(__xludf.DUMMYFUNCTION("""COMPUTED_VALUE"""),"=0,694")</f>
        <v>=0,694</v>
      </c>
      <c r="M54" s="291" t="str">
        <f ca="1">IFERROR(__xludf.DUMMYFUNCTION("""COMPUTED_VALUE"""),"=0,694")</f>
        <v>=0,694</v>
      </c>
      <c r="N54" s="292" t="str">
        <f ca="1">IFERROR(__xludf.DUMMYFUNCTION("""COMPUTED_VALUE"""),"=4,5%")</f>
        <v>=4,5%</v>
      </c>
      <c r="O54" s="287" t="str">
        <f ca="1">IFERROR(__xludf.DUMMYFUNCTION("""COMPUTED_VALUE"""),"=24")</f>
        <v>=24</v>
      </c>
      <c r="P54" s="287" t="str">
        <f ca="1">IFERROR(__xludf.DUMMYFUNCTION("""COMPUTED_VALUE"""),"=5,2")</f>
        <v>=5,2</v>
      </c>
      <c r="Q54" s="288" t="str">
        <f ca="1">IFERROR(__xludf.DUMMYFUNCTION("""COMPUTED_VALUE"""),"=30")</f>
        <v>=30</v>
      </c>
      <c r="R54" s="289" t="str">
        <f ca="1">IFERROR(__xludf.DUMMYFUNCTION("""COMPUTED_VALUE"""),"=1,3")</f>
        <v>=1,3</v>
      </c>
      <c r="S54" s="287" t="str">
        <f ca="1">IFERROR(__xludf.DUMMYFUNCTION("""COMPUTED_VALUE"""),"=330")</f>
        <v>=330</v>
      </c>
      <c r="T54" s="628" t="str">
        <f ca="1">IFERROR(__xludf.DUMMYFUNCTION("""COMPUTED_VALUE"""),"=525")</f>
        <v>=525</v>
      </c>
      <c r="U54" s="295" t="str">
        <f ca="1">IFERROR(__xludf.DUMMYFUNCTION("""COMPUTED_VALUE"""),"=(-45 + 65 * P_Q + 1,05 * Self_AD) * MOD_Phys")</f>
        <v>=(-45 + 65 * P_Q + 1,05 * Self_AD) * MOD_Phys</v>
      </c>
      <c r="V54" s="296" t="str">
        <f ca="1">IFERROR(__xludf.DUMMYFUNCTION("""COMPUTED_VALUE"""),"=((0,13+0,01*P_W)*E_MHP)*MOD_Magic")</f>
        <v>=((0,13+0,01*P_W)*E_MHP)*MOD_Magic</v>
      </c>
      <c r="W54" s="296" t="str">
        <f ca="1">IFERROR(__xludf.DUMMYFUNCTION("""COMPUTED_VALUE"""),"=(10 + 10 * P_E + 0,7 * Self_AD + 0,2 * Self_AP + IF(Steroid_E; 10 * (4 + 4 * P_E + (0,2 + 0,05 * P_E) * Self_AD) + 0,2 * Self_AP; 0)) * MOD_Phys")</f>
        <v>=(10 + 10 * P_E + 0,7 * Self_AD + 0,2 * Self_AP + IF(Steroid_E; 10 * (4 + 4 * P_E + (0,2 + 0,05 * P_E) * Self_AD) + 0,2 * Self_AP; 0)) * MOD_Phys</v>
      </c>
      <c r="X54" s="296" t="str">
        <f ca="1">IFERROR(__xludf.DUMMYFUNCTION("""COMPUTED_VALUE"""),"=0")</f>
        <v>=0</v>
      </c>
      <c r="Y54" s="297" t="str">
        <f ca="1">IFERROR(__xludf.DUMMYFUNCTION("""COMPUTED_VALUE"""),"=(0,9*Self_AD)*MOD_Phys")</f>
        <v>=(0,9*Self_AD)*MOD_Phys</v>
      </c>
      <c r="Z54" s="281" t="str">
        <f ca="1">IFERROR(__xludf.DUMMYFUNCTION("""COMPUTED_VALUE"""),"=8")</f>
        <v>=8</v>
      </c>
      <c r="AA54" s="282" t="str">
        <f ca="1">IFERROR(__xludf.DUMMYFUNCTION("""COMPUTED_VALUE"""),"=100-10*P_W")</f>
        <v>=100-10*P_W</v>
      </c>
      <c r="AB54" s="282" t="str">
        <f ca="1">IFERROR(__xludf.DUMMYFUNCTION("""COMPUTED_VALUE"""),"=16,5-2,5*P_E")</f>
        <v>=16,5-2,5*P_E</v>
      </c>
      <c r="AC54" s="282" t="str">
        <f ca="1">IFERROR(__xludf.DUMMYFUNCTION("""COMPUTED_VALUE"""),"=180-30*P_R")</f>
        <v>=180-30*P_R</v>
      </c>
      <c r="AD54" s="283" t="str">
        <f ca="1">IFERROR(__xludf.DUMMYFUNCTION("""COMPUTED_VALUE"""),"=1")</f>
        <v>=1</v>
      </c>
      <c r="AE54" s="281" t="b">
        <f ca="1">IFERROR(__xludf.DUMMYFUNCTION("""COMPUTED_VALUE"""),FALSE)</f>
        <v>0</v>
      </c>
      <c r="AF54" s="282" t="str">
        <f ca="1">IFERROR(__xludf.DUMMYFUNCTION("""COMPUTED_VALUE"""),"=Image(""https://ddragon.leagueoflegends.com/cdn/11.19.1/img/champion/Kalista.png"")")</f>
        <v>=Image("https://ddragon.leagueoflegends.com/cdn/11.19.1/img/champion/Kalista.png")</v>
      </c>
      <c r="AG54" s="282" t="str">
        <f ca="1">IFERROR(__xludf.DUMMYFUNCTION("""COMPUTED_VALUE"""),"=IF(OR(REGEXMATCH(FORMULATEXT(U54);""HMOD"");NOT(P_Q&gt;0));0;U54)+IF(OR(REGEXMATCH(FORMULATEXT(V54);""HMOD"");NOT(P_W&gt;0));0;V54)+IF(OR(REGEXMATCH(FORMULATEXT(W54);""HMOD"");NOT(P_E&gt;0));0;W54)+IF(OR(REGEXMATCH(FORMULATEXT(X54);""HMOD"");NOT(P_R&gt;0));0;X54)+IF"&amp;"(REGEXMATCH(FORMULATEXT(Y54);""HMOD"");0;Y54)+Self_Proc_Item+Self_Proc_Summ+Self_Proc_Rune+3*Self_DPS")</f>
        <v>=IF(OR(REGEXMATCH(FORMULATEXT(U54);"HMOD");NOT(P_Q&gt;0));0;U54)+IF(OR(REGEXMATCH(FORMULATEXT(V54);"HMOD");NOT(P_W&gt;0));0;V54)+IF(OR(REGEXMATCH(FORMULATEXT(W54);"HMOD");NOT(P_E&gt;0));0;W54)+IF(OR(REGEXMATCH(FORMULATEXT(X54);"HMOD");NOT(P_R&gt;0));0;X54)+IF(REGEXMATCH(FORMULATEXT(Y54);"HMOD");0;Y54)+Self_Proc_Item+Self_Proc_Summ+Self_Proc_Rune+3*Self_DPS</v>
      </c>
      <c r="AH54" s="282" t="str">
        <f ca="1">IFERROR(__xludf.DUMMYFUNCTION("""COMPUTED_VALUE"""),"=0")</f>
        <v>=0</v>
      </c>
      <c r="AI54" s="282" t="b">
        <f ca="1">IFERROR(__xludf.DUMMYFUNCTION("""COMPUTED_VALUE"""),FALSE)</f>
        <v>0</v>
      </c>
      <c r="AJ54" s="283" t="b">
        <f ca="1">IFERROR(__xludf.DUMMYFUNCTION("""COMPUTED_VALUE"""),FALSE)</f>
        <v>0</v>
      </c>
    </row>
    <row r="55" spans="1:36">
      <c r="A55" s="267" t="str">
        <f ca="1">IFERROR(__xludf.DUMMYFUNCTION("""COMPUTED_VALUE"""),"Karma")</f>
        <v>Karma</v>
      </c>
      <c r="B55" s="287" t="str">
        <f ca="1">IFERROR(__xludf.DUMMYFUNCTION("""COMPUTED_VALUE"""),"=604")</f>
        <v>=604</v>
      </c>
      <c r="C55" s="287" t="str">
        <f ca="1">IFERROR(__xludf.DUMMYFUNCTION("""COMPUTED_VALUE"""),"=109")</f>
        <v>=109</v>
      </c>
      <c r="D55" s="288" t="str">
        <f ca="1">IFERROR(__xludf.DUMMYFUNCTION("""COMPUTED_VALUE"""),"=5,5")</f>
        <v>=5,5</v>
      </c>
      <c r="E55" s="289" t="str">
        <f ca="1">IFERROR(__xludf.DUMMYFUNCTION("""COMPUTED_VALUE"""),"=0,55")</f>
        <v>=0,55</v>
      </c>
      <c r="F55" s="288" t="str">
        <f ca="1">IFERROR(__xludf.DUMMYFUNCTION("""COMPUTED_VALUE"""),"=374")</f>
        <v>=374</v>
      </c>
      <c r="G55" s="288" t="str">
        <f ca="1">IFERROR(__xludf.DUMMYFUNCTION("""COMPUTED_VALUE"""),"=50")</f>
        <v>=50</v>
      </c>
      <c r="H55" s="288" t="str">
        <f ca="1">IFERROR(__xludf.DUMMYFUNCTION("""COMPUTED_VALUE"""),"=13")</f>
        <v>=13</v>
      </c>
      <c r="I55" s="289" t="str">
        <f ca="1">IFERROR(__xludf.DUMMYFUNCTION("""COMPUTED_VALUE"""),"=0,5")</f>
        <v>=0,5</v>
      </c>
      <c r="J55" s="290" t="str">
        <f ca="1">IFERROR(__xludf.DUMMYFUNCTION("""COMPUTED_VALUE"""),"=51")</f>
        <v>=51</v>
      </c>
      <c r="K55" s="288" t="str">
        <f ca="1">IFERROR(__xludf.DUMMYFUNCTION("""COMPUTED_VALUE"""),"=3,3")</f>
        <v>=3,3</v>
      </c>
      <c r="L55" s="291" t="str">
        <f ca="1">IFERROR(__xludf.DUMMYFUNCTION("""COMPUTED_VALUE"""),"=0,625")</f>
        <v>=0,625</v>
      </c>
      <c r="M55" s="291" t="str">
        <f ca="1">IFERROR(__xludf.DUMMYFUNCTION("""COMPUTED_VALUE"""),"=0,625")</f>
        <v>=0,625</v>
      </c>
      <c r="N55" s="292" t="str">
        <f ca="1">IFERROR(__xludf.DUMMYFUNCTION("""COMPUTED_VALUE"""),"=2,3%")</f>
        <v>=2,3%</v>
      </c>
      <c r="O55" s="287" t="str">
        <f ca="1">IFERROR(__xludf.DUMMYFUNCTION("""COMPUTED_VALUE"""),"=28")</f>
        <v>=28</v>
      </c>
      <c r="P55" s="287" t="str">
        <f ca="1">IFERROR(__xludf.DUMMYFUNCTION("""COMPUTED_VALUE"""),"=5")</f>
        <v>=5</v>
      </c>
      <c r="Q55" s="288" t="str">
        <f ca="1">IFERROR(__xludf.DUMMYFUNCTION("""COMPUTED_VALUE"""),"=30")</f>
        <v>=30</v>
      </c>
      <c r="R55" s="289" t="str">
        <f ca="1">IFERROR(__xludf.DUMMYFUNCTION("""COMPUTED_VALUE"""),"=1,3")</f>
        <v>=1,3</v>
      </c>
      <c r="S55" s="287" t="str">
        <f ca="1">IFERROR(__xludf.DUMMYFUNCTION("""COMPUTED_VALUE"""),"=335")</f>
        <v>=335</v>
      </c>
      <c r="T55" s="628" t="str">
        <f ca="1">IFERROR(__xludf.DUMMYFUNCTION("""COMPUTED_VALUE"""),"=525")</f>
        <v>=525</v>
      </c>
      <c r="U55" s="298" t="str">
        <f ca="1">IFERROR(__xludf.DUMMYFUNCTION("""COMPUTED_VALUE"""),"=(20 + 50 * P_Q + 0,4 * Self_AP + IF(Steroid_Q; 165 * (P_R + 1) - 90 + 0,9 * Self_AP;0))*MOD_Magic")</f>
        <v>=(20 + 50 * P_Q + 0,4 * Self_AP + IF(Steroid_Q; 165 * (P_R + 1) - 90 + 0,9 * Self_AP;0))*MOD_Magic</v>
      </c>
      <c r="V55" s="299" t="str">
        <f ca="1">IFERROR(__xludf.DUMMYFUNCTION("""COMPUTED_VALUE"""),"=(20+50*P_W+0,9*Self_AP)*MOD_Magic")</f>
        <v>=(20+50*P_W+0,9*Self_AP)*MOD_Magic</v>
      </c>
      <c r="W55" s="299" t="str">
        <f ca="1">IFERROR(__xludf.DUMMYFUNCTION("""COMPUTED_VALUE"""),"=(40 + 40 * P_E + 0,45 * Self_AP + IF(Steroid_E; 50 * (P_R + 1) - 30 + 0,45 * Self_AP; 0)) * MOD_Heal")</f>
        <v>=(40 + 40 * P_E + 0,45 * Self_AP + IF(Steroid_E; 50 * (P_R + 1) - 30 + 0,45 * Self_AP; 0)) * MOD_Heal</v>
      </c>
      <c r="X55" s="299" t="str">
        <f ca="1">IFERROR(__xludf.DUMMYFUNCTION("""COMPUTED_VALUE"""),"=0")</f>
        <v>=0</v>
      </c>
      <c r="Y55" s="300" t="str">
        <f ca="1">IFERROR(__xludf.DUMMYFUNCTION("""COMPUTED_VALUE"""),"=0")</f>
        <v>=0</v>
      </c>
      <c r="Z55" s="281" t="str">
        <f ca="1">IFERROR(__xludf.DUMMYFUNCTION("""COMPUTED_VALUE"""),"=8,5-0,5*P_Q")</f>
        <v>=8,5-0,5*P_Q</v>
      </c>
      <c r="AA55" s="282" t="str">
        <f ca="1">IFERROR(__xludf.DUMMYFUNCTION("""COMPUTED_VALUE"""),"=12")</f>
        <v>=12</v>
      </c>
      <c r="AB55" s="282" t="str">
        <f ca="1">IFERROR(__xludf.DUMMYFUNCTION("""COMPUTED_VALUE"""),"=10,5-0,5*P_E")</f>
        <v>=10,5-0,5*P_E</v>
      </c>
      <c r="AC55" s="282" t="str">
        <f ca="1">IFERROR(__xludf.DUMMYFUNCTION("""COMPUTED_VALUE"""),"=42-2*P_R")</f>
        <v>=42-2*P_R</v>
      </c>
      <c r="AD55" s="283" t="str">
        <f ca="1">IFERROR(__xludf.DUMMYFUNCTION("""COMPUTED_VALUE"""),"=1")</f>
        <v>=1</v>
      </c>
      <c r="AE55" s="281" t="b">
        <f ca="1">IFERROR(__xludf.DUMMYFUNCTION("""COMPUTED_VALUE"""),FALSE)</f>
        <v>0</v>
      </c>
      <c r="AF55" s="282" t="str">
        <f ca="1">IFERROR(__xludf.DUMMYFUNCTION("""COMPUTED_VALUE"""),"=Image(""https://ddragon.leagueoflegends.com/cdn/11.19.1/img/champion/Karma.png"")")</f>
        <v>=Image("https://ddragon.leagueoflegends.com/cdn/11.19.1/img/champion/Karma.png")</v>
      </c>
      <c r="AG55" s="282" t="str">
        <f ca="1">IFERROR(__xludf.DUMMYFUNCTION("""COMPUTED_VALUE"""),"=IF(OR(REGEXMATCH(FORMULATEXT(U55);""HMOD"");NOT(P_Q&gt;0));0;U55)+IF(OR(REGEXMATCH(FORMULATEXT(V55);""HMOD"");NOT(P_W&gt;0));0;V55)+IF(OR(REGEXMATCH(FORMULATEXT(W55);""HMOD"");NOT(P_E&gt;0));0;W55)+IF(OR(REGEXMATCH(FORMULATEXT(X55);""HMOD"");NOT(P_R&gt;0));0;X55)+IF"&amp;"(REGEXMATCH(FORMULATEXT(Y55);""HMOD"");0;Y55)+Self_Proc_Item+Self_Proc_Summ+Self_Proc_Rune+3*Self_DPS")</f>
        <v>=IF(OR(REGEXMATCH(FORMULATEXT(U55);"HMOD");NOT(P_Q&gt;0));0;U55)+IF(OR(REGEXMATCH(FORMULATEXT(V55);"HMOD");NOT(P_W&gt;0));0;V55)+IF(OR(REGEXMATCH(FORMULATEXT(W55);"HMOD");NOT(P_E&gt;0));0;W55)+IF(OR(REGEXMATCH(FORMULATEXT(X55);"HMOD");NOT(P_R&gt;0));0;X55)+IF(REGEXMATCH(FORMULATEXT(Y55);"HMOD");0;Y55)+Self_Proc_Item+Self_Proc_Summ+Self_Proc_Rune+3*Self_DPS</v>
      </c>
      <c r="AH55" s="282" t="str">
        <f ca="1">IFERROR(__xludf.DUMMYFUNCTION("""COMPUTED_VALUE"""),"=0")</f>
        <v>=0</v>
      </c>
      <c r="AI55" s="282" t="b">
        <f ca="1">IFERROR(__xludf.DUMMYFUNCTION("""COMPUTED_VALUE"""),FALSE)</f>
        <v>0</v>
      </c>
      <c r="AJ55" s="283" t="b">
        <f ca="1">IFERROR(__xludf.DUMMYFUNCTION("""COMPUTED_VALUE"""),FALSE)</f>
        <v>0</v>
      </c>
    </row>
    <row r="56" spans="1:36">
      <c r="A56" s="267" t="str">
        <f ca="1">IFERROR(__xludf.DUMMYFUNCTION("""COMPUTED_VALUE"""),"Karthus")</f>
        <v>Karthus</v>
      </c>
      <c r="B56" s="287" t="str">
        <f ca="1">IFERROR(__xludf.DUMMYFUNCTION("""COMPUTED_VALUE"""),"=620")</f>
        <v>=620</v>
      </c>
      <c r="C56" s="287" t="str">
        <f ca="1">IFERROR(__xludf.DUMMYFUNCTION("""COMPUTED_VALUE"""),"=110")</f>
        <v>=110</v>
      </c>
      <c r="D56" s="288" t="str">
        <f ca="1">IFERROR(__xludf.DUMMYFUNCTION("""COMPUTED_VALUE"""),"=6,5")</f>
        <v>=6,5</v>
      </c>
      <c r="E56" s="289" t="str">
        <f ca="1">IFERROR(__xludf.DUMMYFUNCTION("""COMPUTED_VALUE"""),"=0,55")</f>
        <v>=0,55</v>
      </c>
      <c r="F56" s="288" t="str">
        <f ca="1">IFERROR(__xludf.DUMMYFUNCTION("""COMPUTED_VALUE"""),"=467")</f>
        <v>=467</v>
      </c>
      <c r="G56" s="288" t="str">
        <f ca="1">IFERROR(__xludf.DUMMYFUNCTION("""COMPUTED_VALUE"""),"=30,5")</f>
        <v>=30,5</v>
      </c>
      <c r="H56" s="288" t="str">
        <f ca="1">IFERROR(__xludf.DUMMYFUNCTION("""COMPUTED_VALUE"""),"=8")</f>
        <v>=8</v>
      </c>
      <c r="I56" s="289" t="str">
        <f ca="1">IFERROR(__xludf.DUMMYFUNCTION("""COMPUTED_VALUE"""),"=0,8")</f>
        <v>=0,8</v>
      </c>
      <c r="J56" s="290" t="str">
        <f ca="1">IFERROR(__xludf.DUMMYFUNCTION("""COMPUTED_VALUE"""),"=46")</f>
        <v>=46</v>
      </c>
      <c r="K56" s="288" t="str">
        <f ca="1">IFERROR(__xludf.DUMMYFUNCTION("""COMPUTED_VALUE"""),"=3,25")</f>
        <v>=3,25</v>
      </c>
      <c r="L56" s="291" t="str">
        <f ca="1">IFERROR(__xludf.DUMMYFUNCTION("""COMPUTED_VALUE"""),"=0,625")</f>
        <v>=0,625</v>
      </c>
      <c r="M56" s="291" t="str">
        <f ca="1">IFERROR(__xludf.DUMMYFUNCTION("""COMPUTED_VALUE"""),"=0,625")</f>
        <v>=0,625</v>
      </c>
      <c r="N56" s="292" t="str">
        <f ca="1">IFERROR(__xludf.DUMMYFUNCTION("""COMPUTED_VALUE"""),"=2,11%")</f>
        <v>=2,11%</v>
      </c>
      <c r="O56" s="287" t="str">
        <f ca="1">IFERROR(__xludf.DUMMYFUNCTION("""COMPUTED_VALUE"""),"=21")</f>
        <v>=21</v>
      </c>
      <c r="P56" s="287" t="str">
        <f ca="1">IFERROR(__xludf.DUMMYFUNCTION("""COMPUTED_VALUE"""),"=4,7")</f>
        <v>=4,7</v>
      </c>
      <c r="Q56" s="288" t="str">
        <f ca="1">IFERROR(__xludf.DUMMYFUNCTION("""COMPUTED_VALUE"""),"=30")</f>
        <v>=30</v>
      </c>
      <c r="R56" s="289" t="str">
        <f ca="1">IFERROR(__xludf.DUMMYFUNCTION("""COMPUTED_VALUE"""),"=1,3")</f>
        <v>=1,3</v>
      </c>
      <c r="S56" s="287" t="str">
        <f ca="1">IFERROR(__xludf.DUMMYFUNCTION("""COMPUTED_VALUE"""),"=335")</f>
        <v>=335</v>
      </c>
      <c r="T56" s="628" t="str">
        <f ca="1">IFERROR(__xludf.DUMMYFUNCTION("""COMPUTED_VALUE"""),"=450")</f>
        <v>=450</v>
      </c>
      <c r="U56" s="295" t="str">
        <f ca="1">IFERROR(__xludf.DUMMYFUNCTION("""COMPUTED_VALUE"""),"=IF(Steroid_Q;2;1)*(27,5+17,5*P_Q+0,35*Self_AP)*MOD_Magic")</f>
        <v>=IF(Steroid_Q;2;1)*(27,5+17,5*P_Q+0,35*Self_AP)*MOD_Magic</v>
      </c>
      <c r="V56" s="296" t="str">
        <f ca="1">IFERROR(__xludf.DUMMYFUNCTION("""COMPUTED_VALUE"""),"=0")</f>
        <v>=0</v>
      </c>
      <c r="W56" s="296" t="str">
        <f ca="1">IFERROR(__xludf.DUMMYFUNCTION("""COMPUTED_VALUE"""),"=(10+20*P_E+0,2*Self_AP)*MOD_Magic")</f>
        <v>=(10+20*P_E+0,2*Self_AP)*MOD_Magic</v>
      </c>
      <c r="X56" s="296" t="str">
        <f ca="1">IFERROR(__xludf.DUMMYFUNCTION("""COMPUTED_VALUE"""),"=(50+150*P_R+0,75*Self_AP)*MOD_Magic")</f>
        <v>=(50+150*P_R+0,75*Self_AP)*MOD_Magic</v>
      </c>
      <c r="Y56" s="297" t="str">
        <f ca="1">IFERROR(__xludf.DUMMYFUNCTION("""COMPUTED_VALUE"""),"=0")</f>
        <v>=0</v>
      </c>
      <c r="Z56" s="281" t="str">
        <f ca="1">IFERROR(__xludf.DUMMYFUNCTION("""COMPUTED_VALUE"""),"=1")</f>
        <v>=1</v>
      </c>
      <c r="AA56" s="282" t="str">
        <f ca="1">IFERROR(__xludf.DUMMYFUNCTION("""COMPUTED_VALUE"""),"=15")</f>
        <v>=15</v>
      </c>
      <c r="AB56" s="282" t="str">
        <f ca="1">IFERROR(__xludf.DUMMYFUNCTION("""COMPUTED_VALUE"""),"=1")</f>
        <v>=1</v>
      </c>
      <c r="AC56" s="282" t="str">
        <f ca="1">IFERROR(__xludf.DUMMYFUNCTION("""COMPUTED_VALUE"""),"=220-20*P_R")</f>
        <v>=220-20*P_R</v>
      </c>
      <c r="AD56" s="283" t="str">
        <f ca="1">IFERROR(__xludf.DUMMYFUNCTION("""COMPUTED_VALUE"""),"=1")</f>
        <v>=1</v>
      </c>
      <c r="AE56" s="281" t="b">
        <f ca="1">IFERROR(__xludf.DUMMYFUNCTION("""COMPUTED_VALUE"""),FALSE)</f>
        <v>0</v>
      </c>
      <c r="AF56" s="282" t="str">
        <f ca="1">IFERROR(__xludf.DUMMYFUNCTION("""COMPUTED_VALUE"""),"=Image(""https://ddragon.leagueoflegends.com/cdn/11.19.1/img/champion/Karthus.png"")")</f>
        <v>=Image("https://ddragon.leagueoflegends.com/cdn/11.19.1/img/champion/Karthus.png")</v>
      </c>
      <c r="AG56" s="282" t="str">
        <f ca="1">IFERROR(__xludf.DUMMYFUNCTION("""COMPUTED_VALUE"""),"=IF(OR(REGEXMATCH(FORMULATEXT(U56);""HMOD"");NOT(P_Q&gt;0));0;U56)+IF(OR(REGEXMATCH(FORMULATEXT(V56);""HMOD"");NOT(P_W&gt;0));0;V56)+IF(OR(REGEXMATCH(FORMULATEXT(W56);""HMOD"");NOT(P_E&gt;0));0;W56)+IF(OR(REGEXMATCH(FORMULATEXT(X56);""HMOD"");NOT(P_R&gt;0));0;X56)+IF"&amp;"(REGEXMATCH(FORMULATEXT(Y56);""HMOD"");0;Y56)+Self_Proc_Item+Self_Proc_Summ+Self_Proc_Rune+3*Self_DPS")</f>
        <v>=IF(OR(REGEXMATCH(FORMULATEXT(U56);"HMOD");NOT(P_Q&gt;0));0;U56)+IF(OR(REGEXMATCH(FORMULATEXT(V56);"HMOD");NOT(P_W&gt;0));0;V56)+IF(OR(REGEXMATCH(FORMULATEXT(W56);"HMOD");NOT(P_E&gt;0));0;W56)+IF(OR(REGEXMATCH(FORMULATEXT(X56);"HMOD");NOT(P_R&gt;0));0;X56)+IF(REGEXMATCH(FORMULATEXT(Y56);"HMOD");0;Y56)+Self_Proc_Item+Self_Proc_Summ+Self_Proc_Rune+3*Self_DPS</v>
      </c>
      <c r="AH56" s="282" t="str">
        <f ca="1">IFERROR(__xludf.DUMMYFUNCTION("""COMPUTED_VALUE"""),"=0")</f>
        <v>=0</v>
      </c>
      <c r="AI56" s="282" t="b">
        <f ca="1">IFERROR(__xludf.DUMMYFUNCTION("""COMPUTED_VALUE"""),FALSE)</f>
        <v>0</v>
      </c>
      <c r="AJ56" s="283" t="b">
        <f ca="1">IFERROR(__xludf.DUMMYFUNCTION("""COMPUTED_VALUE"""),FALSE)</f>
        <v>0</v>
      </c>
    </row>
    <row r="57" spans="1:36">
      <c r="A57" s="267" t="str">
        <f ca="1">IFERROR(__xludf.DUMMYFUNCTION("""COMPUTED_VALUE"""),"Kassadin")</f>
        <v>Kassadin</v>
      </c>
      <c r="B57" s="287" t="str">
        <f ca="1">IFERROR(__xludf.DUMMYFUNCTION("""COMPUTED_VALUE"""),"=646")</f>
        <v>=646</v>
      </c>
      <c r="C57" s="287" t="str">
        <f ca="1">IFERROR(__xludf.DUMMYFUNCTION("""COMPUTED_VALUE"""),"=119")</f>
        <v>=119</v>
      </c>
      <c r="D57" s="288" t="str">
        <f ca="1">IFERROR(__xludf.DUMMYFUNCTION("""COMPUTED_VALUE"""),"=6")</f>
        <v>=6</v>
      </c>
      <c r="E57" s="289" t="str">
        <f ca="1">IFERROR(__xludf.DUMMYFUNCTION("""COMPUTED_VALUE"""),"=0,5")</f>
        <v>=0,5</v>
      </c>
      <c r="F57" s="288" t="str">
        <f ca="1">IFERROR(__xludf.DUMMYFUNCTION("""COMPUTED_VALUE"""),"=398")</f>
        <v>=398</v>
      </c>
      <c r="G57" s="288" t="str">
        <f ca="1">IFERROR(__xludf.DUMMYFUNCTION("""COMPUTED_VALUE"""),"=87")</f>
        <v>=87</v>
      </c>
      <c r="H57" s="288" t="str">
        <f ca="1">IFERROR(__xludf.DUMMYFUNCTION("""COMPUTED_VALUE"""),"=6")</f>
        <v>=6</v>
      </c>
      <c r="I57" s="289" t="str">
        <f ca="1">IFERROR(__xludf.DUMMYFUNCTION("""COMPUTED_VALUE"""),"=0,8")</f>
        <v>=0,8</v>
      </c>
      <c r="J57" s="290" t="str">
        <f ca="1">IFERROR(__xludf.DUMMYFUNCTION("""COMPUTED_VALUE"""),"=59")</f>
        <v>=59</v>
      </c>
      <c r="K57" s="288" t="str">
        <f ca="1">IFERROR(__xludf.DUMMYFUNCTION("""COMPUTED_VALUE"""),"=3,9")</f>
        <v>=3,9</v>
      </c>
      <c r="L57" s="291" t="str">
        <f ca="1">IFERROR(__xludf.DUMMYFUNCTION("""COMPUTED_VALUE"""),"=0,64")</f>
        <v>=0,64</v>
      </c>
      <c r="M57" s="291" t="str">
        <f ca="1">IFERROR(__xludf.DUMMYFUNCTION("""COMPUTED_VALUE"""),"=0,64")</f>
        <v>=0,64</v>
      </c>
      <c r="N57" s="292" t="str">
        <f ca="1">IFERROR(__xludf.DUMMYFUNCTION("""COMPUTED_VALUE"""),"=3,7%")</f>
        <v>=3,7%</v>
      </c>
      <c r="O57" s="287" t="str">
        <f ca="1">IFERROR(__xludf.DUMMYFUNCTION("""COMPUTED_VALUE"""),"=19")</f>
        <v>=19</v>
      </c>
      <c r="P57" s="287" t="str">
        <f ca="1">IFERROR(__xludf.DUMMYFUNCTION("""COMPUTED_VALUE"""),"=4")</f>
        <v>=4</v>
      </c>
      <c r="Q57" s="288" t="str">
        <f ca="1">IFERROR(__xludf.DUMMYFUNCTION("""COMPUTED_VALUE"""),"=30")</f>
        <v>=30</v>
      </c>
      <c r="R57" s="289" t="str">
        <f ca="1">IFERROR(__xludf.DUMMYFUNCTION("""COMPUTED_VALUE"""),"=1,3")</f>
        <v>=1,3</v>
      </c>
      <c r="S57" s="287" t="str">
        <f ca="1">IFERROR(__xludf.DUMMYFUNCTION("""COMPUTED_VALUE"""),"=335")</f>
        <v>=335</v>
      </c>
      <c r="T57" s="628" t="str">
        <f ca="1">IFERROR(__xludf.DUMMYFUNCTION("""COMPUTED_VALUE"""),"=150")</f>
        <v>=150</v>
      </c>
      <c r="U57" s="298" t="str">
        <f ca="1">IFERROR(__xludf.DUMMYFUNCTION("""COMPUTED_VALUE"""),"=(35+30*P_Q+0,7*Self_AP)*MOD_Magic")</f>
        <v>=(35+30*P_Q+0,7*Self_AP)*MOD_Magic</v>
      </c>
      <c r="V57" s="299" t="str">
        <f ca="1">IFERROR(__xludf.DUMMYFUNCTION("""COMPUTED_VALUE"""),"=(25 + 25 * P_W + 0,8 * Self_AP) * MOD_Magic")</f>
        <v>=(25 + 25 * P_W + 0,8 * Self_AP) * MOD_Magic</v>
      </c>
      <c r="W57" s="299" t="str">
        <f ca="1">IFERROR(__xludf.DUMMYFUNCTION("""COMPUTED_VALUE"""),"=(30 + 30 * P_E + 0,85 * Self_AP) * MOD_Magic")</f>
        <v>=(30 + 30 * P_E + 0,85 * Self_AP) * MOD_Magic</v>
      </c>
      <c r="X57" s="299" t="str">
        <f ca="1">IFERROR(__xludf.DUMMYFUNCTION("""COMPUTED_VALUE"""),"=(50 + 20 * P_R + 0,4 * Self_AP + 0,02 * Self_MP) * MOD_Magic")</f>
        <v>=(50 + 20 * P_R + 0,4 * Self_AP + 0,02 * Self_MP) * MOD_Magic</v>
      </c>
      <c r="Y57" s="300" t="str">
        <f ca="1">IFERROR(__xludf.DUMMYFUNCTION("""COMPUTED_VALUE"""),"=0")</f>
        <v>=0</v>
      </c>
      <c r="Z57" s="281" t="str">
        <f ca="1">IFERROR(__xludf.DUMMYFUNCTION("""COMPUTED_VALUE"""),"=10,5-0,5*P_Q")</f>
        <v>=10,5-0,5*P_Q</v>
      </c>
      <c r="AA57" s="282" t="str">
        <f ca="1">IFERROR(__xludf.DUMMYFUNCTION("""COMPUTED_VALUE"""),"=7")</f>
        <v>=7</v>
      </c>
      <c r="AB57" s="282" t="str">
        <f ca="1">IFERROR(__xludf.DUMMYFUNCTION("""COMPUTED_VALUE"""),"=22 - 1 * P_E")</f>
        <v>=22 - 1 * P_E</v>
      </c>
      <c r="AC57" s="282" t="str">
        <f ca="1">IFERROR(__xludf.DUMMYFUNCTION("""COMPUTED_VALUE"""),"=6,5-1,5*P_R")</f>
        <v>=6,5-1,5*P_R</v>
      </c>
      <c r="AD57" s="283" t="str">
        <f ca="1">IFERROR(__xludf.DUMMYFUNCTION("""COMPUTED_VALUE"""),"=1")</f>
        <v>=1</v>
      </c>
      <c r="AE57" s="281" t="b">
        <f ca="1">IFERROR(__xludf.DUMMYFUNCTION("""COMPUTED_VALUE"""),TRUE)</f>
        <v>1</v>
      </c>
      <c r="AF57" s="282" t="str">
        <f ca="1">IFERROR(__xludf.DUMMYFUNCTION("""COMPUTED_VALUE"""),"=Image(""https://ddragon.leagueoflegends.com/cdn/11.19.1/img/champion/Kassadin.png"")")</f>
        <v>=Image("https://ddragon.leagueoflegends.com/cdn/11.19.1/img/champion/Kassadin.png")</v>
      </c>
      <c r="AG57" s="282" t="str">
        <f ca="1">IFERROR(__xludf.DUMMYFUNCTION("""COMPUTED_VALUE"""),"=IF(OR(REGEXMATCH(FORMULATEXT(U57);""HMOD"");NOT(P_Q&gt;0));0;U57)+IF(OR(REGEXMATCH(FORMULATEXT(V57);""HMOD"");NOT(P_W&gt;0));0;V57)+IF(OR(REGEXMATCH(FORMULATEXT(W57);""HMOD"");NOT(P_E&gt;0));0;W57)+IF(OR(REGEXMATCH(FORMULATEXT(X57);""HMOD"");NOT(P_R&gt;0));0;X57)+IF"&amp;"(REGEXMATCH(FORMULATEXT(Y57);""HMOD"");0;Y57)+Self_Proc_Item+Self_Proc_Summ+Self_Proc_Rune+3*Self_DPS")</f>
        <v>=IF(OR(REGEXMATCH(FORMULATEXT(U57);"HMOD");NOT(P_Q&gt;0));0;U57)+IF(OR(REGEXMATCH(FORMULATEXT(V57);"HMOD");NOT(P_W&gt;0));0;V57)+IF(OR(REGEXMATCH(FORMULATEXT(W57);"HMOD");NOT(P_E&gt;0));0;W57)+IF(OR(REGEXMATCH(FORMULATEXT(X57);"HMOD");NOT(P_R&gt;0));0;X57)+IF(REGEXMATCH(FORMULATEXT(Y57);"HMOD");0;Y57)+Self_Proc_Item+Self_Proc_Summ+Self_Proc_Rune+3*Self_DPS</v>
      </c>
      <c r="AH57" s="282" t="str">
        <f ca="1">IFERROR(__xludf.DUMMYFUNCTION("""COMPUTED_VALUE"""),"=0")</f>
        <v>=0</v>
      </c>
      <c r="AI57" s="282" t="b">
        <f ca="1">IFERROR(__xludf.DUMMYFUNCTION("""COMPUTED_VALUE"""),FALSE)</f>
        <v>0</v>
      </c>
      <c r="AJ57" s="283" t="b">
        <f ca="1">IFERROR(__xludf.DUMMYFUNCTION("""COMPUTED_VALUE"""),FALSE)</f>
        <v>0</v>
      </c>
    </row>
    <row r="58" spans="1:36">
      <c r="A58" s="267" t="str">
        <f ca="1">IFERROR(__xludf.DUMMYFUNCTION("""COMPUTED_VALUE"""),"Katarina")</f>
        <v>Katarina</v>
      </c>
      <c r="B58" s="287" t="str">
        <f ca="1">IFERROR(__xludf.DUMMYFUNCTION("""COMPUTED_VALUE"""),"=672")</f>
        <v>=672</v>
      </c>
      <c r="C58" s="287" t="str">
        <f ca="1">IFERROR(__xludf.DUMMYFUNCTION("""COMPUTED_VALUE"""),"=108")</f>
        <v>=108</v>
      </c>
      <c r="D58" s="288" t="str">
        <f ca="1">IFERROR(__xludf.DUMMYFUNCTION("""COMPUTED_VALUE"""),"=7,5")</f>
        <v>=7,5</v>
      </c>
      <c r="E58" s="289" t="str">
        <f ca="1">IFERROR(__xludf.DUMMYFUNCTION("""COMPUTED_VALUE"""),"=0,7")</f>
        <v>=0,7</v>
      </c>
      <c r="F58" s="288" t="str">
        <f ca="1">IFERROR(__xludf.DUMMYFUNCTION("""COMPUTED_VALUE"""),"=0")</f>
        <v>=0</v>
      </c>
      <c r="G58" s="288" t="str">
        <f ca="1">IFERROR(__xludf.DUMMYFUNCTION("""COMPUTED_VALUE"""),"=0")</f>
        <v>=0</v>
      </c>
      <c r="H58" s="288" t="str">
        <f ca="1">IFERROR(__xludf.DUMMYFUNCTION("""COMPUTED_VALUE"""),"=0")</f>
        <v>=0</v>
      </c>
      <c r="I58" s="289" t="str">
        <f ca="1">IFERROR(__xludf.DUMMYFUNCTION("""COMPUTED_VALUE"""),"=0")</f>
        <v>=0</v>
      </c>
      <c r="J58" s="290" t="str">
        <f ca="1">IFERROR(__xludf.DUMMYFUNCTION("""COMPUTED_VALUE"""),"=58")</f>
        <v>=58</v>
      </c>
      <c r="K58" s="288" t="str">
        <f ca="1">IFERROR(__xludf.DUMMYFUNCTION("""COMPUTED_VALUE"""),"=3,2")</f>
        <v>=3,2</v>
      </c>
      <c r="L58" s="291" t="str">
        <f ca="1">IFERROR(__xludf.DUMMYFUNCTION("""COMPUTED_VALUE"""),"=0,658")</f>
        <v>=0,658</v>
      </c>
      <c r="M58" s="291" t="str">
        <f ca="1">IFERROR(__xludf.DUMMYFUNCTION("""COMPUTED_VALUE"""),"=0,658")</f>
        <v>=0,658</v>
      </c>
      <c r="N58" s="292" t="str">
        <f ca="1">IFERROR(__xludf.DUMMYFUNCTION("""COMPUTED_VALUE"""),"=2,74%")</f>
        <v>=2,74%</v>
      </c>
      <c r="O58" s="287" t="str">
        <f ca="1">IFERROR(__xludf.DUMMYFUNCTION("""COMPUTED_VALUE"""),"=28")</f>
        <v>=28</v>
      </c>
      <c r="P58" s="287" t="str">
        <f ca="1">IFERROR(__xludf.DUMMYFUNCTION("""COMPUTED_VALUE"""),"=4,7")</f>
        <v>=4,7</v>
      </c>
      <c r="Q58" s="288" t="str">
        <f ca="1">IFERROR(__xludf.DUMMYFUNCTION("""COMPUTED_VALUE"""),"=32")</f>
        <v>=32</v>
      </c>
      <c r="R58" s="289" t="str">
        <f ca="1">IFERROR(__xludf.DUMMYFUNCTION("""COMPUTED_VALUE"""),"=2,05")</f>
        <v>=2,05</v>
      </c>
      <c r="S58" s="287" t="str">
        <f ca="1">IFERROR(__xludf.DUMMYFUNCTION("""COMPUTED_VALUE"""),"=335")</f>
        <v>=335</v>
      </c>
      <c r="T58" s="628" t="str">
        <f ca="1">IFERROR(__xludf.DUMMYFUNCTION("""COMPUTED_VALUE"""),"=125")</f>
        <v>=125</v>
      </c>
      <c r="U58" s="295" t="str">
        <f ca="1">IFERROR(__xludf.DUMMYFUNCTION("""COMPUTED_VALUE"""),"=(50 + 30 * P_Q + 0,35 * Self_AP) * MOD_Magic")</f>
        <v>=(50 + 30 * P_Q + 0,35 * Self_AP) * MOD_Magic</v>
      </c>
      <c r="V58" s="296" t="str">
        <f ca="1">IFERROR(__xludf.DUMMYFUNCTION("""COMPUTED_VALUE"""),"=0")</f>
        <v>=0</v>
      </c>
      <c r="W58" s="296" t="str">
        <f ca="1">IFERROR(__xludf.DUMMYFUNCTION("""COMPUTED_VALUE"""),"=(5 + 15 * P_E + 0,25 * Self_AP + 0,4 * Self_AD) * MOD_Magic + OH_Magic + OH_Phys")</f>
        <v>=(5 + 15 * P_E + 0,25 * Self_AP + 0,4 * Self_AD) * MOD_Magic + OH_Magic + OH_Phys</v>
      </c>
      <c r="X58" s="296" t="str">
        <f ca="1">IFERROR(__xludf.DUMMYFUNCTION("""COMPUTED_VALUE"""),"=((12,5 + 12,5 * P_R + 0,19 * Self_AP) * MOD_Magic + ((0,16 + 0,5 * Self_BoAS) * Self_BoAD) * MOD_Phys + (OH_Magic + OH_Phys) * (P_R * 0,05 + 0,25)) * 15 + 5 * 0,25 * Calc!O34")</f>
        <v>=((12,5 + 12,5 * P_R + 0,19 * Self_AP) * MOD_Magic + ((0,16 + 0,5 * Self_BoAS) * Self_BoAD) * MOD_Phys + (OH_Magic + OH_Phys) * (P_R * 0,05 + 0,25)) * 15 + 5 * 0,25 * Calc!O34</v>
      </c>
      <c r="Y58" s="297" t="str">
        <f ca="1">IFERROR(__xludf.DUMMYFUNCTION("""COMPUTED_VALUE"""),"=(0,65 * Self_BoAD + (ROUNDDOWN((Self_Level - 1) / 5) * 0,1 + 0,7) * Self_AP + 63 + 5 * Self_Level + 2 * MAX(Self_Level - 4; 0) + 2 * MAX(Self_Level - 7; 0) + MAX(Self_Level - 10; 0) + MAX(Self_Level - 11; 0) + 2 * MAX(Self_Level - 13; 0) + 2 * MAX(Self_L"&amp;"evel - 16;0)) * MOD_Magic + OH_Magic + OH_Phys")</f>
        <v>=(0,65 * Self_BoAD + (ROUNDDOWN((Self_Level - 1) / 5) * 0,1 + 0,7) * Self_AP + 63 + 5 * Self_Level + 2 * MAX(Self_Level - 4; 0) + 2 * MAX(Self_Level - 7; 0) + MAX(Self_Level - 10; 0) + MAX(Self_Level - 11; 0) + 2 * MAX(Self_Level - 13; 0) + 2 * MAX(Self_Level - 16;0)) * MOD_Magic + OH_Magic + OH_Phys</v>
      </c>
      <c r="Z58" s="281" t="str">
        <f ca="1">IFERROR(__xludf.DUMMYFUNCTION("""COMPUTED_VALUE"""),"=12-P_Q")</f>
        <v>=12-P_Q</v>
      </c>
      <c r="AA58" s="282" t="str">
        <f ca="1">IFERROR(__xludf.DUMMYFUNCTION("""COMPUTED_VALUE"""),"=16-P_W")</f>
        <v>=16-P_W</v>
      </c>
      <c r="AB58" s="282" t="str">
        <f ca="1">IFERROR(__xludf.DUMMYFUNCTION("""COMPUTED_VALUE"""),"=15,5-1,5*P_E")</f>
        <v>=15,5-1,5*P_E</v>
      </c>
      <c r="AC58" s="282" t="str">
        <f ca="1">IFERROR(__xludf.DUMMYFUNCTION("""COMPUTED_VALUE"""),"=if(P_R=3;45;if(P_R&gt;0;120-P_R*30;1))")</f>
        <v>=if(P_R=3;45;if(P_R&gt;0;120-P_R*30;1))</v>
      </c>
      <c r="AD58" s="283" t="str">
        <f ca="1">IFERROR(__xludf.DUMMYFUNCTION("""COMPUTED_VALUE"""),"=1")</f>
        <v>=1</v>
      </c>
      <c r="AE58" s="281" t="b">
        <f ca="1">IFERROR(__xludf.DUMMYFUNCTION("""COMPUTED_VALUE"""),TRUE)</f>
        <v>1</v>
      </c>
      <c r="AF58" s="282" t="str">
        <f ca="1">IFERROR(__xludf.DUMMYFUNCTION("""COMPUTED_VALUE"""),"=Image(""https://ddragon.leagueoflegends.com/cdn/11.19.1/img/champion/Katarina.png"")")</f>
        <v>=Image("https://ddragon.leagueoflegends.com/cdn/11.19.1/img/champion/Katarina.png")</v>
      </c>
      <c r="AG58" s="282" t="str">
        <f ca="1">IFERROR(__xludf.DUMMYFUNCTION("""COMPUTED_VALUE"""),"=IF(OR(REGEXMATCH(FORMULATEXT(U58);""HMOD"");NOT(P_Q&gt;0));0;U58)+IF(OR(REGEXMATCH(FORMULATEXT(V58);""HMOD"");NOT(P_W&gt;0));0;V58)+IF(OR(REGEXMATCH(FORMULATEXT(W58);""HMOD"");NOT(P_E&gt;0));0;W58)+IF(OR(REGEXMATCH(FORMULATEXT(X58);""HMOD"");NOT(P_R&gt;0));0;X58)+IF"&amp;"(REGEXMATCH(FORMULATEXT(Y58);""HMOD"");0;Y58)+Self_Proc_Item+Self_Proc_Summ+Self_Proc_Rune+3*Self_DPS")</f>
        <v>=IF(OR(REGEXMATCH(FORMULATEXT(U58);"HMOD");NOT(P_Q&gt;0));0;U58)+IF(OR(REGEXMATCH(FORMULATEXT(V58);"HMOD");NOT(P_W&gt;0));0;V58)+IF(OR(REGEXMATCH(FORMULATEXT(W58);"HMOD");NOT(P_E&gt;0));0;W58)+IF(OR(REGEXMATCH(FORMULATEXT(X58);"HMOD");NOT(P_R&gt;0));0;X58)+IF(REGEXMATCH(FORMULATEXT(Y58);"HMOD");0;Y58)+Self_Proc_Item+Self_Proc_Summ+Self_Proc_Rune+3*Self_DPS</v>
      </c>
      <c r="AH58" s="282" t="str">
        <f ca="1">IFERROR(__xludf.DUMMYFUNCTION("""COMPUTED_VALUE"""),"=0")</f>
        <v>=0</v>
      </c>
      <c r="AI58" s="282" t="b">
        <f ca="1">IFERROR(__xludf.DUMMYFUNCTION("""COMPUTED_VALUE"""),FALSE)</f>
        <v>0</v>
      </c>
      <c r="AJ58" s="283" t="b">
        <f ca="1">IFERROR(__xludf.DUMMYFUNCTION("""COMPUTED_VALUE"""),TRUE)</f>
        <v>1</v>
      </c>
    </row>
    <row r="59" spans="1:36">
      <c r="A59" s="267" t="str">
        <f ca="1">IFERROR(__xludf.DUMMYFUNCTION("""COMPUTED_VALUE"""),"Kayle")</f>
        <v>Kayle</v>
      </c>
      <c r="B59" s="287" t="str">
        <f ca="1">IFERROR(__xludf.DUMMYFUNCTION("""COMPUTED_VALUE"""),"=670")</f>
        <v>=670</v>
      </c>
      <c r="C59" s="287" t="str">
        <f ca="1">IFERROR(__xludf.DUMMYFUNCTION("""COMPUTED_VALUE"""),"=92")</f>
        <v>=92</v>
      </c>
      <c r="D59" s="288" t="str">
        <f ca="1">IFERROR(__xludf.DUMMYFUNCTION("""COMPUTED_VALUE"""),"=5")</f>
        <v>=5</v>
      </c>
      <c r="E59" s="289" t="str">
        <f ca="1">IFERROR(__xludf.DUMMYFUNCTION("""COMPUTED_VALUE"""),"=0,5")</f>
        <v>=0,5</v>
      </c>
      <c r="F59" s="288" t="str">
        <f ca="1">IFERROR(__xludf.DUMMYFUNCTION("""COMPUTED_VALUE"""),"=330")</f>
        <v>=330</v>
      </c>
      <c r="G59" s="288" t="str">
        <f ca="1">IFERROR(__xludf.DUMMYFUNCTION("""COMPUTED_VALUE"""),"=50")</f>
        <v>=50</v>
      </c>
      <c r="H59" s="288" t="str">
        <f ca="1">IFERROR(__xludf.DUMMYFUNCTION("""COMPUTED_VALUE"""),"=8")</f>
        <v>=8</v>
      </c>
      <c r="I59" s="289" t="str">
        <f ca="1">IFERROR(__xludf.DUMMYFUNCTION("""COMPUTED_VALUE"""),"=0,8")</f>
        <v>=0,8</v>
      </c>
      <c r="J59" s="290" t="str">
        <f ca="1">IFERROR(__xludf.DUMMYFUNCTION("""COMPUTED_VALUE"""),"=50")</f>
        <v>=50</v>
      </c>
      <c r="K59" s="288" t="str">
        <f ca="1">IFERROR(__xludf.DUMMYFUNCTION("""COMPUTED_VALUE"""),"=2,5")</f>
        <v>=2,5</v>
      </c>
      <c r="L59" s="291" t="str">
        <f ca="1">IFERROR(__xludf.DUMMYFUNCTION("""COMPUTED_VALUE"""),"=0,625")</f>
        <v>=0,625</v>
      </c>
      <c r="M59" s="291" t="str">
        <f ca="1">IFERROR(__xludf.DUMMYFUNCTION("""COMPUTED_VALUE"""),"=0,667")</f>
        <v>=0,667</v>
      </c>
      <c r="N59" s="292" t="str">
        <f ca="1">IFERROR(__xludf.DUMMYFUNCTION("""COMPUTED_VALUE"""),"=1,5%")</f>
        <v>=1,5%</v>
      </c>
      <c r="O59" s="287" t="str">
        <f ca="1">IFERROR(__xludf.DUMMYFUNCTION("""COMPUTED_VALUE"""),"=26")</f>
        <v>=26</v>
      </c>
      <c r="P59" s="287" t="str">
        <f ca="1">IFERROR(__xludf.DUMMYFUNCTION("""COMPUTED_VALUE"""),"=4,2")</f>
        <v>=4,2</v>
      </c>
      <c r="Q59" s="288" t="str">
        <f ca="1">IFERROR(__xludf.DUMMYFUNCTION("""COMPUTED_VALUE"""),"=22")</f>
        <v>=22</v>
      </c>
      <c r="R59" s="289" t="str">
        <f ca="1">IFERROR(__xludf.DUMMYFUNCTION("""COMPUTED_VALUE"""),"=1,3")</f>
        <v>=1,3</v>
      </c>
      <c r="S59" s="287" t="str">
        <f ca="1">IFERROR(__xludf.DUMMYFUNCTION("""COMPUTED_VALUE"""),"=335")</f>
        <v>=335</v>
      </c>
      <c r="T59" s="628" t="str">
        <f ca="1">IFERROR(__xludf.DUMMYFUNCTION("""COMPUTED_VALUE"""),"=if(Self_Level&gt;15;625;if(Self_Level&gt;5;525;175))")</f>
        <v>=if(Self_Level&gt;15;625;if(Self_Level&gt;5;525;175))</v>
      </c>
      <c r="U59" s="298" t="str">
        <f ca="1">IFERROR(__xludf.DUMMYFUNCTION("""COMPUTED_VALUE"""),"=(20+40*P_Q+0,6*Self_BoAD+0,5*Self_AP)*MOD_Magic")</f>
        <v>=(20+40*P_Q+0,6*Self_BoAD+0,5*Self_AP)*MOD_Magic</v>
      </c>
      <c r="V59" s="299" t="str">
        <f ca="1">IFERROR(__xludf.DUMMYFUNCTION("""COMPUTED_VALUE"""),"=(30 + 25 * P_W + 0,25 * Self_AP) * MOD_Heal")</f>
        <v>=(30 + 25 * P_W + 0,25 * Self_AP) * MOD_Heal</v>
      </c>
      <c r="W59" s="299" t="str">
        <f ca="1">IFERROR(__xludf.DUMMYFUNCTION("""COMPUTED_VALUE"""),"=((0,06 + 0,01 * P_E + 0,00015 * Self_AP) * E_MisHPV) * MOD_Magic")</f>
        <v>=((0,06 + 0,01 * P_E + 0,00015 * Self_AP) * E_MisHPV) * MOD_Magic</v>
      </c>
      <c r="X59" s="299" t="str">
        <f ca="1">IFERROR(__xludf.DUMMYFUNCTION("""COMPUTED_VALUE"""),"=(100 + 100 * P_R + Self_BoAD + 0,7 * Self_AP) * MOD_Magic")</f>
        <v>=(100 + 100 * P_R + Self_BoAD + 0,7 * Self_AP) * MOD_Magic</v>
      </c>
      <c r="Y59" s="300" t="str">
        <f ca="1">IFERROR(__xludf.DUMMYFUNCTION("""COMPUTED_VALUE"""),"=0")</f>
        <v>=0</v>
      </c>
      <c r="Z59" s="281" t="str">
        <f ca="1">IFERROR(__xludf.DUMMYFUNCTION("""COMPUTED_VALUE"""),"=13-P_Q")</f>
        <v>=13-P_Q</v>
      </c>
      <c r="AA59" s="282" t="str">
        <f ca="1">IFERROR(__xludf.DUMMYFUNCTION("""COMPUTED_VALUE"""),"=15")</f>
        <v>=15</v>
      </c>
      <c r="AB59" s="282" t="str">
        <f ca="1">IFERROR(__xludf.DUMMYFUNCTION("""COMPUTED_VALUE"""),"=8")</f>
        <v>=8</v>
      </c>
      <c r="AC59" s="282" t="str">
        <f ca="1">IFERROR(__xludf.DUMMYFUNCTION("""COMPUTED_VALUE"""),"=200-40*P_R")</f>
        <v>=200-40*P_R</v>
      </c>
      <c r="AD59" s="283" t="str">
        <f ca="1">IFERROR(__xludf.DUMMYFUNCTION("""COMPUTED_VALUE"""),"=1")</f>
        <v>=1</v>
      </c>
      <c r="AE59" s="281" t="b">
        <f ca="1">IFERROR(__xludf.DUMMYFUNCTION("""COMPUTED_VALUE"""),FALSE)</f>
        <v>0</v>
      </c>
      <c r="AF59" s="282" t="str">
        <f ca="1">IFERROR(__xludf.DUMMYFUNCTION("""COMPUTED_VALUE"""),"=Image(""https://ddragon.leagueoflegends.com/cdn/11.19.1/img/champion/Kayle.png"")")</f>
        <v>=Image("https://ddragon.leagueoflegends.com/cdn/11.19.1/img/champion/Kayle.png")</v>
      </c>
      <c r="AG59" s="282" t="str">
        <f ca="1">IFERROR(__xludf.DUMMYFUNCTION("""COMPUTED_VALUE"""),"=IF(OR(REGEXMATCH(FORMULATEXT(U59);""HMOD"");NOT(P_Q&gt;0));0;U59)+IF(OR(REGEXMATCH(FORMULATEXT(V59);""HMOD"");NOT(P_W&gt;0));0;V59)+IF(OR(REGEXMATCH(FORMULATEXT(W59);""HMOD"");NOT(P_E&gt;0));0;W59)+IF(OR(REGEXMATCH(FORMULATEXT(X59);""HMOD"");NOT(P_R&gt;0));0;X59)+IF"&amp;"(REGEXMATCH(FORMULATEXT(Y59);""HMOD"");0;Y59)+Self_Proc_Item+Self_Proc_Summ+Self_Proc_Rune+3*Self_DPS")</f>
        <v>=IF(OR(REGEXMATCH(FORMULATEXT(U59);"HMOD");NOT(P_Q&gt;0));0;U59)+IF(OR(REGEXMATCH(FORMULATEXT(V59);"HMOD");NOT(P_W&gt;0));0;V59)+IF(OR(REGEXMATCH(FORMULATEXT(W59);"HMOD");NOT(P_E&gt;0));0;W59)+IF(OR(REGEXMATCH(FORMULATEXT(X59);"HMOD");NOT(P_R&gt;0));0;X59)+IF(REGEXMATCH(FORMULATEXT(Y59);"HMOD");0;Y59)+Self_Proc_Item+Self_Proc_Summ+Self_Proc_Rune+3*Self_DPS</v>
      </c>
      <c r="AH59" s="282" t="str">
        <f ca="1">IFERROR(__xludf.DUMMYFUNCTION("""COMPUTED_VALUE"""),"=0")</f>
        <v>=0</v>
      </c>
      <c r="AI59" s="282" t="b">
        <f ca="1">IFERROR(__xludf.DUMMYFUNCTION("""COMPUTED_VALUE"""),FALSE)</f>
        <v>0</v>
      </c>
      <c r="AJ59" s="283" t="b">
        <f ca="1">IFERROR(__xludf.DUMMYFUNCTION("""COMPUTED_VALUE"""),FALSE)</f>
        <v>0</v>
      </c>
    </row>
    <row r="60" spans="1:36">
      <c r="A60" s="267" t="str">
        <f ca="1">IFERROR(__xludf.DUMMYFUNCTION("""COMPUTED_VALUE"""),"Kayn")</f>
        <v>Kayn</v>
      </c>
      <c r="B60" s="287" t="str">
        <f ca="1">IFERROR(__xludf.DUMMYFUNCTION("""COMPUTED_VALUE"""),"=655")</f>
        <v>=655</v>
      </c>
      <c r="C60" s="287" t="str">
        <f ca="1">IFERROR(__xludf.DUMMYFUNCTION("""COMPUTED_VALUE"""),"=109")</f>
        <v>=109</v>
      </c>
      <c r="D60" s="288" t="str">
        <f ca="1">IFERROR(__xludf.DUMMYFUNCTION("""COMPUTED_VALUE"""),"=8")</f>
        <v>=8</v>
      </c>
      <c r="E60" s="289" t="str">
        <f ca="1">IFERROR(__xludf.DUMMYFUNCTION("""COMPUTED_VALUE"""),"=0,75")</f>
        <v>=0,75</v>
      </c>
      <c r="F60" s="288" t="str">
        <f ca="1">IFERROR(__xludf.DUMMYFUNCTION("""COMPUTED_VALUE"""),"=410")</f>
        <v>=410</v>
      </c>
      <c r="G60" s="288" t="str">
        <f ca="1">IFERROR(__xludf.DUMMYFUNCTION("""COMPUTED_VALUE"""),"=50")</f>
        <v>=50</v>
      </c>
      <c r="H60" s="288" t="str">
        <f ca="1">IFERROR(__xludf.DUMMYFUNCTION("""COMPUTED_VALUE"""),"=11,5")</f>
        <v>=11,5</v>
      </c>
      <c r="I60" s="289" t="str">
        <f ca="1">IFERROR(__xludf.DUMMYFUNCTION("""COMPUTED_VALUE"""),"=0,95")</f>
        <v>=0,95</v>
      </c>
      <c r="J60" s="290" t="str">
        <f ca="1">IFERROR(__xludf.DUMMYFUNCTION("""COMPUTED_VALUE"""),"=68")</f>
        <v>=68</v>
      </c>
      <c r="K60" s="288" t="str">
        <f ca="1">IFERROR(__xludf.DUMMYFUNCTION("""COMPUTED_VALUE"""),"=2,8")</f>
        <v>=2,8</v>
      </c>
      <c r="L60" s="291" t="str">
        <f ca="1">IFERROR(__xludf.DUMMYFUNCTION("""COMPUTED_VALUE"""),"=0,669")</f>
        <v>=0,669</v>
      </c>
      <c r="M60" s="291" t="str">
        <f ca="1">IFERROR(__xludf.DUMMYFUNCTION("""COMPUTED_VALUE"""),"=0,669")</f>
        <v>=0,669</v>
      </c>
      <c r="N60" s="292" t="str">
        <f ca="1">IFERROR(__xludf.DUMMYFUNCTION("""COMPUTED_VALUE"""),"=2,7%")</f>
        <v>=2,7%</v>
      </c>
      <c r="O60" s="287" t="str">
        <f ca="1">IFERROR(__xludf.DUMMYFUNCTION("""COMPUTED_VALUE"""),"=38")</f>
        <v>=38</v>
      </c>
      <c r="P60" s="287" t="str">
        <f ca="1">IFERROR(__xludf.DUMMYFUNCTION("""COMPUTED_VALUE"""),"=4,5")</f>
        <v>=4,5</v>
      </c>
      <c r="Q60" s="288" t="str">
        <f ca="1">IFERROR(__xludf.DUMMYFUNCTION("""COMPUTED_VALUE"""),"=32")</f>
        <v>=32</v>
      </c>
      <c r="R60" s="289" t="str">
        <f ca="1">IFERROR(__xludf.DUMMYFUNCTION("""COMPUTED_VALUE"""),"=2,05")</f>
        <v>=2,05</v>
      </c>
      <c r="S60" s="287" t="str">
        <f ca="1">IFERROR(__xludf.DUMMYFUNCTION("""COMPUTED_VALUE"""),"=340")</f>
        <v>=340</v>
      </c>
      <c r="T60" s="628" t="str">
        <f ca="1">IFERROR(__xludf.DUMMYFUNCTION("""COMPUTED_VALUE"""),"=175")</f>
        <v>=175</v>
      </c>
      <c r="U60" s="295" t="str">
        <f ca="1">IFERROR(__xludf.DUMMYFUNCTION("""COMPUTED_VALUE"""),"=IF(Steroid_Form; (1,6 * Self_BoAD + 40 * P_Q + 110) * MOD_Phys; (1,3 * Self_AD + (0,1 + 0,0007 * Self_BoAD) * E_MHP) * MOD_Phys)")</f>
        <v>=IF(Steroid_Form; (1,6 * Self_BoAD + 40 * P_Q + 110) * MOD_Phys; (1,3 * Self_AD + (0,1 + 0,0007 * Self_BoAD) * E_MHP) * MOD_Phys)</v>
      </c>
      <c r="V60" s="296" t="str">
        <f ca="1">IFERROR(__xludf.DUMMYFUNCTION("""COMPUTED_VALUE"""),"=(45+45*P_W+1,3*Self_BoAD)*MOD_Phys")</f>
        <v>=(45+45*P_W+1,3*Self_BoAD)*MOD_Phys</v>
      </c>
      <c r="W60" s="296" t="str">
        <f ca="1">IFERROR(__xludf.DUMMYFUNCTION("""COMPUTED_VALUE"""),"=(10 * P_E + 80 + 0,45 * Self_BoAD) * MOD_Heal")</f>
        <v>=(10 * P_E + 80 + 0,45 * Self_BoAD) * MOD_Heal</v>
      </c>
      <c r="X60" s="296" t="str">
        <f ca="1">IFERROR(__xludf.DUMMYFUNCTION("""COMPUTED_VALUE"""),"=IF(Steroid_Form; (1,75 * Self_BoAD + 100 * P_R + 50) * MOD_Phys; ((0,15 + 0,0013 * Self_BoAD) * E_MHP) * MOD_Phys)")</f>
        <v>=IF(Steroid_Form; (1,75 * Self_BoAD + 100 * P_R + 50) * MOD_Phys; ((0,15 + 0,0013 * Self_BoAD) * E_MHP) * MOD_Phys)</v>
      </c>
      <c r="Y60" s="297" t="str">
        <f ca="1">IFERROR(__xludf.DUMMYFUNCTION("""COMPUTED_VALUE"""),"=IF(Steroid_Form; (0,15 + 0,3 * Sc_Lin) * (U60 + V60 + X60); 0)")</f>
        <v>=IF(Steroid_Form; (0,15 + 0,3 * Sc_Lin) * (U60 + V60 + X60); 0)</v>
      </c>
      <c r="Z60" s="281" t="str">
        <f ca="1">IFERROR(__xludf.DUMMYFUNCTION("""COMPUTED_VALUE"""),"=7,5-0,5*P_Q")</f>
        <v>=7,5-0,5*P_Q</v>
      </c>
      <c r="AA60" s="282" t="str">
        <f ca="1">IFERROR(__xludf.DUMMYFUNCTION("""COMPUTED_VALUE"""),"=14-P_W")</f>
        <v>=14-P_W</v>
      </c>
      <c r="AB60" s="282" t="str">
        <f ca="1">IFERROR(__xludf.DUMMYFUNCTION("""COMPUTED_VALUE"""),"=if(Steroid_Form;10;23-2*P_E)")</f>
        <v>=if(Steroid_Form;10;23-2*P_E)</v>
      </c>
      <c r="AC60" s="282" t="str">
        <f ca="1">IFERROR(__xludf.DUMMYFUNCTION("""COMPUTED_VALUE"""),"=140 - 20 * P_R")</f>
        <v>=140 - 20 * P_R</v>
      </c>
      <c r="AD60" s="283" t="str">
        <f ca="1">IFERROR(__xludf.DUMMYFUNCTION("""COMPUTED_VALUE"""),"=1")</f>
        <v>=1</v>
      </c>
      <c r="AE60" s="281" t="b">
        <f ca="1">IFERROR(__xludf.DUMMYFUNCTION("""COMPUTED_VALUE"""),TRUE)</f>
        <v>1</v>
      </c>
      <c r="AF60" s="282" t="str">
        <f ca="1">IFERROR(__xludf.DUMMYFUNCTION("""COMPUTED_VALUE"""),"=Image(""https://ddragon.leagueoflegends.com/cdn/11.19.1/img/champion/Kayn.png"")")</f>
        <v>=Image("https://ddragon.leagueoflegends.com/cdn/11.19.1/img/champion/Kayn.png")</v>
      </c>
      <c r="AG60" s="282" t="str">
        <f ca="1">IFERROR(__xludf.DUMMYFUNCTION("""COMPUTED_VALUE"""),"=IF(OR(REGEXMATCH(FORMULATEXT(U60);""HMOD"");NOT(P_Q&gt;0));0;U60)+IF(OR(REGEXMATCH(FORMULATEXT(V60);""HMOD"");NOT(P_W&gt;0));0;V60)+IF(OR(REGEXMATCH(FORMULATEXT(W60);""HMOD"");NOT(P_E&gt;0));0;W60)+IF(OR(REGEXMATCH(FORMULATEXT(X60);""HMOD"");NOT(P_R&gt;0));0;X60)+IF"&amp;"(REGEXMATCH(FORMULATEXT(Y60);""HMOD"");0;Y60)+Self_Proc_Item+Self_Proc_Summ+Self_Proc_Rune+3*Self_DPS")</f>
        <v>=IF(OR(REGEXMATCH(FORMULATEXT(U60);"HMOD");NOT(P_Q&gt;0));0;U60)+IF(OR(REGEXMATCH(FORMULATEXT(V60);"HMOD");NOT(P_W&gt;0));0;V60)+IF(OR(REGEXMATCH(FORMULATEXT(W60);"HMOD");NOT(P_E&gt;0));0;W60)+IF(OR(REGEXMATCH(FORMULATEXT(X60);"HMOD");NOT(P_R&gt;0));0;X60)+IF(REGEXMATCH(FORMULATEXT(Y60);"HMOD");0;Y60)+Self_Proc_Item+Self_Proc_Summ+Self_Proc_Rune+3*Self_DPS</v>
      </c>
      <c r="AH60" s="282" t="str">
        <f ca="1">IFERROR(__xludf.DUMMYFUNCTION("""COMPUTED_VALUE"""),"=0")</f>
        <v>=0</v>
      </c>
      <c r="AI60" s="282" t="b">
        <f ca="1">IFERROR(__xludf.DUMMYFUNCTION("""COMPUTED_VALUE"""),FALSE)</f>
        <v>0</v>
      </c>
      <c r="AJ60" s="283" t="b">
        <f ca="1">IFERROR(__xludf.DUMMYFUNCTION("""COMPUTED_VALUE"""),FALSE)</f>
        <v>0</v>
      </c>
    </row>
    <row r="61" spans="1:36">
      <c r="A61" s="267" t="str">
        <f ca="1">IFERROR(__xludf.DUMMYFUNCTION("""COMPUTED_VALUE"""),"Kennen")</f>
        <v>Kennen</v>
      </c>
      <c r="B61" s="287" t="str">
        <f ca="1">IFERROR(__xludf.DUMMYFUNCTION("""COMPUTED_VALUE"""),"=611")</f>
        <v>=611</v>
      </c>
      <c r="C61" s="287" t="str">
        <f ca="1">IFERROR(__xludf.DUMMYFUNCTION("""COMPUTED_VALUE"""),"=98")</f>
        <v>=98</v>
      </c>
      <c r="D61" s="288" t="str">
        <f ca="1">IFERROR(__xludf.DUMMYFUNCTION("""COMPUTED_VALUE"""),"=5,5")</f>
        <v>=5,5</v>
      </c>
      <c r="E61" s="289" t="str">
        <f ca="1">IFERROR(__xludf.DUMMYFUNCTION("""COMPUTED_VALUE"""),"=0,65")</f>
        <v>=0,65</v>
      </c>
      <c r="F61" s="288" t="str">
        <f ca="1">IFERROR(__xludf.DUMMYFUNCTION("""COMPUTED_VALUE"""),"=200")</f>
        <v>=200</v>
      </c>
      <c r="G61" s="288" t="str">
        <f ca="1">IFERROR(__xludf.DUMMYFUNCTION("""COMPUTED_VALUE"""),"=0")</f>
        <v>=0</v>
      </c>
      <c r="H61" s="288" t="str">
        <f ca="1">IFERROR(__xludf.DUMMYFUNCTION("""COMPUTED_VALUE"""),"=50")</f>
        <v>=50</v>
      </c>
      <c r="I61" s="289" t="str">
        <f ca="1">IFERROR(__xludf.DUMMYFUNCTION("""COMPUTED_VALUE"""),"=0")</f>
        <v>=0</v>
      </c>
      <c r="J61" s="290" t="str">
        <f ca="1">IFERROR(__xludf.DUMMYFUNCTION("""COMPUTED_VALUE"""),"=48")</f>
        <v>=48</v>
      </c>
      <c r="K61" s="288" t="str">
        <f ca="1">IFERROR(__xludf.DUMMYFUNCTION("""COMPUTED_VALUE"""),"=3,75")</f>
        <v>=3,75</v>
      </c>
      <c r="L61" s="291" t="str">
        <f ca="1">IFERROR(__xludf.DUMMYFUNCTION("""COMPUTED_VALUE"""),"=0,625")</f>
        <v>=0,625</v>
      </c>
      <c r="M61" s="291" t="str">
        <f ca="1">IFERROR(__xludf.DUMMYFUNCTION("""COMPUTED_VALUE"""),"=0,69")</f>
        <v>=0,69</v>
      </c>
      <c r="N61" s="292" t="str">
        <f ca="1">IFERROR(__xludf.DUMMYFUNCTION("""COMPUTED_VALUE"""),"=3,4%")</f>
        <v>=3,4%</v>
      </c>
      <c r="O61" s="287" t="str">
        <f ca="1">IFERROR(__xludf.DUMMYFUNCTION("""COMPUTED_VALUE"""),"=29")</f>
        <v>=29</v>
      </c>
      <c r="P61" s="287" t="str">
        <f ca="1">IFERROR(__xludf.DUMMYFUNCTION("""COMPUTED_VALUE"""),"=4,95")</f>
        <v>=4,95</v>
      </c>
      <c r="Q61" s="288" t="str">
        <f ca="1">IFERROR(__xludf.DUMMYFUNCTION("""COMPUTED_VALUE"""),"=30")</f>
        <v>=30</v>
      </c>
      <c r="R61" s="289" t="str">
        <f ca="1">IFERROR(__xludf.DUMMYFUNCTION("""COMPUTED_VALUE"""),"=1,3")</f>
        <v>=1,3</v>
      </c>
      <c r="S61" s="287" t="str">
        <f ca="1">IFERROR(__xludf.DUMMYFUNCTION("""COMPUTED_VALUE"""),"=335")</f>
        <v>=335</v>
      </c>
      <c r="T61" s="628" t="str">
        <f ca="1">IFERROR(__xludf.DUMMYFUNCTION("""COMPUTED_VALUE"""),"=550")</f>
        <v>=550</v>
      </c>
      <c r="U61" s="298" t="str">
        <f ca="1">IFERROR(__xludf.DUMMYFUNCTION("""COMPUTED_VALUE"""),"=(25 + 50 * P_Q + 0,85 * Self_AP) * MOD_Magic")</f>
        <v>=(25 + 50 * P_Q + 0,85 * Self_AP) * MOD_Magic</v>
      </c>
      <c r="V61" s="299" t="str">
        <f ca="1">IFERROR(__xludf.DUMMYFUNCTION("""COMPUTED_VALUE"""),"=(45+25*P_W+0,8*Self_AP)*MOD_Magic")</f>
        <v>=(45+25*P_W+0,8*Self_AP)*MOD_Magic</v>
      </c>
      <c r="W61" s="299" t="str">
        <f ca="1">IFERROR(__xludf.DUMMYFUNCTION("""COMPUTED_VALUE"""),"=(45+40*P_E+0,8*Self_AP)*MOD_Magic")</f>
        <v>=(45+40*P_E+0,8*Self_AP)*MOD_Magic</v>
      </c>
      <c r="X61" s="299" t="str">
        <f ca="1">IFERROR(__xludf.DUMMYFUNCTION("""COMPUTED_VALUE"""),"=(37,5+262,5*P_R+1,6875*Self_AP)*MOD_Magic")</f>
        <v>=(37,5+262,5*P_R+1,6875*Self_AP)*MOD_Magic</v>
      </c>
      <c r="Y61" s="300" t="str">
        <f ca="1">IFERROR(__xludf.DUMMYFUNCTION("""COMPUTED_VALUE"""),"=0")</f>
        <v>=0</v>
      </c>
      <c r="Z61" s="281" t="str">
        <f ca="1">IFERROR(__xludf.DUMMYFUNCTION("""COMPUTED_VALUE"""),"=7,75 - 0,75 * P_Q")</f>
        <v>=7,75 - 0,75 * P_Q</v>
      </c>
      <c r="AA61" s="282" t="str">
        <f ca="1">IFERROR(__xludf.DUMMYFUNCTION("""COMPUTED_VALUE"""),"=14,75-1,75*P_W")</f>
        <v>=14,75-1,75*P_W</v>
      </c>
      <c r="AB61" s="282" t="str">
        <f ca="1">IFERROR(__xludf.DUMMYFUNCTION("""COMPUTED_VALUE"""),"=11-P_E")</f>
        <v>=11-P_E</v>
      </c>
      <c r="AC61" s="282" t="str">
        <f ca="1">IFERROR(__xludf.DUMMYFUNCTION("""COMPUTED_VALUE"""),"=120")</f>
        <v>=120</v>
      </c>
      <c r="AD61" s="283" t="str">
        <f ca="1">IFERROR(__xludf.DUMMYFUNCTION("""COMPUTED_VALUE"""),"=1")</f>
        <v>=1</v>
      </c>
      <c r="AE61" s="281" t="b">
        <f ca="1">IFERROR(__xludf.DUMMYFUNCTION("""COMPUTED_VALUE"""),FALSE)</f>
        <v>0</v>
      </c>
      <c r="AF61" s="282" t="str">
        <f ca="1">IFERROR(__xludf.DUMMYFUNCTION("""COMPUTED_VALUE"""),"=Image(""https://ddragon.leagueoflegends.com/cdn/11.19.1/img/champion/Kennen.png"")")</f>
        <v>=Image("https://ddragon.leagueoflegends.com/cdn/11.19.1/img/champion/Kennen.png")</v>
      </c>
      <c r="AG61" s="282" t="str">
        <f ca="1">IFERROR(__xludf.DUMMYFUNCTION("""COMPUTED_VALUE"""),"=IF(OR(REGEXMATCH(FORMULATEXT(U61);""HMOD"");NOT(P_Q&gt;0));0;U61)+IF(OR(REGEXMATCH(FORMULATEXT(V61);""HMOD"");NOT(P_W&gt;0));0;V61)+IF(OR(REGEXMATCH(FORMULATEXT(W61);""HMOD"");NOT(P_E&gt;0));0;W61)+IF(OR(REGEXMATCH(FORMULATEXT(X61);""HMOD"");NOT(P_R&gt;0));0;X61)+IF"&amp;"(REGEXMATCH(FORMULATEXT(Y61);""HMOD"");0;Y61)+Self_Proc_Item+Self_Proc_Summ+Self_Proc_Rune+3*Self_DPS")</f>
        <v>=IF(OR(REGEXMATCH(FORMULATEXT(U61);"HMOD");NOT(P_Q&gt;0));0;U61)+IF(OR(REGEXMATCH(FORMULATEXT(V61);"HMOD");NOT(P_W&gt;0));0;V61)+IF(OR(REGEXMATCH(FORMULATEXT(W61);"HMOD");NOT(P_E&gt;0));0;W61)+IF(OR(REGEXMATCH(FORMULATEXT(X61);"HMOD");NOT(P_R&gt;0));0;X61)+IF(REGEXMATCH(FORMULATEXT(Y61);"HMOD");0;Y61)+Self_Proc_Item+Self_Proc_Summ+Self_Proc_Rune+3*Self_DPS</v>
      </c>
      <c r="AH61" s="282" t="str">
        <f ca="1">IFERROR(__xludf.DUMMYFUNCTION("""COMPUTED_VALUE"""),"=0")</f>
        <v>=0</v>
      </c>
      <c r="AI61" s="282" t="b">
        <f ca="1">IFERROR(__xludf.DUMMYFUNCTION("""COMPUTED_VALUE"""),TRUE)</f>
        <v>1</v>
      </c>
      <c r="AJ61" s="283" t="b">
        <f ca="1">IFERROR(__xludf.DUMMYFUNCTION("""COMPUTED_VALUE"""),FALSE)</f>
        <v>0</v>
      </c>
    </row>
    <row r="62" spans="1:36">
      <c r="A62" s="267" t="str">
        <f ca="1">IFERROR(__xludf.DUMMYFUNCTION("""COMPUTED_VALUE"""),"Kha'Zix")</f>
        <v>Kha'Zix</v>
      </c>
      <c r="B62" s="287" t="str">
        <f ca="1">IFERROR(__xludf.DUMMYFUNCTION("""COMPUTED_VALUE"""),"=643")</f>
        <v>=643</v>
      </c>
      <c r="C62" s="287" t="str">
        <f ca="1">IFERROR(__xludf.DUMMYFUNCTION("""COMPUTED_VALUE"""),"=99")</f>
        <v>=99</v>
      </c>
      <c r="D62" s="288" t="str">
        <f ca="1">IFERROR(__xludf.DUMMYFUNCTION("""COMPUTED_VALUE"""),"=7,5")</f>
        <v>=7,5</v>
      </c>
      <c r="E62" s="289" t="str">
        <f ca="1">IFERROR(__xludf.DUMMYFUNCTION("""COMPUTED_VALUE"""),"=0,75")</f>
        <v>=0,75</v>
      </c>
      <c r="F62" s="288" t="str">
        <f ca="1">IFERROR(__xludf.DUMMYFUNCTION("""COMPUTED_VALUE"""),"=327")</f>
        <v>=327</v>
      </c>
      <c r="G62" s="288" t="str">
        <f ca="1">IFERROR(__xludf.DUMMYFUNCTION("""COMPUTED_VALUE"""),"=40")</f>
        <v>=40</v>
      </c>
      <c r="H62" s="288" t="str">
        <f ca="1">IFERROR(__xludf.DUMMYFUNCTION("""COMPUTED_VALUE"""),"=7,6")</f>
        <v>=7,6</v>
      </c>
      <c r="I62" s="289" t="str">
        <f ca="1">IFERROR(__xludf.DUMMYFUNCTION("""COMPUTED_VALUE"""),"=0,5")</f>
        <v>=0,5</v>
      </c>
      <c r="J62" s="290" t="str">
        <f ca="1">IFERROR(__xludf.DUMMYFUNCTION("""COMPUTED_VALUE"""),"=60")</f>
        <v>=60</v>
      </c>
      <c r="K62" s="288" t="str">
        <f ca="1">IFERROR(__xludf.DUMMYFUNCTION("""COMPUTED_VALUE"""),"=3,1")</f>
        <v>=3,1</v>
      </c>
      <c r="L62" s="291" t="str">
        <f ca="1">IFERROR(__xludf.DUMMYFUNCTION("""COMPUTED_VALUE"""),"=0,668")</f>
        <v>=0,668</v>
      </c>
      <c r="M62" s="291" t="str">
        <f ca="1">IFERROR(__xludf.DUMMYFUNCTION("""COMPUTED_VALUE"""),"=0,668")</f>
        <v>=0,668</v>
      </c>
      <c r="N62" s="292" t="str">
        <f ca="1">IFERROR(__xludf.DUMMYFUNCTION("""COMPUTED_VALUE"""),"=2,7%")</f>
        <v>=2,7%</v>
      </c>
      <c r="O62" s="287" t="str">
        <f ca="1">IFERROR(__xludf.DUMMYFUNCTION("""COMPUTED_VALUE"""),"=36")</f>
        <v>=36</v>
      </c>
      <c r="P62" s="287" t="str">
        <f ca="1">IFERROR(__xludf.DUMMYFUNCTION("""COMPUTED_VALUE"""),"=4,2")</f>
        <v>=4,2</v>
      </c>
      <c r="Q62" s="288" t="str">
        <f ca="1">IFERROR(__xludf.DUMMYFUNCTION("""COMPUTED_VALUE"""),"=32")</f>
        <v>=32</v>
      </c>
      <c r="R62" s="289" t="str">
        <f ca="1">IFERROR(__xludf.DUMMYFUNCTION("""COMPUTED_VALUE"""),"=2,05")</f>
        <v>=2,05</v>
      </c>
      <c r="S62" s="287" t="str">
        <f ca="1">IFERROR(__xludf.DUMMYFUNCTION("""COMPUTED_VALUE"""),"=350")</f>
        <v>=350</v>
      </c>
      <c r="T62" s="628" t="str">
        <f ca="1">IFERROR(__xludf.DUMMYFUNCTION("""COMPUTED_VALUE"""),"=if(Self_Level&gt;=11;175;125)")</f>
        <v>=if(Self_Level&gt;=11;175;125)</v>
      </c>
      <c r="U62" s="295" t="str">
        <f ca="1">IFERROR(__xludf.DUMMYFUNCTION("""COMPUTED_VALUE"""),"=IF(Steroid_Q; 2,1; 1) * (45 + 25 * P_Q + 1,15 * Self_BoAD) * MOD_Phys")</f>
        <v>=IF(Steroid_Q; 2,1; 1) * (45 + 25 * P_Q + 1,15 * Self_BoAD) * MOD_Phys</v>
      </c>
      <c r="V62" s="296" t="str">
        <f ca="1">IFERROR(__xludf.DUMMYFUNCTION("""COMPUTED_VALUE"""),"=(55+30+Self_BoAD)*MOD_Phys")</f>
        <v>=(55+30+Self_BoAD)*MOD_Phys</v>
      </c>
      <c r="W62" s="296" t="str">
        <f ca="1">IFERROR(__xludf.DUMMYFUNCTION("""COMPUTED_VALUE"""),"=(30+35*P_E+0,2*Self_BoAD)*MOD_Phys")</f>
        <v>=(30+35*P_E+0,2*Self_BoAD)*MOD_Phys</v>
      </c>
      <c r="X62" s="296" t="str">
        <f ca="1">IFERROR(__xludf.DUMMYFUNCTION("""COMPUTED_VALUE"""),"=0")</f>
        <v>=0</v>
      </c>
      <c r="Y62" s="297" t="str">
        <f ca="1">IFERROR(__xludf.DUMMYFUNCTION("""COMPUTED_VALUE"""),"=(6+8*Self_Level+0,4*Self_BoAD)*MOD_Magic")</f>
        <v>=(6+8*Self_Level+0,4*Self_BoAD)*MOD_Magic</v>
      </c>
      <c r="Z62" s="281" t="str">
        <f ca="1">IFERROR(__xludf.DUMMYFUNCTION("""COMPUTED_VALUE"""),"=if(Steroid_Q;0,55;1)*4")</f>
        <v>=if(Steroid_Q;0,55;1)*4</v>
      </c>
      <c r="AA62" s="282" t="str">
        <f ca="1">IFERROR(__xludf.DUMMYFUNCTION("""COMPUTED_VALUE"""),"=9")</f>
        <v>=9</v>
      </c>
      <c r="AB62" s="282" t="str">
        <f ca="1">IFERROR(__xludf.DUMMYFUNCTION("""COMPUTED_VALUE"""),"=22-P_E*2")</f>
        <v>=22-P_E*2</v>
      </c>
      <c r="AC62" s="282" t="str">
        <f ca="1">IFERROR(__xludf.DUMMYFUNCTION("""COMPUTED_VALUE"""),"=115-15*P_R")</f>
        <v>=115-15*P_R</v>
      </c>
      <c r="AD62" s="283" t="str">
        <f ca="1">IFERROR(__xludf.DUMMYFUNCTION("""COMPUTED_VALUE"""),"=1")</f>
        <v>=1</v>
      </c>
      <c r="AE62" s="281" t="b">
        <f ca="1">IFERROR(__xludf.DUMMYFUNCTION("""COMPUTED_VALUE"""),TRUE)</f>
        <v>1</v>
      </c>
      <c r="AF62" s="282" t="str">
        <f ca="1">IFERROR(__xludf.DUMMYFUNCTION("""COMPUTED_VALUE"""),"=Image(""https://ddragon.leagueoflegends.com/cdn/11.19.1/img/champion/Khazix.png"")")</f>
        <v>=Image("https://ddragon.leagueoflegends.com/cdn/11.19.1/img/champion/Khazix.png")</v>
      </c>
      <c r="AG62" s="282" t="str">
        <f ca="1">IFERROR(__xludf.DUMMYFUNCTION("""COMPUTED_VALUE"""),"=IF(OR(REGEXMATCH(FORMULATEXT(U62);""HMOD"");NOT(P_Q&gt;0));0;U62)+IF(OR(REGEXMATCH(FORMULATEXT(V62);""HMOD"");NOT(P_W&gt;0));0;V62)+IF(OR(REGEXMATCH(FORMULATEXT(W62);""HMOD"");NOT(P_E&gt;0));0;W62)+IF(OR(REGEXMATCH(FORMULATEXT(X62);""HMOD"");NOT(P_R&gt;0));0;X62)+IF"&amp;"(REGEXMATCH(FORMULATEXT(Y62);""HMOD"");0;Y62)+Self_Proc_Item+Self_Proc_Summ+Self_Proc_Rune+3*Self_DPS")</f>
        <v>=IF(OR(REGEXMATCH(FORMULATEXT(U62);"HMOD");NOT(P_Q&gt;0));0;U62)+IF(OR(REGEXMATCH(FORMULATEXT(V62);"HMOD");NOT(P_W&gt;0));0;V62)+IF(OR(REGEXMATCH(FORMULATEXT(W62);"HMOD");NOT(P_E&gt;0));0;W62)+IF(OR(REGEXMATCH(FORMULATEXT(X62);"HMOD");NOT(P_R&gt;0));0;X62)+IF(REGEXMATCH(FORMULATEXT(Y62);"HMOD");0;Y62)+Self_Proc_Item+Self_Proc_Summ+Self_Proc_Rune+3*Self_DPS</v>
      </c>
      <c r="AH62" s="282" t="str">
        <f ca="1">IFERROR(__xludf.DUMMYFUNCTION("""COMPUTED_VALUE"""),"=0")</f>
        <v>=0</v>
      </c>
      <c r="AI62" s="282" t="b">
        <f ca="1">IFERROR(__xludf.DUMMYFUNCTION("""COMPUTED_VALUE"""),FALSE)</f>
        <v>0</v>
      </c>
      <c r="AJ62" s="283" t="b">
        <f ca="1">IFERROR(__xludf.DUMMYFUNCTION("""COMPUTED_VALUE"""),FALSE)</f>
        <v>0</v>
      </c>
    </row>
    <row r="63" spans="1:36">
      <c r="A63" s="267" t="str">
        <f ca="1">IFERROR(__xludf.DUMMYFUNCTION("""COMPUTED_VALUE"""),"Kindred")</f>
        <v>Kindred</v>
      </c>
      <c r="B63" s="287" t="str">
        <f ca="1">IFERROR(__xludf.DUMMYFUNCTION("""COMPUTED_VALUE"""),"=610")</f>
        <v>=610</v>
      </c>
      <c r="C63" s="287" t="str">
        <f ca="1">IFERROR(__xludf.DUMMYFUNCTION("""COMPUTED_VALUE"""),"=104")</f>
        <v>=104</v>
      </c>
      <c r="D63" s="288" t="str">
        <f ca="1">IFERROR(__xludf.DUMMYFUNCTION("""COMPUTED_VALUE"""),"=7")</f>
        <v>=7</v>
      </c>
      <c r="E63" s="289" t="str">
        <f ca="1">IFERROR(__xludf.DUMMYFUNCTION("""COMPUTED_VALUE"""),"=0,55")</f>
        <v>=0,55</v>
      </c>
      <c r="F63" s="288" t="str">
        <f ca="1">IFERROR(__xludf.DUMMYFUNCTION("""COMPUTED_VALUE"""),"=300")</f>
        <v>=300</v>
      </c>
      <c r="G63" s="288" t="str">
        <f ca="1">IFERROR(__xludf.DUMMYFUNCTION("""COMPUTED_VALUE"""),"=35")</f>
        <v>=35</v>
      </c>
      <c r="H63" s="288" t="str">
        <f ca="1">IFERROR(__xludf.DUMMYFUNCTION("""COMPUTED_VALUE"""),"=7")</f>
        <v>=7</v>
      </c>
      <c r="I63" s="289" t="str">
        <f ca="1">IFERROR(__xludf.DUMMYFUNCTION("""COMPUTED_VALUE"""),"=0,4")</f>
        <v>=0,4</v>
      </c>
      <c r="J63" s="290" t="str">
        <f ca="1">IFERROR(__xludf.DUMMYFUNCTION("""COMPUTED_VALUE"""),"=65")</f>
        <v>=65</v>
      </c>
      <c r="K63" s="288" t="str">
        <f ca="1">IFERROR(__xludf.DUMMYFUNCTION("""COMPUTED_VALUE"""),"=3,25")</f>
        <v>=3,25</v>
      </c>
      <c r="L63" s="291" t="str">
        <f ca="1">IFERROR(__xludf.DUMMYFUNCTION("""COMPUTED_VALUE"""),"=0,625")</f>
        <v>=0,625</v>
      </c>
      <c r="M63" s="291" t="str">
        <f ca="1">IFERROR(__xludf.DUMMYFUNCTION("""COMPUTED_VALUE"""),"=0,625")</f>
        <v>=0,625</v>
      </c>
      <c r="N63" s="292" t="str">
        <f ca="1">IFERROR(__xludf.DUMMYFUNCTION("""COMPUTED_VALUE"""),"=3,5%")</f>
        <v>=3,5%</v>
      </c>
      <c r="O63" s="287" t="str">
        <f ca="1">IFERROR(__xludf.DUMMYFUNCTION("""COMPUTED_VALUE"""),"=29")</f>
        <v>=29</v>
      </c>
      <c r="P63" s="287" t="str">
        <f ca="1">IFERROR(__xludf.DUMMYFUNCTION("""COMPUTED_VALUE"""),"=4,7")</f>
        <v>=4,7</v>
      </c>
      <c r="Q63" s="288" t="str">
        <f ca="1">IFERROR(__xludf.DUMMYFUNCTION("""COMPUTED_VALUE"""),"=30")</f>
        <v>=30</v>
      </c>
      <c r="R63" s="289" t="str">
        <f ca="1">IFERROR(__xludf.DUMMYFUNCTION("""COMPUTED_VALUE"""),"=1,3")</f>
        <v>=1,3</v>
      </c>
      <c r="S63" s="287" t="str">
        <f ca="1">IFERROR(__xludf.DUMMYFUNCTION("""COMPUTED_VALUE"""),"=325")</f>
        <v>=325</v>
      </c>
      <c r="T63" s="628" t="str">
        <f ca="1">IFERROR(__xludf.DUMMYFUNCTION("""COMPUTED_VALUE"""),"=500+if(if(Kills&gt;=4;50+rounddown((Kills-1)/3)*25;0)&gt;250;250;if(Kills&gt;=4;50+rounddown((Kills-1)/3)*25;0))")</f>
        <v>=500+if(if(Kills&gt;=4;50+rounddown((Kills-1)/3)*25;0)&gt;250;250;if(Kills&gt;=4;50+rounddown((Kills-1)/3)*25;0))</v>
      </c>
      <c r="U63" s="298" t="str">
        <f ca="1">IFERROR(__xludf.DUMMYFUNCTION("""COMPUTED_VALUE"""),"=(25 + 25 * P_Q + 0,75 * Self_BoAD) * MOD_Phys")</f>
        <v>=(25 + 25 * P_Q + 0,75 * Self_BoAD) * MOD_Phys</v>
      </c>
      <c r="V63" s="299" t="str">
        <f ca="1">IFERROR(__xludf.DUMMYFUNCTION("""COMPUTED_VALUE"""),"=(20+5*P_W + 0,2 * Self_AP +0,2*Self_BoAD+(0,015+0,01*Kills)*E_CHPV)*MOD_Magic")</f>
        <v>=(20+5*P_W + 0,2 * Self_AP +0,2*Self_BoAD+(0,015+0,01*Kills)*E_CHPV)*MOD_Magic</v>
      </c>
      <c r="W63" s="299" t="str">
        <f ca="1">IFERROR(__xludf.DUMMYFUNCTION("""COMPUTED_VALUE"""),"=(60 + 20 * P_E + 0,8 * Self_BoAD + (0,08 + 0,005 * Kills) * E_MisHPV) * MOD_Phys * IF(E_CHP &lt; 25 + 50 * (Self_Crit / 100); Self_CritDMG; 1)")</f>
        <v>=(60 + 20 * P_E + 0,8 * Self_BoAD + (0,08 + 0,005 * Kills) * E_MisHPV) * MOD_Phys * IF(E_CHP &lt; 25 + 50 * (Self_Crit / 100); Self_CritDMG; 1)</v>
      </c>
      <c r="X63" s="299" t="str">
        <f ca="1">IFERROR(__xludf.DUMMYFUNCTION("""COMPUTED_VALUE"""),"=(150 + 75 * P_R) * MOD_Heal")</f>
        <v>=(150 + 75 * P_R) * MOD_Heal</v>
      </c>
      <c r="Y63" s="300" t="str">
        <f ca="1">IFERROR(__xludf.DUMMYFUNCTION("""COMPUTED_VALUE"""),"=0")</f>
        <v>=0</v>
      </c>
      <c r="Z63" s="281" t="str">
        <f ca="1">IFERROR(__xludf.DUMMYFUNCTION("""COMPUTED_VALUE"""),"=8")</f>
        <v>=8</v>
      </c>
      <c r="AA63" s="282" t="str">
        <f ca="1">IFERROR(__xludf.DUMMYFUNCTION("""COMPUTED_VALUE"""),"=19-P_W")</f>
        <v>=19-P_W</v>
      </c>
      <c r="AB63" s="282" t="str">
        <f ca="1">IFERROR(__xludf.DUMMYFUNCTION("""COMPUTED_VALUE"""),"=15-P_E")</f>
        <v>=15-P_E</v>
      </c>
      <c r="AC63" s="282" t="str">
        <f ca="1">IFERROR(__xludf.DUMMYFUNCTION("""COMPUTED_VALUE"""),"=210-30*P_R")</f>
        <v>=210-30*P_R</v>
      </c>
      <c r="AD63" s="283" t="str">
        <f ca="1">IFERROR(__xludf.DUMMYFUNCTION("""COMPUTED_VALUE"""),"=40")</f>
        <v>=40</v>
      </c>
      <c r="AE63" s="281" t="b">
        <f ca="1">IFERROR(__xludf.DUMMYFUNCTION("""COMPUTED_VALUE"""),FALSE)</f>
        <v>0</v>
      </c>
      <c r="AF63" s="282" t="str">
        <f ca="1">IFERROR(__xludf.DUMMYFUNCTION("""COMPUTED_VALUE"""),"=Image(""https://ddragon.leagueoflegends.com/cdn/11.19.1/img/champion/Kindred.png"")")</f>
        <v>=Image("https://ddragon.leagueoflegends.com/cdn/11.19.1/img/champion/Kindred.png")</v>
      </c>
      <c r="AG63" s="282" t="str">
        <f ca="1">IFERROR(__xludf.DUMMYFUNCTION("""COMPUTED_VALUE"""),"=IF(OR(REGEXMATCH(FORMULATEXT(U63);""HMOD"");NOT(P_Q&gt;0));0;U63)+IF(OR(REGEXMATCH(FORMULATEXT(V63);""HMOD"");NOT(P_W&gt;0));0;V63)+IF(OR(REGEXMATCH(FORMULATEXT(W63);""HMOD"");NOT(P_E&gt;0));0;W63)+IF(OR(REGEXMATCH(FORMULATEXT(X63);""HMOD"");NOT(P_R&gt;0));0;X63)+IF"&amp;"(REGEXMATCH(FORMULATEXT(Y63);""HMOD"");0;Y63)+Self_Proc_Item+Self_Proc_Summ+Self_Proc_Rune+3*Self_DPS")</f>
        <v>=IF(OR(REGEXMATCH(FORMULATEXT(U63);"HMOD");NOT(P_Q&gt;0));0;U63)+IF(OR(REGEXMATCH(FORMULATEXT(V63);"HMOD");NOT(P_W&gt;0));0;V63)+IF(OR(REGEXMATCH(FORMULATEXT(W63);"HMOD");NOT(P_E&gt;0));0;W63)+IF(OR(REGEXMATCH(FORMULATEXT(X63);"HMOD");NOT(P_R&gt;0));0;X63)+IF(REGEXMATCH(FORMULATEXT(Y63);"HMOD");0;Y63)+Self_Proc_Item+Self_Proc_Summ+Self_Proc_Rune+3*Self_DPS</v>
      </c>
      <c r="AH63" s="282" t="str">
        <f ca="1">IFERROR(__xludf.DUMMYFUNCTION("""COMPUTED_VALUE"""),"=0")</f>
        <v>=0</v>
      </c>
      <c r="AI63" s="282" t="b">
        <f ca="1">IFERROR(__xludf.DUMMYFUNCTION("""COMPUTED_VALUE"""),FALSE)</f>
        <v>0</v>
      </c>
      <c r="AJ63" s="283" t="b">
        <f ca="1">IFERROR(__xludf.DUMMYFUNCTION("""COMPUTED_VALUE"""),FALSE)</f>
        <v>0</v>
      </c>
    </row>
    <row r="64" spans="1:36">
      <c r="A64" s="267" t="str">
        <f ca="1">IFERROR(__xludf.DUMMYFUNCTION("""COMPUTED_VALUE"""),"Kled")</f>
        <v>Kled</v>
      </c>
      <c r="B64" s="287" t="str">
        <f ca="1">IFERROR(__xludf.DUMMYFUNCTION("""COMPUTED_VALUE"""),"=410+if(Steroid_Form;0;400)")</f>
        <v>=410+if(Steroid_Form;0;400)</v>
      </c>
      <c r="C64" s="287" t="str">
        <f ca="1">IFERROR(__xludf.DUMMYFUNCTION("""COMPUTED_VALUE"""),"=84+if(Steroid_Form; 0; 1150 / 17)")</f>
        <v>=84+if(Steroid_Form; 0; 1150 / 17)</v>
      </c>
      <c r="D64" s="288" t="str">
        <f ca="1">IFERROR(__xludf.DUMMYFUNCTION("""COMPUTED_VALUE"""),"=6")</f>
        <v>=6</v>
      </c>
      <c r="E64" s="289" t="str">
        <f ca="1">IFERROR(__xludf.DUMMYFUNCTION("""COMPUTED_VALUE"""),"=0,75")</f>
        <v>=0,75</v>
      </c>
      <c r="F64" s="288" t="str">
        <f ca="1">IFERROR(__xludf.DUMMYFUNCTION("""COMPUTED_VALUE"""),"=100")</f>
        <v>=100</v>
      </c>
      <c r="G64" s="288" t="str">
        <f ca="1">IFERROR(__xludf.DUMMYFUNCTION("""COMPUTED_VALUE"""),"=0")</f>
        <v>=0</v>
      </c>
      <c r="H64" s="288" t="str">
        <f ca="1">IFERROR(__xludf.DUMMYFUNCTION("""COMPUTED_VALUE"""),"=0")</f>
        <v>=0</v>
      </c>
      <c r="I64" s="289" t="str">
        <f ca="1">IFERROR(__xludf.DUMMYFUNCTION("""COMPUTED_VALUE"""),"=0")</f>
        <v>=0</v>
      </c>
      <c r="J64" s="290" t="str">
        <f ca="1">IFERROR(__xludf.DUMMYFUNCTION("""COMPUTED_VALUE"""),"=65")</f>
        <v>=65</v>
      </c>
      <c r="K64" s="288" t="str">
        <f ca="1">IFERROR(__xludf.DUMMYFUNCTION("""COMPUTED_VALUE"""),"=3,5")</f>
        <v>=3,5</v>
      </c>
      <c r="L64" s="291" t="str">
        <f ca="1">IFERROR(__xludf.DUMMYFUNCTION("""COMPUTED_VALUE"""),"=0,625")</f>
        <v>=0,625</v>
      </c>
      <c r="M64" s="291" t="str">
        <f ca="1">IFERROR(__xludf.DUMMYFUNCTION("""COMPUTED_VALUE"""),"=0,625")</f>
        <v>=0,625</v>
      </c>
      <c r="N64" s="292" t="str">
        <f ca="1">IFERROR(__xludf.DUMMYFUNCTION("""COMPUTED_VALUE"""),"=3,5%")</f>
        <v>=3,5%</v>
      </c>
      <c r="O64" s="287" t="str">
        <f ca="1">IFERROR(__xludf.DUMMYFUNCTION("""COMPUTED_VALUE"""),"=35")</f>
        <v>=35</v>
      </c>
      <c r="P64" s="287" t="str">
        <f ca="1">IFERROR(__xludf.DUMMYFUNCTION("""COMPUTED_VALUE"""),"=5,2")</f>
        <v>=5,2</v>
      </c>
      <c r="Q64" s="288" t="str">
        <f ca="1">IFERROR(__xludf.DUMMYFUNCTION("""COMPUTED_VALUE"""),"=28")</f>
        <v>=28</v>
      </c>
      <c r="R64" s="289" t="str">
        <f ca="1">IFERROR(__xludf.DUMMYFUNCTION("""COMPUTED_VALUE"""),"=2,05")</f>
        <v>=2,05</v>
      </c>
      <c r="S64" s="287" t="str">
        <f ca="1">IFERROR(__xludf.DUMMYFUNCTION("""COMPUTED_VALUE"""),"=if(Steroid_Form;285;345)")</f>
        <v>=if(Steroid_Form;285;345)</v>
      </c>
      <c r="T64" s="628" t="str">
        <f ca="1">IFERROR(__xludf.DUMMYFUNCTION("""COMPUTED_VALUE"""),"=if(Steroid_Form;250;125)")</f>
        <v>=if(Steroid_Form;250;125)</v>
      </c>
      <c r="U64" s="295" t="str">
        <f ca="1">IFERROR(__xludf.DUMMYFUNCTION("""COMPUTED_VALUE"""),"=IF(Steroid_Form;IF(Steroid_Q;1,8;1)*(15*P_Q+20+0,8*Self_BoAD)*MOD_Phys;(75*P_Q+15+1,95*Self_BoAD)*MOD_Phys)")</f>
        <v>=IF(Steroid_Form;IF(Steroid_Q;1,8;1)*(15*P_Q+20+0,8*Self_BoAD)*MOD_Phys;(75*P_Q+15+1,95*Self_BoAD)*MOD_Phys)</v>
      </c>
      <c r="V64" s="296" t="str">
        <f ca="1">IFERROR(__xludf.DUMMYFUNCTION("""COMPUTED_VALUE"""),"=((0,04+0,005*P_W+0,0005*Self_BoAD)*E_MHP+10+10*P_W+Self_AD)*MOD_Phys")</f>
        <v>=((0,04+0,005*P_W+0,0005*Self_BoAD)*E_MHP+10+10*P_W+Self_AD)*MOD_Phys</v>
      </c>
      <c r="W64" s="296" t="str">
        <f ca="1">IFERROR(__xludf.DUMMYFUNCTION("""COMPUTED_VALUE"""),"=IF(Steroid_Form; 0; 50 * P_Q + 20 + 1,3 * Self_BoAD) * MOD_Phys")</f>
        <v>=IF(Steroid_Form; 0; 50 * P_Q + 20 + 1,3 * Self_BoAD) * MOD_Phys</v>
      </c>
      <c r="X64" s="296" t="str">
        <f ca="1">IFERROR(__xludf.DUMMYFUNCTION("""COMPUTED_VALUE"""),"=IF(Steroid_Form;0;((0,09+0,03*P_R+0,0012*Self_BoAD)*E_MHP)*MOD_Phys)")</f>
        <v>=IF(Steroid_Form;0;((0,09+0,03*P_R+0,0012*Self_BoAD)*E_MHP)*MOD_Phys)</v>
      </c>
      <c r="Y64" s="297" t="str">
        <f ca="1">IFERROR(__xludf.DUMMYFUNCTION("""COMPUTED_VALUE"""),"=0")</f>
        <v>=0</v>
      </c>
      <c r="Z64" s="281" t="str">
        <f ca="1">IFERROR(__xludf.DUMMYFUNCTION("""COMPUTED_VALUE"""),"=if(Steroid_Form;20,75-0,75*Self_Level;9,5-0,5*P_Q)")</f>
        <v>=if(Steroid_Form;20,75-0,75*Self_Level;9,5-0,5*P_Q)</v>
      </c>
      <c r="AA64" s="282" t="str">
        <f ca="1">IFERROR(__xludf.DUMMYFUNCTION("""COMPUTED_VALUE"""),"=12,5-1,5*P_W")</f>
        <v>=12,5-1,5*P_W</v>
      </c>
      <c r="AB64" s="282" t="str">
        <f ca="1">IFERROR(__xludf.DUMMYFUNCTION("""COMPUTED_VALUE"""),"=14-P_E")</f>
        <v>=14-P_E</v>
      </c>
      <c r="AC64" s="282" t="str">
        <f ca="1">IFERROR(__xludf.DUMMYFUNCTION("""COMPUTED_VALUE"""),"=155-15*P_R")</f>
        <v>=155-15*P_R</v>
      </c>
      <c r="AD64" s="283" t="str">
        <f ca="1">IFERROR(__xludf.DUMMYFUNCTION("""COMPUTED_VALUE"""),"=1")</f>
        <v>=1</v>
      </c>
      <c r="AE64" s="281" t="b">
        <f ca="1">IFERROR(__xludf.DUMMYFUNCTION("""COMPUTED_VALUE"""),TRUE)</f>
        <v>1</v>
      </c>
      <c r="AF64" s="282" t="str">
        <f ca="1">IFERROR(__xludf.DUMMYFUNCTION("""COMPUTED_VALUE"""),"=Image(""https://ddragon.leagueoflegends.com/cdn/11.19.1/img/champion/Kled.png"")")</f>
        <v>=Image("https://ddragon.leagueoflegends.com/cdn/11.19.1/img/champion/Kled.png")</v>
      </c>
      <c r="AG64" s="282" t="str">
        <f ca="1">IFERROR(__xludf.DUMMYFUNCTION("""COMPUTED_VALUE"""),"=IF(OR(REGEXMATCH(FORMULATEXT(U64);""HMOD"");NOT(P_Q&gt;0));0;U64)+IF(OR(REGEXMATCH(FORMULATEXT(V64);""HMOD"");NOT(P_W&gt;0));0;V64)+IF(OR(REGEXMATCH(FORMULATEXT(W64);""HMOD"");NOT(P_E&gt;0));0;W64)+IF(OR(REGEXMATCH(FORMULATEXT(X64);""HMOD"");NOT(P_R&gt;0));0;X64)+IF"&amp;"(REGEXMATCH(FORMULATEXT(Y64);""HMOD"");0;Y64)+Self_Proc_Item+Self_Proc_Summ+Self_Proc_Rune+3*Self_DPS")</f>
        <v>=IF(OR(REGEXMATCH(FORMULATEXT(U64);"HMOD");NOT(P_Q&gt;0));0;U64)+IF(OR(REGEXMATCH(FORMULATEXT(V64);"HMOD");NOT(P_W&gt;0));0;V64)+IF(OR(REGEXMATCH(FORMULATEXT(W64);"HMOD");NOT(P_E&gt;0));0;W64)+IF(OR(REGEXMATCH(FORMULATEXT(X64);"HMOD");NOT(P_R&gt;0));0;X64)+IF(REGEXMATCH(FORMULATEXT(Y64);"HMOD");0;Y64)+Self_Proc_Item+Self_Proc_Summ+Self_Proc_Rune+3*Self_DPS</v>
      </c>
      <c r="AH64" s="282" t="str">
        <f ca="1">IFERROR(__xludf.DUMMYFUNCTION("""COMPUTED_VALUE"""),"=0")</f>
        <v>=0</v>
      </c>
      <c r="AI64" s="282" t="b">
        <f ca="1">IFERROR(__xludf.DUMMYFUNCTION("""COMPUTED_VALUE"""),FALSE)</f>
        <v>0</v>
      </c>
      <c r="AJ64" s="283" t="b">
        <f ca="1">IFERROR(__xludf.DUMMYFUNCTION("""COMPUTED_VALUE"""),TRUE)</f>
        <v>1</v>
      </c>
    </row>
    <row r="65" spans="1:36">
      <c r="A65" s="267" t="str">
        <f ca="1">IFERROR(__xludf.DUMMYFUNCTION("""COMPUTED_VALUE"""),"Kog'Maw")</f>
        <v>Kog'Maw</v>
      </c>
      <c r="B65" s="287" t="str">
        <f ca="1">IFERROR(__xludf.DUMMYFUNCTION("""COMPUTED_VALUE"""),"=635")</f>
        <v>=635</v>
      </c>
      <c r="C65" s="287" t="str">
        <f ca="1">IFERROR(__xludf.DUMMYFUNCTION("""COMPUTED_VALUE"""),"=99")</f>
        <v>=99</v>
      </c>
      <c r="D65" s="288" t="str">
        <f ca="1">IFERROR(__xludf.DUMMYFUNCTION("""COMPUTED_VALUE"""),"=3,75")</f>
        <v>=3,75</v>
      </c>
      <c r="E65" s="289" t="str">
        <f ca="1">IFERROR(__xludf.DUMMYFUNCTION("""COMPUTED_VALUE"""),"=0,55")</f>
        <v>=0,55</v>
      </c>
      <c r="F65" s="288" t="str">
        <f ca="1">IFERROR(__xludf.DUMMYFUNCTION("""COMPUTED_VALUE"""),"=325")</f>
        <v>=325</v>
      </c>
      <c r="G65" s="288" t="str">
        <f ca="1">IFERROR(__xludf.DUMMYFUNCTION("""COMPUTED_VALUE"""),"=40")</f>
        <v>=40</v>
      </c>
      <c r="H65" s="288" t="str">
        <f ca="1">IFERROR(__xludf.DUMMYFUNCTION("""COMPUTED_VALUE"""),"=8,75")</f>
        <v>=8,75</v>
      </c>
      <c r="I65" s="289" t="str">
        <f ca="1">IFERROR(__xludf.DUMMYFUNCTION("""COMPUTED_VALUE"""),"=0,7")</f>
        <v>=0,7</v>
      </c>
      <c r="J65" s="290" t="str">
        <f ca="1">IFERROR(__xludf.DUMMYFUNCTION("""COMPUTED_VALUE"""),"=61")</f>
        <v>=61</v>
      </c>
      <c r="K65" s="288" t="str">
        <f ca="1">IFERROR(__xludf.DUMMYFUNCTION("""COMPUTED_VALUE"""),"=3,11")</f>
        <v>=3,11</v>
      </c>
      <c r="L65" s="291" t="str">
        <f ca="1">IFERROR(__xludf.DUMMYFUNCTION("""COMPUTED_VALUE"""),"=0,665")</f>
        <v>=0,665</v>
      </c>
      <c r="M65" s="291" t="str">
        <f ca="1">IFERROR(__xludf.DUMMYFUNCTION("""COMPUTED_VALUE"""),"=0,665")</f>
        <v>=0,665</v>
      </c>
      <c r="N65" s="292" t="str">
        <f ca="1">IFERROR(__xludf.DUMMYFUNCTION("""COMPUTED_VALUE"""),"=2,65%")</f>
        <v>=2,65%</v>
      </c>
      <c r="O65" s="287" t="str">
        <f ca="1">IFERROR(__xludf.DUMMYFUNCTION("""COMPUTED_VALUE"""),"=24")</f>
        <v>=24</v>
      </c>
      <c r="P65" s="287" t="str">
        <f ca="1">IFERROR(__xludf.DUMMYFUNCTION("""COMPUTED_VALUE"""),"=4,45")</f>
        <v>=4,45</v>
      </c>
      <c r="Q65" s="288" t="str">
        <f ca="1">IFERROR(__xludf.DUMMYFUNCTION("""COMPUTED_VALUE"""),"=30")</f>
        <v>=30</v>
      </c>
      <c r="R65" s="289" t="str">
        <f ca="1">IFERROR(__xludf.DUMMYFUNCTION("""COMPUTED_VALUE"""),"=1,3")</f>
        <v>=1,3</v>
      </c>
      <c r="S65" s="287" t="str">
        <f ca="1">IFERROR(__xludf.DUMMYFUNCTION("""COMPUTED_VALUE"""),"=330")</f>
        <v>=330</v>
      </c>
      <c r="T65" s="628" t="str">
        <f ca="1">IFERROR(__xludf.DUMMYFUNCTION("""COMPUTED_VALUE"""),"=500")</f>
        <v>=500</v>
      </c>
      <c r="U65" s="298" t="str">
        <f ca="1">IFERROR(__xludf.DUMMYFUNCTION("""COMPUTED_VALUE"""),"=(40+50*P_Q+0,7*Self_AP)*MOD_Magic")</f>
        <v>=(40+50*P_Q+0,7*Self_AP)*MOD_Magic</v>
      </c>
      <c r="V65" s="299" t="str">
        <f ca="1">IFERROR(__xludf.DUMMYFUNCTION("""COMPUTED_VALUE"""),"=((0,0225+0,0075*P_W+0,0001*Self_AP)*E_MHP)*MOD_Magic")</f>
        <v>=((0,0225+0,0075*P_W+0,0001*Self_AP)*E_MHP)*MOD_Magic</v>
      </c>
      <c r="W65" s="299" t="str">
        <f ca="1">IFERROR(__xludf.DUMMYFUNCTION("""COMPUTED_VALUE"""),"=(30 + 45 * P_E + 0,7 * Self_AP) * MOD_Magic")</f>
        <v>=(30 + 45 * P_E + 0,7 * Self_AP) * MOD_Magic</v>
      </c>
      <c r="X65" s="299" t="str">
        <f ca="1">IFERROR(__xludf.DUMMYFUNCTION("""COMPUTED_VALUE"""),"=(60+40*P_R+0,35*Self_AP+0,65*Self_BoAD)*MOD_Magic")</f>
        <v>=(60+40*P_R+0,35*Self_AP+0,65*Self_BoAD)*MOD_Magic</v>
      </c>
      <c r="Y65" s="300" t="str">
        <f ca="1">IFERROR(__xludf.DUMMYFUNCTION("""COMPUTED_VALUE"""),"=(110 + 30 * Self_Level) * MOD_True")</f>
        <v>=(110 + 30 * Self_Level) * MOD_True</v>
      </c>
      <c r="Z65" s="281" t="str">
        <f ca="1">IFERROR(__xludf.DUMMYFUNCTION("""COMPUTED_VALUE"""),"=7")</f>
        <v>=7</v>
      </c>
      <c r="AA65" s="282" t="str">
        <f ca="1">IFERROR(__xludf.DUMMYFUNCTION("""COMPUTED_VALUE"""),"=17")</f>
        <v>=17</v>
      </c>
      <c r="AB65" s="282" t="str">
        <f ca="1">IFERROR(__xludf.DUMMYFUNCTION("""COMPUTED_VALUE"""),"=12")</f>
        <v>=12</v>
      </c>
      <c r="AC65" s="282" t="str">
        <f ca="1">IFERROR(__xludf.DUMMYFUNCTION("""COMPUTED_VALUE"""),"=2,5-0,5*P_R")</f>
        <v>=2,5-0,5*P_R</v>
      </c>
      <c r="AD65" s="283" t="str">
        <f ca="1">IFERROR(__xludf.DUMMYFUNCTION("""COMPUTED_VALUE"""),"=1")</f>
        <v>=1</v>
      </c>
      <c r="AE65" s="281" t="b">
        <f ca="1">IFERROR(__xludf.DUMMYFUNCTION("""COMPUTED_VALUE"""),FALSE)</f>
        <v>0</v>
      </c>
      <c r="AF65" s="282" t="str">
        <f ca="1">IFERROR(__xludf.DUMMYFUNCTION("""COMPUTED_VALUE"""),"=Image(""https://ddragon.leagueoflegends.com/cdn/11.19.1/img/champion/KogMaw.png"")")</f>
        <v>=Image("https://ddragon.leagueoflegends.com/cdn/11.19.1/img/champion/KogMaw.png")</v>
      </c>
      <c r="AG65" s="282" t="str">
        <f ca="1">IFERROR(__xludf.DUMMYFUNCTION("""COMPUTED_VALUE"""),"=IF(OR(REGEXMATCH(FORMULATEXT(U65);""HMOD"");NOT(P_Q&gt;0));0;U65)+IF(OR(REGEXMATCH(FORMULATEXT(V65);""HMOD"");NOT(P_W&gt;0));0;V65)+IF(OR(REGEXMATCH(FORMULATEXT(W65);""HMOD"");NOT(P_E&gt;0));0;W65)+IF(OR(REGEXMATCH(FORMULATEXT(X65);""HMOD"");NOT(P_R&gt;0));0;X65)+IF"&amp;"(REGEXMATCH(FORMULATEXT(Y65);""HMOD"");0;Y65)+Self_Proc_Item+Self_Proc_Summ+Self_Proc_Rune+3*Self_DPS")</f>
        <v>=IF(OR(REGEXMATCH(FORMULATEXT(U65);"HMOD");NOT(P_Q&gt;0));0;U65)+IF(OR(REGEXMATCH(FORMULATEXT(V65);"HMOD");NOT(P_W&gt;0));0;V65)+IF(OR(REGEXMATCH(FORMULATEXT(W65);"HMOD");NOT(P_E&gt;0));0;W65)+IF(OR(REGEXMATCH(FORMULATEXT(X65);"HMOD");NOT(P_R&gt;0));0;X65)+IF(REGEXMATCH(FORMULATEXT(Y65);"HMOD");0;Y65)+Self_Proc_Item+Self_Proc_Summ+Self_Proc_Rune+3*Self_DPS</v>
      </c>
      <c r="AH65" s="282" t="str">
        <f ca="1">IFERROR(__xludf.DUMMYFUNCTION("""COMPUTED_VALUE"""),"=0")</f>
        <v>=0</v>
      </c>
      <c r="AI65" s="282" t="b">
        <f ca="1">IFERROR(__xludf.DUMMYFUNCTION("""COMPUTED_VALUE"""),FALSE)</f>
        <v>0</v>
      </c>
      <c r="AJ65" s="283" t="b">
        <f ca="1">IFERROR(__xludf.DUMMYFUNCTION("""COMPUTED_VALUE"""),FALSE)</f>
        <v>0</v>
      </c>
    </row>
    <row r="66" spans="1:36">
      <c r="A66" s="267" t="str">
        <f ca="1">IFERROR(__xludf.DUMMYFUNCTION("""COMPUTED_VALUE"""),"LeBlanc")</f>
        <v>LeBlanc</v>
      </c>
      <c r="B66" s="287" t="str">
        <f ca="1">IFERROR(__xludf.DUMMYFUNCTION("""COMPUTED_VALUE"""),"=598")</f>
        <v>=598</v>
      </c>
      <c r="C66" s="287" t="str">
        <f ca="1">IFERROR(__xludf.DUMMYFUNCTION("""COMPUTED_VALUE"""),"=111")</f>
        <v>=111</v>
      </c>
      <c r="D66" s="288" t="str">
        <f ca="1">IFERROR(__xludf.DUMMYFUNCTION("""COMPUTED_VALUE"""),"=7,5")</f>
        <v>=7,5</v>
      </c>
      <c r="E66" s="289" t="str">
        <f ca="1">IFERROR(__xludf.DUMMYFUNCTION("""COMPUTED_VALUE"""),"=0,55")</f>
        <v>=0,55</v>
      </c>
      <c r="F66" s="288" t="str">
        <f ca="1">IFERROR(__xludf.DUMMYFUNCTION("""COMPUTED_VALUE"""),"=400")</f>
        <v>=400</v>
      </c>
      <c r="G66" s="288" t="str">
        <f ca="1">IFERROR(__xludf.DUMMYFUNCTION("""COMPUTED_VALUE"""),"=55")</f>
        <v>=55</v>
      </c>
      <c r="H66" s="288" t="str">
        <f ca="1">IFERROR(__xludf.DUMMYFUNCTION("""COMPUTED_VALUE"""),"=8")</f>
        <v>=8</v>
      </c>
      <c r="I66" s="289" t="str">
        <f ca="1">IFERROR(__xludf.DUMMYFUNCTION("""COMPUTED_VALUE"""),"=1")</f>
        <v>=1</v>
      </c>
      <c r="J66" s="290" t="str">
        <f ca="1">IFERROR(__xludf.DUMMYFUNCTION("""COMPUTED_VALUE"""),"=55")</f>
        <v>=55</v>
      </c>
      <c r="K66" s="288" t="str">
        <f ca="1">IFERROR(__xludf.DUMMYFUNCTION("""COMPUTED_VALUE"""),"=3,5")</f>
        <v>=3,5</v>
      </c>
      <c r="L66" s="291" t="str">
        <f ca="1">IFERROR(__xludf.DUMMYFUNCTION("""COMPUTED_VALUE"""),"=0,625")</f>
        <v>=0,625</v>
      </c>
      <c r="M66" s="291" t="str">
        <f ca="1">IFERROR(__xludf.DUMMYFUNCTION("""COMPUTED_VALUE"""),"=0,625")</f>
        <v>=0,625</v>
      </c>
      <c r="N66" s="292" t="str">
        <f ca="1">IFERROR(__xludf.DUMMYFUNCTION("""COMPUTED_VALUE"""),"=1,4%")</f>
        <v>=1,4%</v>
      </c>
      <c r="O66" s="287" t="str">
        <f ca="1">IFERROR(__xludf.DUMMYFUNCTION("""COMPUTED_VALUE"""),"=22")</f>
        <v>=22</v>
      </c>
      <c r="P66" s="287" t="str">
        <f ca="1">IFERROR(__xludf.DUMMYFUNCTION("""COMPUTED_VALUE"""),"=4,7")</f>
        <v>=4,7</v>
      </c>
      <c r="Q66" s="288" t="str">
        <f ca="1">IFERROR(__xludf.DUMMYFUNCTION("""COMPUTED_VALUE"""),"=30")</f>
        <v>=30</v>
      </c>
      <c r="R66" s="289" t="str">
        <f ca="1">IFERROR(__xludf.DUMMYFUNCTION("""COMPUTED_VALUE"""),"=1,3")</f>
        <v>=1,3</v>
      </c>
      <c r="S66" s="287" t="str">
        <f ca="1">IFERROR(__xludf.DUMMYFUNCTION("""COMPUTED_VALUE"""),"=340")</f>
        <v>=340</v>
      </c>
      <c r="T66" s="628" t="str">
        <f ca="1">IFERROR(__xludf.DUMMYFUNCTION("""COMPUTED_VALUE"""),"=525")</f>
        <v>=525</v>
      </c>
      <c r="U66" s="295" t="str">
        <f ca="1">IFERROR(__xludf.DUMMYFUNCTION("""COMPUTED_VALUE"""),"=IF(Steroid_Q; (1,2 * Self_AP + 210 * P_R) * MOD_Magic;(50 * P_Q + 80 + 0,8 * Self_AP) * MOD_Magic)")</f>
        <v>=IF(Steroid_Q; (1,2 * Self_AP + 210 * P_R) * MOD_Magic;(50 * P_Q + 80 + 0,8 * Self_AP) * MOD_Magic)</v>
      </c>
      <c r="V66" s="296" t="str">
        <f ca="1">IFERROR(__xludf.DUMMYFUNCTION("""COMPUTED_VALUE"""),"=IF(Steroid_W; (150 * P_R + 0,75 * Self_AP) * MOD_Magic; (40 * P_W + 35 + 0,6 * Self_AP) * MOD_Magic)")</f>
        <v>=IF(Steroid_W; (150 * P_R + 0,75 * Self_AP) * MOD_Magic; (40 * P_W + 35 + 0,6 * Self_AP) * MOD_Magic)</v>
      </c>
      <c r="W66" s="296" t="str">
        <f ca="1">IFERROR(__xludf.DUMMYFUNCTION("""COMPUTED_VALUE"""),"=IF(Steroid_E; (1,2 * Self_AP + 210 * P_R) * MOD_Magic; (60 * P_E + 70 + Self_AP) * MOD_Magic)")</f>
        <v>=IF(Steroid_E; (1,2 * Self_AP + 210 * P_R) * MOD_Magic; (60 * P_E + 70 + Self_AP) * MOD_Magic)</v>
      </c>
      <c r="X66" s="296" t="str">
        <f ca="1">IFERROR(__xludf.DUMMYFUNCTION("""COMPUTED_VALUE"""),"=0")</f>
        <v>=0</v>
      </c>
      <c r="Y66" s="297" t="str">
        <f ca="1">IFERROR(__xludf.DUMMYFUNCTION("""COMPUTED_VALUE"""),"=0")</f>
        <v>=0</v>
      </c>
      <c r="Z66" s="281" t="str">
        <f ca="1">IFERROR(__xludf.DUMMYFUNCTION("""COMPUTED_VALUE"""),"=6")</f>
        <v>=6</v>
      </c>
      <c r="AA66" s="282" t="str">
        <f ca="1">IFERROR(__xludf.DUMMYFUNCTION("""COMPUTED_VALUE"""),"=20-2*P_W")</f>
        <v>=20-2*P_W</v>
      </c>
      <c r="AB66" s="282" t="str">
        <f ca="1">IFERROR(__xludf.DUMMYFUNCTION("""COMPUTED_VALUE"""),"=14,75-0,75*P_E")</f>
        <v>=14,75-0,75*P_E</v>
      </c>
      <c r="AC66" s="282" t="str">
        <f ca="1">IFERROR(__xludf.DUMMYFUNCTION("""COMPUTED_VALUE"""),"=60 - 10 * P_R")</f>
        <v>=60 - 10 * P_R</v>
      </c>
      <c r="AD66" s="283" t="str">
        <f ca="1">IFERROR(__xludf.DUMMYFUNCTION("""COMPUTED_VALUE"""),"=1")</f>
        <v>=1</v>
      </c>
      <c r="AE66" s="281" t="b">
        <f ca="1">IFERROR(__xludf.DUMMYFUNCTION("""COMPUTED_VALUE"""),FALSE)</f>
        <v>0</v>
      </c>
      <c r="AF66" s="282" t="str">
        <f ca="1">IFERROR(__xludf.DUMMYFUNCTION("""COMPUTED_VALUE"""),"=Image(""https://ddragon.leagueoflegends.com/cdn/11.19.1/img/champion/Leblanc.png"")")</f>
        <v>=Image("https://ddragon.leagueoflegends.com/cdn/11.19.1/img/champion/Leblanc.png")</v>
      </c>
      <c r="AG66" s="282" t="str">
        <f ca="1">IFERROR(__xludf.DUMMYFUNCTION("""COMPUTED_VALUE"""),"=IF(OR(REGEXMATCH(FORMULATEXT(U66);""HMOD"");NOT(P_Q&gt;0));0;U66)+IF(OR(REGEXMATCH(FORMULATEXT(V66);""HMOD"");NOT(P_W&gt;0));0;V66)+IF(OR(REGEXMATCH(FORMULATEXT(W66);""HMOD"");NOT(P_E&gt;0));0;W66)+IF(OR(REGEXMATCH(FORMULATEXT(X66);""HMOD"");NOT(P_R&gt;0));0;X66)+IF"&amp;"(REGEXMATCH(FORMULATEXT(Y66);""HMOD"");0;Y66)+Self_Proc_Item+Self_Proc_Summ+Self_Proc_Rune+3*Self_DPS")</f>
        <v>=IF(OR(REGEXMATCH(FORMULATEXT(U66);"HMOD");NOT(P_Q&gt;0));0;U66)+IF(OR(REGEXMATCH(FORMULATEXT(V66);"HMOD");NOT(P_W&gt;0));0;V66)+IF(OR(REGEXMATCH(FORMULATEXT(W66);"HMOD");NOT(P_E&gt;0));0;W66)+IF(OR(REGEXMATCH(FORMULATEXT(X66);"HMOD");NOT(P_R&gt;0));0;X66)+IF(REGEXMATCH(FORMULATEXT(Y66);"HMOD");0;Y66)+Self_Proc_Item+Self_Proc_Summ+Self_Proc_Rune+3*Self_DPS</v>
      </c>
      <c r="AH66" s="282" t="str">
        <f ca="1">IFERROR(__xludf.DUMMYFUNCTION("""COMPUTED_VALUE"""),"=0")</f>
        <v>=0</v>
      </c>
      <c r="AI66" s="282" t="b">
        <f ca="1">IFERROR(__xludf.DUMMYFUNCTION("""COMPUTED_VALUE"""),FALSE)</f>
        <v>0</v>
      </c>
      <c r="AJ66" s="283" t="b">
        <f ca="1">IFERROR(__xludf.DUMMYFUNCTION("""COMPUTED_VALUE"""),FALSE)</f>
        <v>0</v>
      </c>
    </row>
    <row r="67" spans="1:36">
      <c r="A67" s="301" t="str">
        <f ca="1">IFERROR(__xludf.DUMMYFUNCTION("""COMPUTED_VALUE"""),"Lee Sin")</f>
        <v>Lee Sin</v>
      </c>
      <c r="B67" s="282" t="str">
        <f ca="1">IFERROR(__xludf.DUMMYFUNCTION("""COMPUTED_VALUE"""),"=645")</f>
        <v>=645</v>
      </c>
      <c r="C67" s="282" t="str">
        <f ca="1">IFERROR(__xludf.DUMMYFUNCTION("""COMPUTED_VALUE"""),"=105")</f>
        <v>=105</v>
      </c>
      <c r="D67" s="282" t="str">
        <f ca="1">IFERROR(__xludf.DUMMYFUNCTION("""COMPUTED_VALUE"""),"=7,5")</f>
        <v>=7,5</v>
      </c>
      <c r="E67" s="302" t="str">
        <f ca="1">IFERROR(__xludf.DUMMYFUNCTION("""COMPUTED_VALUE"""),"=0,7")</f>
        <v>=0,7</v>
      </c>
      <c r="F67" s="282" t="str">
        <f ca="1">IFERROR(__xludf.DUMMYFUNCTION("""COMPUTED_VALUE"""),"=200")</f>
        <v>=200</v>
      </c>
      <c r="G67" s="282" t="str">
        <f ca="1">IFERROR(__xludf.DUMMYFUNCTION("""COMPUTED_VALUE"""),"=0")</f>
        <v>=0</v>
      </c>
      <c r="H67" s="282" t="str">
        <f ca="1">IFERROR(__xludf.DUMMYFUNCTION("""COMPUTED_VALUE"""),"=50")</f>
        <v>=50</v>
      </c>
      <c r="I67" s="302" t="str">
        <f ca="1">IFERROR(__xludf.DUMMYFUNCTION("""COMPUTED_VALUE"""),"=0")</f>
        <v>=0</v>
      </c>
      <c r="J67" s="303" t="str">
        <f ca="1">IFERROR(__xludf.DUMMYFUNCTION("""COMPUTED_VALUE"""),"=66")</f>
        <v>=66</v>
      </c>
      <c r="K67" s="282" t="str">
        <f ca="1">IFERROR(__xludf.DUMMYFUNCTION("""COMPUTED_VALUE"""),"=3,7")</f>
        <v>=3,7</v>
      </c>
      <c r="L67" s="304" t="str">
        <f ca="1">IFERROR(__xludf.DUMMYFUNCTION("""COMPUTED_VALUE"""),"=0,651")</f>
        <v>=0,651</v>
      </c>
      <c r="M67" s="304" t="str">
        <f ca="1">IFERROR(__xludf.DUMMYFUNCTION("""COMPUTED_VALUE"""),"=0,651")</f>
        <v>=0,651</v>
      </c>
      <c r="N67" s="305" t="str">
        <f ca="1">IFERROR(__xludf.DUMMYFUNCTION("""COMPUTED_VALUE"""),"=3%")</f>
        <v>=3%</v>
      </c>
      <c r="O67" s="282" t="str">
        <f ca="1">IFERROR(__xludf.DUMMYFUNCTION("""COMPUTED_VALUE"""),"=34")</f>
        <v>=34</v>
      </c>
      <c r="P67" s="282" t="str">
        <f ca="1">IFERROR(__xludf.DUMMYFUNCTION("""COMPUTED_VALUE"""),"=4,9")</f>
        <v>=4,9</v>
      </c>
      <c r="Q67" s="282" t="str">
        <f ca="1">IFERROR(__xludf.DUMMYFUNCTION("""COMPUTED_VALUE"""),"=32")</f>
        <v>=32</v>
      </c>
      <c r="R67" s="302" t="str">
        <f ca="1">IFERROR(__xludf.DUMMYFUNCTION("""COMPUTED_VALUE"""),"=2,05")</f>
        <v>=2,05</v>
      </c>
      <c r="S67" s="282" t="str">
        <f ca="1">IFERROR(__xludf.DUMMYFUNCTION("""COMPUTED_VALUE"""),"=345")</f>
        <v>=345</v>
      </c>
      <c r="T67" s="283" t="str">
        <f ca="1">IFERROR(__xludf.DUMMYFUNCTION("""COMPUTED_VALUE"""),"=125")</f>
        <v>=125</v>
      </c>
      <c r="U67" s="298" t="str">
        <f ca="1">IFERROR(__xludf.DUMMYFUNCTION("""COMPUTED_VALUE"""),"=(60 + 50 * P_Q + 2,2 * Self_BoAD) * MOD_Phys * (1 + 0,5 * (1 - E_CHP / 100))")</f>
        <v>=(60 + 50 * P_Q + 2,2 * Self_BoAD) * MOD_Phys * (1 + 0,5 * (1 - E_CHP / 100))</v>
      </c>
      <c r="V67" s="299" t="str">
        <f ca="1">IFERROR(__xludf.DUMMYFUNCTION("""COMPUTED_VALUE"""),"=(50 * P_W + 0,8 * Self_AP)")</f>
        <v>=(50 * P_W + 0,8 * Self_AP)</v>
      </c>
      <c r="W67" s="299" t="str">
        <f ca="1">IFERROR(__xludf.DUMMYFUNCTION("""COMPUTED_VALUE"""),"=(5 + 30 * P_E + Self_AD) * MOD_Magic")</f>
        <v>=(5 + 30 * P_E + Self_AD) * MOD_Magic</v>
      </c>
      <c r="X67" s="299" t="str">
        <f ca="1">IFERROR(__xludf.DUMMYFUNCTION("""COMPUTED_VALUE"""),"=(225*P_R+2*Self_BoAD-50)*MOD_Phys")</f>
        <v>=(225*P_R+2*Self_BoAD-50)*MOD_Phys</v>
      </c>
      <c r="Y67" s="300" t="str">
        <f ca="1">IFERROR(__xludf.DUMMYFUNCTION("""COMPUTED_VALUE"""),"=0")</f>
        <v>=0</v>
      </c>
      <c r="Z67" s="281" t="str">
        <f ca="1">IFERROR(__xludf.DUMMYFUNCTION("""COMPUTED_VALUE"""),"=11-P_Q")</f>
        <v>=11-P_Q</v>
      </c>
      <c r="AA67" s="282" t="str">
        <f ca="1">IFERROR(__xludf.DUMMYFUNCTION("""COMPUTED_VALUE"""),"=12")</f>
        <v>=12</v>
      </c>
      <c r="AB67" s="282" t="str">
        <f ca="1">IFERROR(__xludf.DUMMYFUNCTION("""COMPUTED_VALUE"""),"=9")</f>
        <v>=9</v>
      </c>
      <c r="AC67" s="282" t="str">
        <f ca="1">IFERROR(__xludf.DUMMYFUNCTION("""COMPUTED_VALUE"""),"=135-25*P_R")</f>
        <v>=135-25*P_R</v>
      </c>
      <c r="AD67" s="283" t="str">
        <f ca="1">IFERROR(__xludf.DUMMYFUNCTION("""COMPUTED_VALUE"""),"=1")</f>
        <v>=1</v>
      </c>
      <c r="AE67" s="281" t="b">
        <f ca="1">IFERROR(__xludf.DUMMYFUNCTION("""COMPUTED_VALUE"""),TRUE)</f>
        <v>1</v>
      </c>
      <c r="AF67" s="282" t="str">
        <f ca="1">IFERROR(__xludf.DUMMYFUNCTION("""COMPUTED_VALUE"""),"=Image(""https://ddragon.leagueoflegends.com/cdn/11.19.1/img/champion/LeeSin.png"")")</f>
        <v>=Image("https://ddragon.leagueoflegends.com/cdn/11.19.1/img/champion/LeeSin.png")</v>
      </c>
      <c r="AG67" s="282" t="str">
        <f ca="1">IFERROR(__xludf.DUMMYFUNCTION("""COMPUTED_VALUE"""),"=IF(OR(REGEXMATCH(FORMULATEXT(U67);""HMOD"");NOT(P_Q&gt;0));0;U67)+IF(OR(REGEXMATCH(FORMULATEXT(V67);""HMOD"");NOT(P_W&gt;0));0;V67)+IF(OR(REGEXMATCH(FORMULATEXT(W67);""HMOD"");NOT(P_E&gt;0));0;W67)+IF(OR(REGEXMATCH(FORMULATEXT(X67);""HMOD"");NOT(P_R&gt;0));0;X67)+IF"&amp;"(REGEXMATCH(FORMULATEXT(Y67);""HMOD"");0;Y67)+Self_Proc_Item+Self_Proc_Summ+Self_Proc_Rune+3*Self_DPS")</f>
        <v>=IF(OR(REGEXMATCH(FORMULATEXT(U67);"HMOD");NOT(P_Q&gt;0));0;U67)+IF(OR(REGEXMATCH(FORMULATEXT(V67);"HMOD");NOT(P_W&gt;0));0;V67)+IF(OR(REGEXMATCH(FORMULATEXT(W67);"HMOD");NOT(P_E&gt;0));0;W67)+IF(OR(REGEXMATCH(FORMULATEXT(X67);"HMOD");NOT(P_R&gt;0));0;X67)+IF(REGEXMATCH(FORMULATEXT(Y67);"HMOD");0;Y67)+Self_Proc_Item+Self_Proc_Summ+Self_Proc_Rune+3*Self_DPS</v>
      </c>
      <c r="AH67" s="282" t="str">
        <f ca="1">IFERROR(__xludf.DUMMYFUNCTION("""COMPUTED_VALUE"""),"=0")</f>
        <v>=0</v>
      </c>
      <c r="AI67" s="282" t="b">
        <f ca="1">IFERROR(__xludf.DUMMYFUNCTION("""COMPUTED_VALUE"""),TRUE)</f>
        <v>1</v>
      </c>
      <c r="AJ67" s="283" t="b">
        <f ca="1">IFERROR(__xludf.DUMMYFUNCTION("""COMPUTED_VALUE"""),FALSE)</f>
        <v>0</v>
      </c>
    </row>
    <row r="68" spans="1:36">
      <c r="A68" s="267" t="str">
        <f ca="1">IFERROR(__xludf.DUMMYFUNCTION("""COMPUTED_VALUE"""),"Leona")</f>
        <v>Leona</v>
      </c>
      <c r="B68" s="287" t="str">
        <f ca="1">IFERROR(__xludf.DUMMYFUNCTION("""COMPUTED_VALUE"""),"=646")</f>
        <v>=646</v>
      </c>
      <c r="C68" s="287" t="str">
        <f ca="1">IFERROR(__xludf.DUMMYFUNCTION("""COMPUTED_VALUE"""),"=101")</f>
        <v>=101</v>
      </c>
      <c r="D68" s="288" t="str">
        <f ca="1">IFERROR(__xludf.DUMMYFUNCTION("""COMPUTED_VALUE"""),"=8,5")</f>
        <v>=8,5</v>
      </c>
      <c r="E68" s="289" t="str">
        <f ca="1">IFERROR(__xludf.DUMMYFUNCTION("""COMPUTED_VALUE"""),"=0,85")</f>
        <v>=0,85</v>
      </c>
      <c r="F68" s="288" t="str">
        <f ca="1">IFERROR(__xludf.DUMMYFUNCTION("""COMPUTED_VALUE"""),"=302")</f>
        <v>=302</v>
      </c>
      <c r="G68" s="288" t="str">
        <f ca="1">IFERROR(__xludf.DUMMYFUNCTION("""COMPUTED_VALUE"""),"=40")</f>
        <v>=40</v>
      </c>
      <c r="H68" s="288" t="str">
        <f ca="1">IFERROR(__xludf.DUMMYFUNCTION("""COMPUTED_VALUE"""),"=6")</f>
        <v>=6</v>
      </c>
      <c r="I68" s="289" t="str">
        <f ca="1">IFERROR(__xludf.DUMMYFUNCTION("""COMPUTED_VALUE"""),"=0,8")</f>
        <v>=0,8</v>
      </c>
      <c r="J68" s="290" t="str">
        <f ca="1">IFERROR(__xludf.DUMMYFUNCTION("""COMPUTED_VALUE"""),"=60")</f>
        <v>=60</v>
      </c>
      <c r="K68" s="288" t="str">
        <f ca="1">IFERROR(__xludf.DUMMYFUNCTION("""COMPUTED_VALUE"""),"=3")</f>
        <v>=3</v>
      </c>
      <c r="L68" s="291" t="str">
        <f ca="1">IFERROR(__xludf.DUMMYFUNCTION("""COMPUTED_VALUE"""),"=0,625")</f>
        <v>=0,625</v>
      </c>
      <c r="M68" s="291" t="str">
        <f ca="1">IFERROR(__xludf.DUMMYFUNCTION("""COMPUTED_VALUE"""),"=0,625")</f>
        <v>=0,625</v>
      </c>
      <c r="N68" s="292" t="str">
        <f ca="1">IFERROR(__xludf.DUMMYFUNCTION("""COMPUTED_VALUE"""),"=2,9%")</f>
        <v>=2,9%</v>
      </c>
      <c r="O68" s="287" t="str">
        <f ca="1">IFERROR(__xludf.DUMMYFUNCTION("""COMPUTED_VALUE"""),"=47")</f>
        <v>=47</v>
      </c>
      <c r="P68" s="287" t="str">
        <f ca="1">IFERROR(__xludf.DUMMYFUNCTION("""COMPUTED_VALUE"""),"=4,8")</f>
        <v>=4,8</v>
      </c>
      <c r="Q68" s="288" t="str">
        <f ca="1">IFERROR(__xludf.DUMMYFUNCTION("""COMPUTED_VALUE"""),"=32")</f>
        <v>=32</v>
      </c>
      <c r="R68" s="289" t="str">
        <f ca="1">IFERROR(__xludf.DUMMYFUNCTION("""COMPUTED_VALUE"""),"=2,05")</f>
        <v>=2,05</v>
      </c>
      <c r="S68" s="287" t="str">
        <f ca="1">IFERROR(__xludf.DUMMYFUNCTION("""COMPUTED_VALUE"""),"=335")</f>
        <v>=335</v>
      </c>
      <c r="T68" s="628" t="str">
        <f ca="1">IFERROR(__xludf.DUMMYFUNCTION("""COMPUTED_VALUE"""),"=125")</f>
        <v>=125</v>
      </c>
      <c r="U68" s="295" t="str">
        <f ca="1">IFERROR(__xludf.DUMMYFUNCTION("""COMPUTED_VALUE"""),"=(-15+25*P_Q+0,3*Self_AP)*MOD_Magic")</f>
        <v>=(-15+25*P_Q+0,3*Self_AP)*MOD_Magic</v>
      </c>
      <c r="V68" s="296" t="str">
        <f ca="1">IFERROR(__xludf.DUMMYFUNCTION("""COMPUTED_VALUE"""),"=(20 + 35 * P_W + 0,4 * Self_AP) * MOD_Magic")</f>
        <v>=(20 + 35 * P_W + 0,4 * Self_AP) * MOD_Magic</v>
      </c>
      <c r="W68" s="296" t="str">
        <f ca="1">IFERROR(__xludf.DUMMYFUNCTION("""COMPUTED_VALUE"""),"=(10+40*P_E+0,4*Self_AP)*MOD_Magic")</f>
        <v>=(10+40*P_E+0,4*Self_AP)*MOD_Magic</v>
      </c>
      <c r="X68" s="296" t="str">
        <f ca="1">IFERROR(__xludf.DUMMYFUNCTION("""COMPUTED_VALUE"""),"=(25+75*P_R+0,8*Self_AP)*MOD_Magic")</f>
        <v>=(25+75*P_R+0,8*Self_AP)*MOD_Magic</v>
      </c>
      <c r="Y68" s="297" t="str">
        <f ca="1">IFERROR(__xludf.DUMMYFUNCTION("""COMPUTED_VALUE"""),"=(32 + 136 * Sc_Lin)*MOD_Magic")</f>
        <v>=(32 + 136 * Sc_Lin)*MOD_Magic</v>
      </c>
      <c r="Z68" s="281" t="str">
        <f ca="1">IFERROR(__xludf.DUMMYFUNCTION("""COMPUTED_VALUE"""),"=5")</f>
        <v>=5</v>
      </c>
      <c r="AA68" s="282" t="str">
        <f ca="1">IFERROR(__xludf.DUMMYFUNCTION("""COMPUTED_VALUE"""),"=15-P_W")</f>
        <v>=15-P_W</v>
      </c>
      <c r="AB68" s="282" t="str">
        <f ca="1">IFERROR(__xludf.DUMMYFUNCTION("""COMPUTED_VALUE"""),"=13,5-1,5*P_E")</f>
        <v>=13,5-1,5*P_E</v>
      </c>
      <c r="AC68" s="282" t="str">
        <f ca="1">IFERROR(__xludf.DUMMYFUNCTION("""COMPUTED_VALUE"""),"=105-15*P_R")</f>
        <v>=105-15*P_R</v>
      </c>
      <c r="AD68" s="283" t="str">
        <f ca="1">IFERROR(__xludf.DUMMYFUNCTION("""COMPUTED_VALUE"""),"=1")</f>
        <v>=1</v>
      </c>
      <c r="AE68" s="281" t="b">
        <f ca="1">IFERROR(__xludf.DUMMYFUNCTION("""COMPUTED_VALUE"""),TRUE)</f>
        <v>1</v>
      </c>
      <c r="AF68" s="282" t="str">
        <f ca="1">IFERROR(__xludf.DUMMYFUNCTION("""COMPUTED_VALUE"""),"=Image(""https://ddragon.leagueoflegends.com/cdn/11.19.1/img/champion/Leona.png"")")</f>
        <v>=Image("https://ddragon.leagueoflegends.com/cdn/11.19.1/img/champion/Leona.png")</v>
      </c>
      <c r="AG68" s="282" t="str">
        <f ca="1">IFERROR(__xludf.DUMMYFUNCTION("""COMPUTED_VALUE"""),"=IF(OR(REGEXMATCH(FORMULATEXT(U68);""HMOD"");NOT(P_Q&gt;0));0;U68)+IF(OR(REGEXMATCH(FORMULATEXT(V68);""HMOD"");NOT(P_W&gt;0));0;V68)+IF(OR(REGEXMATCH(FORMULATEXT(W68);""HMOD"");NOT(P_E&gt;0));0;W68)+IF(OR(REGEXMATCH(FORMULATEXT(X68);""HMOD"");NOT(P_R&gt;0));0;X68)+IF"&amp;"(REGEXMATCH(FORMULATEXT(Y68);""HMOD"");0;Y68)+Self_Proc_Item+Self_Proc_Summ+Self_Proc_Rune+3*Self_DPS")</f>
        <v>=IF(OR(REGEXMATCH(FORMULATEXT(U68);"HMOD");NOT(P_Q&gt;0));0;U68)+IF(OR(REGEXMATCH(FORMULATEXT(V68);"HMOD");NOT(P_W&gt;0));0;V68)+IF(OR(REGEXMATCH(FORMULATEXT(W68);"HMOD");NOT(P_E&gt;0));0;W68)+IF(OR(REGEXMATCH(FORMULATEXT(X68);"HMOD");NOT(P_R&gt;0));0;X68)+IF(REGEXMATCH(FORMULATEXT(Y68);"HMOD");0;Y68)+Self_Proc_Item+Self_Proc_Summ+Self_Proc_Rune+3*Self_DPS</v>
      </c>
      <c r="AH68" s="282" t="str">
        <f ca="1">IFERROR(__xludf.DUMMYFUNCTION("""COMPUTED_VALUE"""),"=0")</f>
        <v>=0</v>
      </c>
      <c r="AI68" s="282" t="b">
        <f ca="1">IFERROR(__xludf.DUMMYFUNCTION("""COMPUTED_VALUE"""),FALSE)</f>
        <v>0</v>
      </c>
      <c r="AJ68" s="283" t="b">
        <f ca="1">IFERROR(__xludf.DUMMYFUNCTION("""COMPUTED_VALUE"""),FALSE)</f>
        <v>0</v>
      </c>
    </row>
    <row r="69" spans="1:36">
      <c r="A69" s="267" t="str">
        <f ca="1">IFERROR(__xludf.DUMMYFUNCTION("""COMPUTED_VALUE"""),"Lillia")</f>
        <v>Lillia</v>
      </c>
      <c r="B69" s="287" t="str">
        <f ca="1">IFERROR(__xludf.DUMMYFUNCTION("""COMPUTED_VALUE"""),"=605")</f>
        <v>=605</v>
      </c>
      <c r="C69" s="287" t="str">
        <f ca="1">IFERROR(__xludf.DUMMYFUNCTION("""COMPUTED_VALUE"""),"=105")</f>
        <v>=105</v>
      </c>
      <c r="D69" s="288" t="str">
        <f ca="1">IFERROR(__xludf.DUMMYFUNCTION("""COMPUTED_VALUE"""),"=2,5")</f>
        <v>=2,5</v>
      </c>
      <c r="E69" s="289" t="str">
        <f ca="1">IFERROR(__xludf.DUMMYFUNCTION("""COMPUTED_VALUE"""),"=0,55")</f>
        <v>=0,55</v>
      </c>
      <c r="F69" s="288" t="str">
        <f ca="1">IFERROR(__xludf.DUMMYFUNCTION("""COMPUTED_VALUE"""),"=410")</f>
        <v>=410</v>
      </c>
      <c r="G69" s="288" t="str">
        <f ca="1">IFERROR(__xludf.DUMMYFUNCTION("""COMPUTED_VALUE"""),"=50")</f>
        <v>=50</v>
      </c>
      <c r="H69" s="288" t="str">
        <f ca="1">IFERROR(__xludf.DUMMYFUNCTION("""COMPUTED_VALUE"""),"=8")</f>
        <v>=8</v>
      </c>
      <c r="I69" s="289" t="str">
        <f ca="1">IFERROR(__xludf.DUMMYFUNCTION("""COMPUTED_VALUE"""),"=0,5")</f>
        <v>=0,5</v>
      </c>
      <c r="J69" s="290" t="str">
        <f ca="1">IFERROR(__xludf.DUMMYFUNCTION("""COMPUTED_VALUE"""),"=61")</f>
        <v>=61</v>
      </c>
      <c r="K69" s="288" t="str">
        <f ca="1">IFERROR(__xludf.DUMMYFUNCTION("""COMPUTED_VALUE"""),"=3,1")</f>
        <v>=3,1</v>
      </c>
      <c r="L69" s="291" t="str">
        <f ca="1">IFERROR(__xludf.DUMMYFUNCTION("""COMPUTED_VALUE"""),"=0,625")</f>
        <v>=0,625</v>
      </c>
      <c r="M69" s="291" t="str">
        <f ca="1">IFERROR(__xludf.DUMMYFUNCTION("""COMPUTED_VALUE"""),"=0,625")</f>
        <v>=0,625</v>
      </c>
      <c r="N69" s="292" t="str">
        <f ca="1">IFERROR(__xludf.DUMMYFUNCTION("""COMPUTED_VALUE"""),"=2,7%")</f>
        <v>=2,7%</v>
      </c>
      <c r="O69" s="287" t="str">
        <f ca="1">IFERROR(__xludf.DUMMYFUNCTION("""COMPUTED_VALUE"""),"=22")</f>
        <v>=22</v>
      </c>
      <c r="P69" s="287" t="str">
        <f ca="1">IFERROR(__xludf.DUMMYFUNCTION("""COMPUTED_VALUE"""),"=5,2")</f>
        <v>=5,2</v>
      </c>
      <c r="Q69" s="288" t="str">
        <f ca="1">IFERROR(__xludf.DUMMYFUNCTION("""COMPUTED_VALUE"""),"=32")</f>
        <v>=32</v>
      </c>
      <c r="R69" s="289" t="str">
        <f ca="1">IFERROR(__xludf.DUMMYFUNCTION("""COMPUTED_VALUE"""),"=1,55")</f>
        <v>=1,55</v>
      </c>
      <c r="S69" s="287" t="str">
        <f ca="1">IFERROR(__xludf.DUMMYFUNCTION("""COMPUTED_VALUE"""),"=330")</f>
        <v>=330</v>
      </c>
      <c r="T69" s="628" t="str">
        <f ca="1">IFERROR(__xludf.DUMMYFUNCTION("""COMPUTED_VALUE"""),"=325")</f>
        <v>=325</v>
      </c>
      <c r="U69" s="298" t="str">
        <f ca="1">IFERROR(__xludf.DUMMYFUNCTION("""COMPUTED_VALUE"""),"=(25 + 10 * P_Q + 0,45 * Self_AP) * (MOD_Magic + IF(Steroid_Q;Calc!O10;0))")</f>
        <v>=(25 + 10 * P_Q + 0,45 * Self_AP) * (MOD_Magic + IF(Steroid_Q;Calc!O10;0))</v>
      </c>
      <c r="V69" s="299" t="str">
        <f ca="1">IFERROR(__xludf.DUMMYFUNCTION("""COMPUTED_VALUE"""),"=(60 + 20 * P_W + 0,35 * Self_AP) * MOD_Magic * IF(Steroid_W; 3; 1)")</f>
        <v>=(60 + 20 * P_W + 0,35 * Self_AP) * MOD_Magic * IF(Steroid_W; 3; 1)</v>
      </c>
      <c r="W69" s="299" t="str">
        <f ca="1">IFERROR(__xludf.DUMMYFUNCTION("""COMPUTED_VALUE"""),"=(45 + 25 * P_E + 0,6 * Self_AP) * MOD_Magic")</f>
        <v>=(45 + 25 * P_E + 0,6 * Self_AP) * MOD_Magic</v>
      </c>
      <c r="X69" s="299" t="str">
        <f ca="1">IFERROR(__xludf.DUMMYFUNCTION("""COMPUTED_VALUE"""),"=(50 + 50 * P_R + 0,4 * Self_AP) * MOD_Magic")</f>
        <v>=(50 + 50 * P_R + 0,4 * Self_AP) * MOD_Magic</v>
      </c>
      <c r="Y69" s="300" t="str">
        <f ca="1">IFERROR(__xludf.DUMMYFUNCTION("""COMPUTED_VALUE"""),"=(0,05 + 0,00015 * Self_AP)* E_MHP * MOD_Magic")</f>
        <v>=(0,05 + 0,00015 * Self_AP)* E_MHP * MOD_Magic</v>
      </c>
      <c r="Z69" s="281" t="str">
        <f ca="1">IFERROR(__xludf.DUMMYFUNCTION("""COMPUTED_VALUE"""),"=6,5 - 0,5 * P_Q")</f>
        <v>=6,5 - 0,5 * P_Q</v>
      </c>
      <c r="AA69" s="282" t="str">
        <f ca="1">IFERROR(__xludf.DUMMYFUNCTION("""COMPUTED_VALUE"""),"=15-P_W")</f>
        <v>=15-P_W</v>
      </c>
      <c r="AB69" s="282" t="str">
        <f ca="1">IFERROR(__xludf.DUMMYFUNCTION("""COMPUTED_VALUE"""),"=16,5 - 0,5 * P_E")</f>
        <v>=16,5 - 0,5 * P_E</v>
      </c>
      <c r="AC69" s="282" t="str">
        <f ca="1">IFERROR(__xludf.DUMMYFUNCTION("""COMPUTED_VALUE"""),"=170-20*P_R")</f>
        <v>=170-20*P_R</v>
      </c>
      <c r="AD69" s="283" t="str">
        <f ca="1">IFERROR(__xludf.DUMMYFUNCTION("""COMPUTED_VALUE"""),"=1")</f>
        <v>=1</v>
      </c>
      <c r="AE69" s="281" t="b">
        <f ca="1">IFERROR(__xludf.DUMMYFUNCTION("""COMPUTED_VALUE"""),TRUE)</f>
        <v>1</v>
      </c>
      <c r="AF69" s="282" t="str">
        <f ca="1">IFERROR(__xludf.DUMMYFUNCTION("""COMPUTED_VALUE"""),"=Image(""https://ddragon.leagueoflegends.com/cdn/11.19.1/img/champion/Lillia.png"")")</f>
        <v>=Image("https://ddragon.leagueoflegends.com/cdn/11.19.1/img/champion/Lillia.png")</v>
      </c>
      <c r="AG69" s="282" t="str">
        <f ca="1">IFERROR(__xludf.DUMMYFUNCTION("""COMPUTED_VALUE"""),"=IF(OR(REGEXMATCH(FORMULATEXT(U69);""HMOD"");NOT(P_Q&gt;0));0;U69)+IF(OR(REGEXMATCH(FORMULATEXT(V69);""HMOD"");NOT(P_W&gt;0));0;V69)+IF(OR(REGEXMATCH(FORMULATEXT(W69);""HMOD"");NOT(P_E&gt;0));0;W69)+IF(OR(REGEXMATCH(FORMULATEXT(X69);""HMOD"");NOT(P_R&gt;0));0;X69)+IF"&amp;"(REGEXMATCH(FORMULATEXT(Y69);""HMOD"");0;Y69)+Self_Proc_Item+Self_Proc_Summ+Self_Proc_Rune+3*Self_DPS")</f>
        <v>=IF(OR(REGEXMATCH(FORMULATEXT(U69);"HMOD");NOT(P_Q&gt;0));0;U69)+IF(OR(REGEXMATCH(FORMULATEXT(V69);"HMOD");NOT(P_W&gt;0));0;V69)+IF(OR(REGEXMATCH(FORMULATEXT(W69);"HMOD");NOT(P_E&gt;0));0;W69)+IF(OR(REGEXMATCH(FORMULATEXT(X69);"HMOD");NOT(P_R&gt;0));0;X69)+IF(REGEXMATCH(FORMULATEXT(Y69);"HMOD");0;Y69)+Self_Proc_Item+Self_Proc_Summ+Self_Proc_Rune+3*Self_DPS</v>
      </c>
      <c r="AH69" s="282" t="str">
        <f ca="1">IFERROR(__xludf.DUMMYFUNCTION("""COMPUTED_VALUE"""),"=0")</f>
        <v>=0</v>
      </c>
      <c r="AI69" s="282" t="b">
        <f ca="1">IFERROR(__xludf.DUMMYFUNCTION("""COMPUTED_VALUE"""),FALSE)</f>
        <v>0</v>
      </c>
      <c r="AJ69" s="283" t="b">
        <f ca="1">IFERROR(__xludf.DUMMYFUNCTION("""COMPUTED_VALUE"""),FALSE)</f>
        <v>0</v>
      </c>
    </row>
    <row r="70" spans="1:36">
      <c r="A70" s="267" t="str">
        <f ca="1">IFERROR(__xludf.DUMMYFUNCTION("""COMPUTED_VALUE"""),"Lissandra")</f>
        <v>Lissandra</v>
      </c>
      <c r="B70" s="287" t="str">
        <f ca="1">IFERROR(__xludf.DUMMYFUNCTION("""COMPUTED_VALUE"""),"=620")</f>
        <v>=620</v>
      </c>
      <c r="C70" s="287" t="str">
        <f ca="1">IFERROR(__xludf.DUMMYFUNCTION("""COMPUTED_VALUE"""),"=110")</f>
        <v>=110</v>
      </c>
      <c r="D70" s="288" t="str">
        <f ca="1">IFERROR(__xludf.DUMMYFUNCTION("""COMPUTED_VALUE"""),"=7")</f>
        <v>=7</v>
      </c>
      <c r="E70" s="289" t="str">
        <f ca="1">IFERROR(__xludf.DUMMYFUNCTION("""COMPUTED_VALUE"""),"=0,55")</f>
        <v>=0,55</v>
      </c>
      <c r="F70" s="288" t="str">
        <f ca="1">IFERROR(__xludf.DUMMYFUNCTION("""COMPUTED_VALUE"""),"=475")</f>
        <v>=475</v>
      </c>
      <c r="G70" s="288" t="str">
        <f ca="1">IFERROR(__xludf.DUMMYFUNCTION("""COMPUTED_VALUE"""),"=30")</f>
        <v>=30</v>
      </c>
      <c r="H70" s="288" t="str">
        <f ca="1">IFERROR(__xludf.DUMMYFUNCTION("""COMPUTED_VALUE"""),"=8")</f>
        <v>=8</v>
      </c>
      <c r="I70" s="289" t="str">
        <f ca="1">IFERROR(__xludf.DUMMYFUNCTION("""COMPUTED_VALUE"""),"=0,8")</f>
        <v>=0,8</v>
      </c>
      <c r="J70" s="290" t="str">
        <f ca="1">IFERROR(__xludf.DUMMYFUNCTION("""COMPUTED_VALUE"""),"=55")</f>
        <v>=55</v>
      </c>
      <c r="K70" s="288" t="str">
        <f ca="1">IFERROR(__xludf.DUMMYFUNCTION("""COMPUTED_VALUE"""),"=2,7")</f>
        <v>=2,7</v>
      </c>
      <c r="L70" s="291" t="str">
        <f ca="1">IFERROR(__xludf.DUMMYFUNCTION("""COMPUTED_VALUE"""),"=0,656")</f>
        <v>=0,656</v>
      </c>
      <c r="M70" s="291" t="str">
        <f ca="1">IFERROR(__xludf.DUMMYFUNCTION("""COMPUTED_VALUE"""),"=0,625")</f>
        <v>=0,625</v>
      </c>
      <c r="N70" s="292" t="str">
        <f ca="1">IFERROR(__xludf.DUMMYFUNCTION("""COMPUTED_VALUE"""),"=1,36%")</f>
        <v>=1,36%</v>
      </c>
      <c r="O70" s="287" t="str">
        <f ca="1">IFERROR(__xludf.DUMMYFUNCTION("""COMPUTED_VALUE"""),"=22")</f>
        <v>=22</v>
      </c>
      <c r="P70" s="287" t="str">
        <f ca="1">IFERROR(__xludf.DUMMYFUNCTION("""COMPUTED_VALUE"""),"=4,9")</f>
        <v>=4,9</v>
      </c>
      <c r="Q70" s="288" t="str">
        <f ca="1">IFERROR(__xludf.DUMMYFUNCTION("""COMPUTED_VALUE"""),"=30")</f>
        <v>=30</v>
      </c>
      <c r="R70" s="289" t="str">
        <f ca="1">IFERROR(__xludf.DUMMYFUNCTION("""COMPUTED_VALUE"""),"=1,3")</f>
        <v>=1,3</v>
      </c>
      <c r="S70" s="287" t="str">
        <f ca="1">IFERROR(__xludf.DUMMYFUNCTION("""COMPUTED_VALUE"""),"=325")</f>
        <v>=325</v>
      </c>
      <c r="T70" s="628" t="str">
        <f ca="1">IFERROR(__xludf.DUMMYFUNCTION("""COMPUTED_VALUE"""),"=550")</f>
        <v>=550</v>
      </c>
      <c r="U70" s="295" t="str">
        <f ca="1">IFERROR(__xludf.DUMMYFUNCTION("""COMPUTED_VALUE"""),"=(50 + 30 * P_Q + 0,8 * Self_AP) * MOD_Magic")</f>
        <v>=(50 + 30 * P_Q + 0,8 * Self_AP) * MOD_Magic</v>
      </c>
      <c r="V70" s="296" t="str">
        <f ca="1">IFERROR(__xludf.DUMMYFUNCTION("""COMPUTED_VALUE"""),"=(35+35*P_W+0,7*Self_AP)*MOD_Magic")</f>
        <v>=(35+35*P_W+0,7*Self_AP)*MOD_Magic</v>
      </c>
      <c r="W70" s="296" t="str">
        <f ca="1">IFERROR(__xludf.DUMMYFUNCTION("""COMPUTED_VALUE"""),"=(35+35*P_E+0,6*Self_AP)*MOD_Magic")</f>
        <v>=(35+35*P_E+0,6*Self_AP)*MOD_Magic</v>
      </c>
      <c r="X70" s="296" t="str">
        <f ca="1">IFERROR(__xludf.DUMMYFUNCTION("""COMPUTED_VALUE"""),"=(50+100*P_R+0,75*Self_AP)*MOD_Magic")</f>
        <v>=(50+100*P_R+0,75*Self_AP)*MOD_Magic</v>
      </c>
      <c r="Y70" s="297" t="str">
        <f ca="1">IFERROR(__xludf.DUMMYFUNCTION("""COMPUTED_VALUE"""),"=(100+20*Self_Level+IF(Self_Level&gt;12;(Self_Level-12)*10;0)+0,5*Self_AP)*MOD_Magic")</f>
        <v>=(100+20*Self_Level+IF(Self_Level&gt;12;(Self_Level-12)*10;0)+0,5*Self_AP)*MOD_Magic</v>
      </c>
      <c r="Z70" s="281" t="str">
        <f ca="1">IFERROR(__xludf.DUMMYFUNCTION("""COMPUTED_VALUE"""),"=9-1*P_Q")</f>
        <v>=9-1*P_Q</v>
      </c>
      <c r="AA70" s="282" t="str">
        <f ca="1">IFERROR(__xludf.DUMMYFUNCTION("""COMPUTED_VALUE"""),"=13-P_W")</f>
        <v>=13-P_W</v>
      </c>
      <c r="AB70" s="282" t="str">
        <f ca="1">IFERROR(__xludf.DUMMYFUNCTION("""COMPUTED_VALUE"""),"=27-3*P_E")</f>
        <v>=27-3*P_E</v>
      </c>
      <c r="AC70" s="282" t="str">
        <f ca="1">IFERROR(__xludf.DUMMYFUNCTION("""COMPUTED_VALUE"""),"=140 - 20 * P_R")</f>
        <v>=140 - 20 * P_R</v>
      </c>
      <c r="AD70" s="283" t="str">
        <f ca="1">IFERROR(__xludf.DUMMYFUNCTION("""COMPUTED_VALUE"""),"=18-3*rounddown((Self_Level-1)/5)")</f>
        <v>=18-3*rounddown((Self_Level-1)/5)</v>
      </c>
      <c r="AE70" s="281" t="b">
        <f ca="1">IFERROR(__xludf.DUMMYFUNCTION("""COMPUTED_VALUE"""),FALSE)</f>
        <v>0</v>
      </c>
      <c r="AF70" s="282" t="str">
        <f ca="1">IFERROR(__xludf.DUMMYFUNCTION("""COMPUTED_VALUE"""),"=Image(""https://ddragon.leagueoflegends.com/cdn/11.19.1/img/champion/Lissandra.png"")")</f>
        <v>=Image("https://ddragon.leagueoflegends.com/cdn/11.19.1/img/champion/Lissandra.png")</v>
      </c>
      <c r="AG70" s="282" t="str">
        <f ca="1">IFERROR(__xludf.DUMMYFUNCTION("""COMPUTED_VALUE"""),"=IF(OR(REGEXMATCH(FORMULATEXT(U70);""HMOD"");NOT(P_Q&gt;0));0;U70)+IF(OR(REGEXMATCH(FORMULATEXT(V70);""HMOD"");NOT(P_W&gt;0));0;V70)+IF(OR(REGEXMATCH(FORMULATEXT(W70);""HMOD"");NOT(P_E&gt;0));0;W70)+IF(OR(REGEXMATCH(FORMULATEXT(X70);""HMOD"");NOT(P_R&gt;0));0;X70)+IF"&amp;"(REGEXMATCH(FORMULATEXT(Y70);""HMOD"");0;Y70)+Self_Proc_Item+Self_Proc_Summ+Self_Proc_Rune+3*Self_DPS")</f>
        <v>=IF(OR(REGEXMATCH(FORMULATEXT(U70);"HMOD");NOT(P_Q&gt;0));0;U70)+IF(OR(REGEXMATCH(FORMULATEXT(V70);"HMOD");NOT(P_W&gt;0));0;V70)+IF(OR(REGEXMATCH(FORMULATEXT(W70);"HMOD");NOT(P_E&gt;0));0;W70)+IF(OR(REGEXMATCH(FORMULATEXT(X70);"HMOD");NOT(P_R&gt;0));0;X70)+IF(REGEXMATCH(FORMULATEXT(Y70);"HMOD");0;Y70)+Self_Proc_Item+Self_Proc_Summ+Self_Proc_Rune+3*Self_DPS</v>
      </c>
      <c r="AH70" s="282" t="str">
        <f ca="1">IFERROR(__xludf.DUMMYFUNCTION("""COMPUTED_VALUE"""),"=0")</f>
        <v>=0</v>
      </c>
      <c r="AI70" s="282" t="b">
        <f ca="1">IFERROR(__xludf.DUMMYFUNCTION("""COMPUTED_VALUE"""),FALSE)</f>
        <v>0</v>
      </c>
      <c r="AJ70" s="283" t="b">
        <f ca="1">IFERROR(__xludf.DUMMYFUNCTION("""COMPUTED_VALUE"""),FALSE)</f>
        <v>0</v>
      </c>
    </row>
    <row r="71" spans="1:36">
      <c r="A71" s="267" t="str">
        <f ca="1">IFERROR(__xludf.DUMMYFUNCTION("""COMPUTED_VALUE"""),"Lucian")</f>
        <v>Lucian</v>
      </c>
      <c r="B71" s="287" t="str">
        <f ca="1">IFERROR(__xludf.DUMMYFUNCTION("""COMPUTED_VALUE"""),"=641")</f>
        <v>=641</v>
      </c>
      <c r="C71" s="287" t="str">
        <f ca="1">IFERROR(__xludf.DUMMYFUNCTION("""COMPUTED_VALUE"""),"=100")</f>
        <v>=100</v>
      </c>
      <c r="D71" s="288" t="str">
        <f ca="1">IFERROR(__xludf.DUMMYFUNCTION("""COMPUTED_VALUE"""),"=3,75")</f>
        <v>=3,75</v>
      </c>
      <c r="E71" s="289" t="str">
        <f ca="1">IFERROR(__xludf.DUMMYFUNCTION("""COMPUTED_VALUE"""),"=0,65")</f>
        <v>=0,65</v>
      </c>
      <c r="F71" s="288" t="str">
        <f ca="1">IFERROR(__xludf.DUMMYFUNCTION("""COMPUTED_VALUE"""),"=320")</f>
        <v>=320</v>
      </c>
      <c r="G71" s="288" t="str">
        <f ca="1">IFERROR(__xludf.DUMMYFUNCTION("""COMPUTED_VALUE"""),"=43")</f>
        <v>=43</v>
      </c>
      <c r="H71" s="288" t="str">
        <f ca="1">IFERROR(__xludf.DUMMYFUNCTION("""COMPUTED_VALUE"""),"=7")</f>
        <v>=7</v>
      </c>
      <c r="I71" s="289" t="str">
        <f ca="1">IFERROR(__xludf.DUMMYFUNCTION("""COMPUTED_VALUE"""),"=0,8")</f>
        <v>=0,8</v>
      </c>
      <c r="J71" s="290" t="str">
        <f ca="1">IFERROR(__xludf.DUMMYFUNCTION("""COMPUTED_VALUE"""),"=60")</f>
        <v>=60</v>
      </c>
      <c r="K71" s="288" t="str">
        <f ca="1">IFERROR(__xludf.DUMMYFUNCTION("""COMPUTED_VALUE"""),"=2,9")</f>
        <v>=2,9</v>
      </c>
      <c r="L71" s="291" t="str">
        <f ca="1">IFERROR(__xludf.DUMMYFUNCTION("""COMPUTED_VALUE"""),"=0,638")</f>
        <v>=0,638</v>
      </c>
      <c r="M71" s="291" t="str">
        <f ca="1">IFERROR(__xludf.DUMMYFUNCTION("""COMPUTED_VALUE"""),"=0,638")</f>
        <v>=0,638</v>
      </c>
      <c r="N71" s="292" t="str">
        <f ca="1">IFERROR(__xludf.DUMMYFUNCTION("""COMPUTED_VALUE"""),"=3,3%")</f>
        <v>=3,3%</v>
      </c>
      <c r="O71" s="287" t="str">
        <f ca="1">IFERROR(__xludf.DUMMYFUNCTION("""COMPUTED_VALUE"""),"=28")</f>
        <v>=28</v>
      </c>
      <c r="P71" s="287" t="str">
        <f ca="1">IFERROR(__xludf.DUMMYFUNCTION("""COMPUTED_VALUE"""),"=4,2")</f>
        <v>=4,2</v>
      </c>
      <c r="Q71" s="288" t="str">
        <f ca="1">IFERROR(__xludf.DUMMYFUNCTION("""COMPUTED_VALUE"""),"=30")</f>
        <v>=30</v>
      </c>
      <c r="R71" s="289" t="str">
        <f ca="1">IFERROR(__xludf.DUMMYFUNCTION("""COMPUTED_VALUE"""),"=1,3")</f>
        <v>=1,3</v>
      </c>
      <c r="S71" s="287" t="str">
        <f ca="1">IFERROR(__xludf.DUMMYFUNCTION("""COMPUTED_VALUE"""),"=335")</f>
        <v>=335</v>
      </c>
      <c r="T71" s="628" t="str">
        <f ca="1">IFERROR(__xludf.DUMMYFUNCTION("""COMPUTED_VALUE"""),"=500")</f>
        <v>=500</v>
      </c>
      <c r="U71" s="298" t="str">
        <f ca="1">IFERROR(__xludf.DUMMYFUNCTION("""COMPUTED_VALUE"""),"=(65 + 30 * P_Q + (0,45 + 0,15 * P_Q) * Self_BoAD) * MOD_Phys")</f>
        <v>=(65 + 30 * P_Q + (0,45 + 0,15 * P_Q) * Self_BoAD) * MOD_Phys</v>
      </c>
      <c r="V71" s="299" t="str">
        <f ca="1">IFERROR(__xludf.DUMMYFUNCTION("""COMPUTED_VALUE"""),"=(40+35*P_W+0,9*Self_AP)*MOD_Magic")</f>
        <v>=(40+35*P_W+0,9*Self_AP)*MOD_Magic</v>
      </c>
      <c r="W71" s="299" t="str">
        <f ca="1">IFERROR(__xludf.DUMMYFUNCTION("""COMPUTED_VALUE"""),"=0")</f>
        <v>=0</v>
      </c>
      <c r="X71" s="299" t="str">
        <f ca="1">IFERROR(__xludf.DUMMYFUNCTION("""COMPUTED_VALUE"""),"=((15 * P_R + 0,25 * Self_AD + 0,15 * Self_AP) * (22 + 25 * Self_Crit)) * MOD_Phys")</f>
        <v>=((15 * P_R + 0,25 * Self_AD + 0,15 * Self_AP) * (22 + 25 * Self_Crit)) * MOD_Phys</v>
      </c>
      <c r="Y71" s="300" t="str">
        <f ca="1">IFERROR(__xludf.DUMMYFUNCTION("""COMPUTED_VALUE"""),"=((ROUNDDOWN((Self_Level - 1) / 6) * 0,05 + 0,5) * Self_AD * (1 + Self_Crit * (Self_CritDMG - 1))) * MOD_Phys + OH_Phys + OH_Magic + (10 + 0,15 * Self_AD) * 2 * MOD_Magic")</f>
        <v>=((ROUNDDOWN((Self_Level - 1) / 6) * 0,05 + 0,5) * Self_AD * (1 + Self_Crit * (Self_CritDMG - 1))) * MOD_Phys + OH_Phys + OH_Magic + (10 + 0,15 * Self_AD) * 2 * MOD_Magic</v>
      </c>
      <c r="Z71" s="281" t="str">
        <f ca="1">IFERROR(__xludf.DUMMYFUNCTION("""COMPUTED_VALUE"""),"=10 - P_Q")</f>
        <v>=10 - P_Q</v>
      </c>
      <c r="AA71" s="282" t="str">
        <f ca="1">IFERROR(__xludf.DUMMYFUNCTION("""COMPUTED_VALUE"""),"=15-P_W")</f>
        <v>=15-P_W</v>
      </c>
      <c r="AB71" s="282" t="str">
        <f ca="1">IFERROR(__xludf.DUMMYFUNCTION("""COMPUTED_VALUE"""),"=24-2*P_E")</f>
        <v>=24-2*P_E</v>
      </c>
      <c r="AC71" s="282" t="str">
        <f ca="1">IFERROR(__xludf.DUMMYFUNCTION("""COMPUTED_VALUE"""),"=120-10*P_R")</f>
        <v>=120-10*P_R</v>
      </c>
      <c r="AD71" s="283" t="str">
        <f ca="1">IFERROR(__xludf.DUMMYFUNCTION("""COMPUTED_VALUE"""),"=1")</f>
        <v>=1</v>
      </c>
      <c r="AE71" s="281" t="b">
        <f ca="1">IFERROR(__xludf.DUMMYFUNCTION("""COMPUTED_VALUE"""),FALSE)</f>
        <v>0</v>
      </c>
      <c r="AF71" s="282" t="str">
        <f ca="1">IFERROR(__xludf.DUMMYFUNCTION("""COMPUTED_VALUE"""),"=Image(""https://ddragon.leagueoflegends.com/cdn/11.19.1/img/champion/Lucian.png"")")</f>
        <v>=Image("https://ddragon.leagueoflegends.com/cdn/11.19.1/img/champion/Lucian.png")</v>
      </c>
      <c r="AG71" s="282" t="str">
        <f ca="1">IFERROR(__xludf.DUMMYFUNCTION("""COMPUTED_VALUE"""),"=IF(OR(REGEXMATCH(FORMULATEXT(U71);""HMOD"");NOT(P_Q&gt;0));0;U71)+IF(OR(REGEXMATCH(FORMULATEXT(V71);""HMOD"");NOT(P_W&gt;0));0;V71)+IF(OR(REGEXMATCH(FORMULATEXT(W71);""HMOD"");NOT(P_E&gt;0));0;W71)+IF(OR(REGEXMATCH(FORMULATEXT(X71);""HMOD"");NOT(P_R&gt;0));0;X71)+IF"&amp;"(REGEXMATCH(FORMULATEXT(Y71);""HMOD"");0;Y71)+Self_Proc_Item+Self_Proc_Summ+Self_Proc_Rune+3*Self_DPS")</f>
        <v>=IF(OR(REGEXMATCH(FORMULATEXT(U71);"HMOD");NOT(P_Q&gt;0));0;U71)+IF(OR(REGEXMATCH(FORMULATEXT(V71);"HMOD");NOT(P_W&gt;0));0;V71)+IF(OR(REGEXMATCH(FORMULATEXT(W71);"HMOD");NOT(P_E&gt;0));0;W71)+IF(OR(REGEXMATCH(FORMULATEXT(X71);"HMOD");NOT(P_R&gt;0));0;X71)+IF(REGEXMATCH(FORMULATEXT(Y71);"HMOD");0;Y71)+Self_Proc_Item+Self_Proc_Summ+Self_Proc_Rune+3*Self_DPS</v>
      </c>
      <c r="AH71" s="282" t="str">
        <f ca="1">IFERROR(__xludf.DUMMYFUNCTION("""COMPUTED_VALUE"""),"=0")</f>
        <v>=0</v>
      </c>
      <c r="AI71" s="282" t="b">
        <f ca="1">IFERROR(__xludf.DUMMYFUNCTION("""COMPUTED_VALUE"""),FALSE)</f>
        <v>0</v>
      </c>
      <c r="AJ71" s="283" t="b">
        <f ca="1">IFERROR(__xludf.DUMMYFUNCTION("""COMPUTED_VALUE"""),FALSE)</f>
        <v>0</v>
      </c>
    </row>
    <row r="72" spans="1:36">
      <c r="A72" s="267" t="str">
        <f ca="1">IFERROR(__xludf.DUMMYFUNCTION("""COMPUTED_VALUE"""),"Lulu")</f>
        <v>Lulu</v>
      </c>
      <c r="B72" s="287" t="str">
        <f ca="1">IFERROR(__xludf.DUMMYFUNCTION("""COMPUTED_VALUE"""),"=595")</f>
        <v>=595</v>
      </c>
      <c r="C72" s="287" t="str">
        <f ca="1">IFERROR(__xludf.DUMMYFUNCTION("""COMPUTED_VALUE"""),"=88")</f>
        <v>=88</v>
      </c>
      <c r="D72" s="288" t="str">
        <f ca="1">IFERROR(__xludf.DUMMYFUNCTION("""COMPUTED_VALUE"""),"=6")</f>
        <v>=6</v>
      </c>
      <c r="E72" s="289" t="str">
        <f ca="1">IFERROR(__xludf.DUMMYFUNCTION("""COMPUTED_VALUE"""),"=0,6")</f>
        <v>=0,6</v>
      </c>
      <c r="F72" s="288" t="str">
        <f ca="1">IFERROR(__xludf.DUMMYFUNCTION("""COMPUTED_VALUE"""),"=350")</f>
        <v>=350</v>
      </c>
      <c r="G72" s="288" t="str">
        <f ca="1">IFERROR(__xludf.DUMMYFUNCTION("""COMPUTED_VALUE"""),"=55")</f>
        <v>=55</v>
      </c>
      <c r="H72" s="288" t="str">
        <f ca="1">IFERROR(__xludf.DUMMYFUNCTION("""COMPUTED_VALUE"""),"=11")</f>
        <v>=11</v>
      </c>
      <c r="I72" s="289" t="str">
        <f ca="1">IFERROR(__xludf.DUMMYFUNCTION("""COMPUTED_VALUE"""),"=0,6")</f>
        <v>=0,6</v>
      </c>
      <c r="J72" s="290" t="str">
        <f ca="1">IFERROR(__xludf.DUMMYFUNCTION("""COMPUTED_VALUE"""),"=47")</f>
        <v>=47</v>
      </c>
      <c r="K72" s="288" t="str">
        <f ca="1">IFERROR(__xludf.DUMMYFUNCTION("""COMPUTED_VALUE"""),"=2,6")</f>
        <v>=2,6</v>
      </c>
      <c r="L72" s="291" t="str">
        <f ca="1">IFERROR(__xludf.DUMMYFUNCTION("""COMPUTED_VALUE"""),"=0,625")</f>
        <v>=0,625</v>
      </c>
      <c r="M72" s="291" t="str">
        <f ca="1">IFERROR(__xludf.DUMMYFUNCTION("""COMPUTED_VALUE"""),"=0,625")</f>
        <v>=0,625</v>
      </c>
      <c r="N72" s="292" t="str">
        <f ca="1">IFERROR(__xludf.DUMMYFUNCTION("""COMPUTED_VALUE"""),"=2,25%")</f>
        <v>=2,25%</v>
      </c>
      <c r="O72" s="287" t="str">
        <f ca="1">IFERROR(__xludf.DUMMYFUNCTION("""COMPUTED_VALUE"""),"=26")</f>
        <v>=26</v>
      </c>
      <c r="P72" s="287" t="str">
        <f ca="1">IFERROR(__xludf.DUMMYFUNCTION("""COMPUTED_VALUE"""),"=4,9")</f>
        <v>=4,9</v>
      </c>
      <c r="Q72" s="288" t="str">
        <f ca="1">IFERROR(__xludf.DUMMYFUNCTION("""COMPUTED_VALUE"""),"=30")</f>
        <v>=30</v>
      </c>
      <c r="R72" s="289" t="str">
        <f ca="1">IFERROR(__xludf.DUMMYFUNCTION("""COMPUTED_VALUE"""),"=1,3")</f>
        <v>=1,3</v>
      </c>
      <c r="S72" s="287" t="str">
        <f ca="1">IFERROR(__xludf.DUMMYFUNCTION("""COMPUTED_VALUE"""),"=330")</f>
        <v>=330</v>
      </c>
      <c r="T72" s="628" t="str">
        <f ca="1">IFERROR(__xludf.DUMMYFUNCTION("""COMPUTED_VALUE"""),"=550")</f>
        <v>=550</v>
      </c>
      <c r="U72" s="295" t="str">
        <f ca="1">IFERROR(__xludf.DUMMYFUNCTION("""COMPUTED_VALUE"""),"=(35+35*P_Q+0,5*Self_AP)*MOD_Magic*IF(Steroid_Q;1,25;1)")</f>
        <v>=(35+35*P_Q+0,5*Self_AP)*MOD_Magic*IF(Steroid_Q;1,25;1)</v>
      </c>
      <c r="V72" s="296" t="str">
        <f ca="1">IFERROR(__xludf.DUMMYFUNCTION("""COMPUTED_VALUE"""),"=0")</f>
        <v>=0</v>
      </c>
      <c r="W72" s="296" t="str">
        <f ca="1">IFERROR(__xludf.DUMMYFUNCTION("""COMPUTED_VALUE"""),"=IF(Interface!L8=""Heal"";(35+40*P_E+0,55*Self_AP)*MOD_Heal;(40+40*P_E+0,4*Self_AP)*MOD_Magic)")</f>
        <v>=IF(Interface!L8="Heal";(35+40*P_E+0,55*Self_AP)*MOD_Heal;(40+40*P_E+0,4*Self_AP)*MOD_Magic)</v>
      </c>
      <c r="X72" s="296" t="str">
        <f ca="1">IFERROR(__xludf.DUMMYFUNCTION("""COMPUTED_VALUE"""),"=(125+150*P_R+0,45*Self_AP)")</f>
        <v>=(125+150*P_R+0,45*Self_AP)</v>
      </c>
      <c r="Y72" s="297" t="str">
        <f ca="1">IFERROR(__xludf.DUMMYFUNCTION("""COMPUTED_VALUE"""),"=(3+6*Self_Level+0,15*Self_AP)*MOD_Magic")</f>
        <v>=(3+6*Self_Level+0,15*Self_AP)*MOD_Magic</v>
      </c>
      <c r="Z72" s="281" t="str">
        <f ca="1">IFERROR(__xludf.DUMMYFUNCTION("""COMPUTED_VALUE"""),"=7")</f>
        <v>=7</v>
      </c>
      <c r="AA72" s="282" t="str">
        <f ca="1">IFERROR(__xludf.DUMMYFUNCTION("""COMPUTED_VALUE"""),"=17,5 - 0,5 * P_W")</f>
        <v>=17,5 - 0,5 * P_W</v>
      </c>
      <c r="AB72" s="282" t="str">
        <f ca="1">IFERROR(__xludf.DUMMYFUNCTION("""COMPUTED_VALUE"""),"=8")</f>
        <v>=8</v>
      </c>
      <c r="AC72" s="282" t="str">
        <f ca="1">IFERROR(__xludf.DUMMYFUNCTION("""COMPUTED_VALUE"""),"=140 - 20 * P_R")</f>
        <v>=140 - 20 * P_R</v>
      </c>
      <c r="AD72" s="283" t="str">
        <f ca="1">IFERROR(__xludf.DUMMYFUNCTION("""COMPUTED_VALUE"""),"=1")</f>
        <v>=1</v>
      </c>
      <c r="AE72" s="281" t="b">
        <f ca="1">IFERROR(__xludf.DUMMYFUNCTION("""COMPUTED_VALUE"""),FALSE)</f>
        <v>0</v>
      </c>
      <c r="AF72" s="282" t="str">
        <f ca="1">IFERROR(__xludf.DUMMYFUNCTION("""COMPUTED_VALUE"""),"=Image(""https://ddragon.leagueoflegends.com/cdn/11.19.1/img/champion/Lulu.png"")")</f>
        <v>=Image("https://ddragon.leagueoflegends.com/cdn/11.19.1/img/champion/Lulu.png")</v>
      </c>
      <c r="AG72" s="282" t="str">
        <f ca="1">IFERROR(__xludf.DUMMYFUNCTION("""COMPUTED_VALUE"""),"=IF(OR(REGEXMATCH(FORMULATEXT(U72);""HMOD"");NOT(P_Q&gt;0));0;U72)+IF(OR(REGEXMATCH(FORMULATEXT(V72);""HMOD"");NOT(P_W&gt;0));0;V72)+IF(OR(REGEXMATCH(FORMULATEXT(W72);""HMOD"");NOT(P_E&gt;0));0;W72)+IF(OR(REGEXMATCH(FORMULATEXT(X72);""HMOD"");NOT(P_R&gt;0));0;X72)+IF"&amp;"(REGEXMATCH(FORMULATEXT(Y72);""HMOD"");0;Y72)+Self_Proc_Item+Self_Proc_Summ+Self_Proc_Rune+3*Self_DPS")</f>
        <v>=IF(OR(REGEXMATCH(FORMULATEXT(U72);"HMOD");NOT(P_Q&gt;0));0;U72)+IF(OR(REGEXMATCH(FORMULATEXT(V72);"HMOD");NOT(P_W&gt;0));0;V72)+IF(OR(REGEXMATCH(FORMULATEXT(W72);"HMOD");NOT(P_E&gt;0));0;W72)+IF(OR(REGEXMATCH(FORMULATEXT(X72);"HMOD");NOT(P_R&gt;0));0;X72)+IF(REGEXMATCH(FORMULATEXT(Y72);"HMOD");0;Y72)+Self_Proc_Item+Self_Proc_Summ+Self_Proc_Rune+3*Self_DPS</v>
      </c>
      <c r="AH72" s="282" t="str">
        <f ca="1">IFERROR(__xludf.DUMMYFUNCTION("""COMPUTED_VALUE"""),"=0")</f>
        <v>=0</v>
      </c>
      <c r="AI72" s="282" t="b">
        <f ca="1">IFERROR(__xludf.DUMMYFUNCTION("""COMPUTED_VALUE"""),FALSE)</f>
        <v>0</v>
      </c>
      <c r="AJ72" s="283" t="b">
        <f ca="1">IFERROR(__xludf.DUMMYFUNCTION("""COMPUTED_VALUE"""),FALSE)</f>
        <v>0</v>
      </c>
    </row>
    <row r="73" spans="1:36">
      <c r="A73" s="267" t="str">
        <f ca="1">IFERROR(__xludf.DUMMYFUNCTION("""COMPUTED_VALUE"""),"Lux")</f>
        <v>Lux</v>
      </c>
      <c r="B73" s="287" t="str">
        <f ca="1">IFERROR(__xludf.DUMMYFUNCTION("""COMPUTED_VALUE"""),"=560")</f>
        <v>=560</v>
      </c>
      <c r="C73" s="287" t="str">
        <f ca="1">IFERROR(__xludf.DUMMYFUNCTION("""COMPUTED_VALUE"""),"=99")</f>
        <v>=99</v>
      </c>
      <c r="D73" s="288" t="str">
        <f ca="1">IFERROR(__xludf.DUMMYFUNCTION("""COMPUTED_VALUE"""),"=5,5")</f>
        <v>=5,5</v>
      </c>
      <c r="E73" s="289" t="str">
        <f ca="1">IFERROR(__xludf.DUMMYFUNCTION("""COMPUTED_VALUE"""),"=0,55")</f>
        <v>=0,55</v>
      </c>
      <c r="F73" s="288" t="str">
        <f ca="1">IFERROR(__xludf.DUMMYFUNCTION("""COMPUTED_VALUE"""),"=480")</f>
        <v>=480</v>
      </c>
      <c r="G73" s="288" t="str">
        <f ca="1">IFERROR(__xludf.DUMMYFUNCTION("""COMPUTED_VALUE"""),"=23,5")</f>
        <v>=23,5</v>
      </c>
      <c r="H73" s="288" t="str">
        <f ca="1">IFERROR(__xludf.DUMMYFUNCTION("""COMPUTED_VALUE"""),"=8")</f>
        <v>=8</v>
      </c>
      <c r="I73" s="289" t="str">
        <f ca="1">IFERROR(__xludf.DUMMYFUNCTION("""COMPUTED_VALUE"""),"=0,8")</f>
        <v>=0,8</v>
      </c>
      <c r="J73" s="290" t="str">
        <f ca="1">IFERROR(__xludf.DUMMYFUNCTION("""COMPUTED_VALUE"""),"=54")</f>
        <v>=54</v>
      </c>
      <c r="K73" s="288" t="str">
        <f ca="1">IFERROR(__xludf.DUMMYFUNCTION("""COMPUTED_VALUE"""),"=3,3")</f>
        <v>=3,3</v>
      </c>
      <c r="L73" s="291" t="str">
        <f ca="1">IFERROR(__xludf.DUMMYFUNCTION("""COMPUTED_VALUE"""),"=0,669")</f>
        <v>=0,669</v>
      </c>
      <c r="M73" s="291" t="str">
        <f ca="1">IFERROR(__xludf.DUMMYFUNCTION("""COMPUTED_VALUE"""),"=0,625")</f>
        <v>=0,625</v>
      </c>
      <c r="N73" s="292" t="str">
        <f ca="1">IFERROR(__xludf.DUMMYFUNCTION("""COMPUTED_VALUE"""),"=2%")</f>
        <v>=2%</v>
      </c>
      <c r="O73" s="287" t="str">
        <f ca="1">IFERROR(__xludf.DUMMYFUNCTION("""COMPUTED_VALUE"""),"=19")</f>
        <v>=19</v>
      </c>
      <c r="P73" s="287" t="str">
        <f ca="1">IFERROR(__xludf.DUMMYFUNCTION("""COMPUTED_VALUE"""),"=5,2")</f>
        <v>=5,2</v>
      </c>
      <c r="Q73" s="288" t="str">
        <f ca="1">IFERROR(__xludf.DUMMYFUNCTION("""COMPUTED_VALUE"""),"=30")</f>
        <v>=30</v>
      </c>
      <c r="R73" s="289" t="str">
        <f ca="1">IFERROR(__xludf.DUMMYFUNCTION("""COMPUTED_VALUE"""),"=1,3")</f>
        <v>=1,3</v>
      </c>
      <c r="S73" s="287" t="str">
        <f ca="1">IFERROR(__xludf.DUMMYFUNCTION("""COMPUTED_VALUE"""),"=330")</f>
        <v>=330</v>
      </c>
      <c r="T73" s="628" t="str">
        <f ca="1">IFERROR(__xludf.DUMMYFUNCTION("""COMPUTED_VALUE"""),"=550")</f>
        <v>=550</v>
      </c>
      <c r="U73" s="298" t="str">
        <f ca="1">IFERROR(__xludf.DUMMYFUNCTION("""COMPUTED_VALUE"""),"=(40 + 40 * P_Q + 0,6 * Self_AP) * MOD_Magic")</f>
        <v>=(40 + 40 * P_Q + 0,6 * Self_AP) * MOD_Magic</v>
      </c>
      <c r="V73" s="299" t="str">
        <f ca="1">IFERROR(__xludf.DUMMYFUNCTION("""COMPUTED_VALUE"""),"=(50+30*P_W+0,7*Self_AP)*MOD_Heal")</f>
        <v>=(50+30*P_W+0,7*Self_AP)*MOD_Heal</v>
      </c>
      <c r="W73" s="299" t="str">
        <f ca="1">IFERROR(__xludf.DUMMYFUNCTION("""COMPUTED_VALUE"""),"=(20 + 50 * P_E + 0,8 * Self_AP) * MOD_Magic")</f>
        <v>=(20 + 50 * P_E + 0,8 * Self_AP) * MOD_Magic</v>
      </c>
      <c r="X73" s="299" t="str">
        <f ca="1">IFERROR(__xludf.DUMMYFUNCTION("""COMPUTED_VALUE"""),"=(200+100*P_R+Self_AP*1,2)*MOD_Magic")</f>
        <v>=(200+100*P_R+Self_AP*1,2)*MOD_Magic</v>
      </c>
      <c r="Y73" s="300" t="str">
        <f ca="1">IFERROR(__xludf.DUMMYFUNCTION("""COMPUTED_VALUE"""),"=(10+10*Self_Level+0,2*Self_AP)*MOD_Magic")</f>
        <v>=(10+10*Self_Level+0,2*Self_AP)*MOD_Magic</v>
      </c>
      <c r="Z73" s="281" t="str">
        <f ca="1">IFERROR(__xludf.DUMMYFUNCTION("""COMPUTED_VALUE"""),"=11")</f>
        <v>=11</v>
      </c>
      <c r="AA73" s="282" t="str">
        <f ca="1">IFERROR(__xludf.DUMMYFUNCTION("""COMPUTED_VALUE"""),"=15-P_W")</f>
        <v>=15-P_W</v>
      </c>
      <c r="AB73" s="282" t="str">
        <f ca="1">IFERROR(__xludf.DUMMYFUNCTION("""COMPUTED_VALUE"""),"=10,5-0,5*P_E")</f>
        <v>=10,5-0,5*P_E</v>
      </c>
      <c r="AC73" s="282" t="str">
        <f ca="1">IFERROR(__xludf.DUMMYFUNCTION("""COMPUTED_VALUE"""),"=70 - 10 * P_R")</f>
        <v>=70 - 10 * P_R</v>
      </c>
      <c r="AD73" s="283" t="str">
        <f ca="1">IFERROR(__xludf.DUMMYFUNCTION("""COMPUTED_VALUE"""),"=1")</f>
        <v>=1</v>
      </c>
      <c r="AE73" s="281" t="b">
        <f ca="1">IFERROR(__xludf.DUMMYFUNCTION("""COMPUTED_VALUE"""),FALSE)</f>
        <v>0</v>
      </c>
      <c r="AF73" s="282" t="str">
        <f ca="1">IFERROR(__xludf.DUMMYFUNCTION("""COMPUTED_VALUE"""),"=Image(""https://ddragon.leagueoflegends.com/cdn/11.19.1/img/champion/Lux.png"")")</f>
        <v>=Image("https://ddragon.leagueoflegends.com/cdn/11.19.1/img/champion/Lux.png")</v>
      </c>
      <c r="AG73" s="282" t="str">
        <f ca="1">IFERROR(__xludf.DUMMYFUNCTION("""COMPUTED_VALUE"""),"=IF(OR(REGEXMATCH(FORMULATEXT(U73);""HMOD"");NOT(P_Q&gt;0));0;U73)+IF(OR(REGEXMATCH(FORMULATEXT(V73);""HMOD"");NOT(P_W&gt;0));0;V73)+IF(OR(REGEXMATCH(FORMULATEXT(W73);""HMOD"");NOT(P_E&gt;0));0;W73)+IF(OR(REGEXMATCH(FORMULATEXT(X73);""HMOD"");NOT(P_R&gt;0));0;X73)+IF"&amp;"(REGEXMATCH(FORMULATEXT(Y73);""HMOD"");0;Y73)+Self_Proc_Item+Self_Proc_Summ+Self_Proc_Rune+3*Self_DPS")</f>
        <v>=IF(OR(REGEXMATCH(FORMULATEXT(U73);"HMOD");NOT(P_Q&gt;0));0;U73)+IF(OR(REGEXMATCH(FORMULATEXT(V73);"HMOD");NOT(P_W&gt;0));0;V73)+IF(OR(REGEXMATCH(FORMULATEXT(W73);"HMOD");NOT(P_E&gt;0));0;W73)+IF(OR(REGEXMATCH(FORMULATEXT(X73);"HMOD");NOT(P_R&gt;0));0;X73)+IF(REGEXMATCH(FORMULATEXT(Y73);"HMOD");0;Y73)+Self_Proc_Item+Self_Proc_Summ+Self_Proc_Rune+3*Self_DPS</v>
      </c>
      <c r="AH73" s="282" t="str">
        <f ca="1">IFERROR(__xludf.DUMMYFUNCTION("""COMPUTED_VALUE"""),"=0")</f>
        <v>=0</v>
      </c>
      <c r="AI73" s="282" t="b">
        <f ca="1">IFERROR(__xludf.DUMMYFUNCTION("""COMPUTED_VALUE"""),FALSE)</f>
        <v>0</v>
      </c>
      <c r="AJ73" s="283" t="b">
        <f ca="1">IFERROR(__xludf.DUMMYFUNCTION("""COMPUTED_VALUE"""),FALSE)</f>
        <v>0</v>
      </c>
    </row>
    <row r="74" spans="1:36">
      <c r="A74" s="267" t="str">
        <f ca="1">IFERROR(__xludf.DUMMYFUNCTION("""COMPUTED_VALUE"""),"Malphite")</f>
        <v>Malphite</v>
      </c>
      <c r="B74" s="287" t="str">
        <f ca="1">IFERROR(__xludf.DUMMYFUNCTION("""COMPUTED_VALUE"""),"=644")</f>
        <v>=644</v>
      </c>
      <c r="C74" s="287" t="str">
        <f ca="1">IFERROR(__xludf.DUMMYFUNCTION("""COMPUTED_VALUE"""),"=104")</f>
        <v>=104</v>
      </c>
      <c r="D74" s="288" t="str">
        <f ca="1">IFERROR(__xludf.DUMMYFUNCTION("""COMPUTED_VALUE"""),"=7")</f>
        <v>=7</v>
      </c>
      <c r="E74" s="289" t="str">
        <f ca="1">IFERROR(__xludf.DUMMYFUNCTION("""COMPUTED_VALUE"""),"=0,55")</f>
        <v>=0,55</v>
      </c>
      <c r="F74" s="288" t="str">
        <f ca="1">IFERROR(__xludf.DUMMYFUNCTION("""COMPUTED_VALUE"""),"=282")</f>
        <v>=282</v>
      </c>
      <c r="G74" s="288" t="str">
        <f ca="1">IFERROR(__xludf.DUMMYFUNCTION("""COMPUTED_VALUE"""),"=60")</f>
        <v>=60</v>
      </c>
      <c r="H74" s="288" t="str">
        <f ca="1">IFERROR(__xludf.DUMMYFUNCTION("""COMPUTED_VALUE"""),"=7,3")</f>
        <v>=7,3</v>
      </c>
      <c r="I74" s="289" t="str">
        <f ca="1">IFERROR(__xludf.DUMMYFUNCTION("""COMPUTED_VALUE"""),"=0,55")</f>
        <v>=0,55</v>
      </c>
      <c r="J74" s="290" t="str">
        <f ca="1">IFERROR(__xludf.DUMMYFUNCTION("""COMPUTED_VALUE"""),"=62")</f>
        <v>=62</v>
      </c>
      <c r="K74" s="288" t="str">
        <f ca="1">IFERROR(__xludf.DUMMYFUNCTION("""COMPUTED_VALUE"""),"=3,38")</f>
        <v>=3,38</v>
      </c>
      <c r="L74" s="291" t="str">
        <f ca="1">IFERROR(__xludf.DUMMYFUNCTION("""COMPUTED_VALUE"""),"=0,736")</f>
        <v>=0,736</v>
      </c>
      <c r="M74" s="291" t="str">
        <f ca="1">IFERROR(__xludf.DUMMYFUNCTION("""COMPUTED_VALUE"""),"=0,638")</f>
        <v>=0,638</v>
      </c>
      <c r="N74" s="292" t="str">
        <f ca="1">IFERROR(__xludf.DUMMYFUNCTION("""COMPUTED_VALUE"""),"=3,4%")</f>
        <v>=3,4%</v>
      </c>
      <c r="O74" s="287" t="str">
        <f ca="1">IFERROR(__xludf.DUMMYFUNCTION("""COMPUTED_VALUE"""),"=37")</f>
        <v>=37</v>
      </c>
      <c r="P74" s="287" t="str">
        <f ca="1">IFERROR(__xludf.DUMMYFUNCTION("""COMPUTED_VALUE"""),"=4,95")</f>
        <v>=4,95</v>
      </c>
      <c r="Q74" s="288" t="str">
        <f ca="1">IFERROR(__xludf.DUMMYFUNCTION("""COMPUTED_VALUE"""),"=28")</f>
        <v>=28</v>
      </c>
      <c r="R74" s="289" t="str">
        <f ca="1">IFERROR(__xludf.DUMMYFUNCTION("""COMPUTED_VALUE"""),"=2,05")</f>
        <v>=2,05</v>
      </c>
      <c r="S74" s="287" t="str">
        <f ca="1">IFERROR(__xludf.DUMMYFUNCTION("""COMPUTED_VALUE"""),"=335")</f>
        <v>=335</v>
      </c>
      <c r="T74" s="628" t="str">
        <f ca="1">IFERROR(__xludf.DUMMYFUNCTION("""COMPUTED_VALUE"""),"=125")</f>
        <v>=125</v>
      </c>
      <c r="U74" s="295" t="str">
        <f ca="1">IFERROR(__xludf.DUMMYFUNCTION("""COMPUTED_VALUE"""),"=(20+50*P_Q+0,6*Self_AP)*MOD_Magic")</f>
        <v>=(20+50*P_Q+0,6*Self_AP)*MOD_Magic</v>
      </c>
      <c r="V74" s="296" t="str">
        <f ca="1">IFERROR(__xludf.DUMMYFUNCTION("""COMPUTED_VALUE"""),"=(20 + 10 * P_W + 0,3 * Self_AP + 0,15 * Self_AR) * MOD_Phys")</f>
        <v>=(20 + 10 * P_W + 0,3 * Self_AP + 0,15 * Self_AR) * MOD_Phys</v>
      </c>
      <c r="W74" s="296" t="str">
        <f ca="1">IFERROR(__xludf.DUMMYFUNCTION("""COMPUTED_VALUE"""),"=(30 + 40 * P_E + 0,6 * Self_AP + 0,4 * Self_AR)*MOD_Magic")</f>
        <v>=(30 + 40 * P_E + 0,6 * Self_AP + 0,4 * Self_AR)*MOD_Magic</v>
      </c>
      <c r="X74" s="296" t="str">
        <f ca="1">IFERROR(__xludf.DUMMYFUNCTION("""COMPUTED_VALUE"""),"=(100 + 100 * P_R + 0,9 * Self_AP) * MOD_Magic")</f>
        <v>=(100 + 100 * P_R + 0,9 * Self_AP) * MOD_Magic</v>
      </c>
      <c r="Y74" s="297" t="str">
        <f ca="1">IFERROR(__xludf.DUMMYFUNCTION("""COMPUTED_VALUE"""),"=0,09 * Self_MHP * MOD_Heal")</f>
        <v>=0,09 * Self_MHP * MOD_Heal</v>
      </c>
      <c r="Z74" s="281" t="str">
        <f ca="1">IFERROR(__xludf.DUMMYFUNCTION("""COMPUTED_VALUE"""),"=8")</f>
        <v>=8</v>
      </c>
      <c r="AA74" s="282" t="str">
        <f ca="1">IFERROR(__xludf.DUMMYFUNCTION("""COMPUTED_VALUE"""),"=10,5-0,5*P_W")</f>
        <v>=10,5-0,5*P_W</v>
      </c>
      <c r="AB74" s="282" t="str">
        <f ca="1">IFERROR(__xludf.DUMMYFUNCTION("""COMPUTED_VALUE"""),"=7")</f>
        <v>=7</v>
      </c>
      <c r="AC74" s="282" t="str">
        <f ca="1">IFERROR(__xludf.DUMMYFUNCTION("""COMPUTED_VALUE"""),"=155-25*P_R")</f>
        <v>=155-25*P_R</v>
      </c>
      <c r="AD74" s="283" t="str">
        <f ca="1">IFERROR(__xludf.DUMMYFUNCTION("""COMPUTED_VALUE"""),"=8 - rounddown((Self_Level - 1) / 6)")</f>
        <v>=8 - rounddown((Self_Level - 1) / 6)</v>
      </c>
      <c r="AE74" s="281" t="b">
        <f ca="1">IFERROR(__xludf.DUMMYFUNCTION("""COMPUTED_VALUE"""),TRUE)</f>
        <v>1</v>
      </c>
      <c r="AF74" s="282" t="str">
        <f ca="1">IFERROR(__xludf.DUMMYFUNCTION("""COMPUTED_VALUE"""),"=Image(""https://ddragon.leagueoflegends.com/cdn/11.19.1/img/champion/Malphite.png"")")</f>
        <v>=Image("https://ddragon.leagueoflegends.com/cdn/11.19.1/img/champion/Malphite.png")</v>
      </c>
      <c r="AG74" s="282" t="str">
        <f ca="1">IFERROR(__xludf.DUMMYFUNCTION("""COMPUTED_VALUE"""),"=IF(OR(REGEXMATCH(FORMULATEXT(U74);""HMOD"");NOT(P_Q&gt;0));0;U74)+IF(OR(REGEXMATCH(FORMULATEXT(V74);""HMOD"");NOT(P_W&gt;0));0;V74)+IF(OR(REGEXMATCH(FORMULATEXT(W74);""HMOD"");NOT(P_E&gt;0));0;W74)+IF(OR(REGEXMATCH(FORMULATEXT(X74);""HMOD"");NOT(P_R&gt;0));0;X74)+IF"&amp;"(REGEXMATCH(FORMULATEXT(Y74);""HMOD"");0;Y74)+Self_Proc_Item+Self_Proc_Summ+Self_Proc_Rune+3*Self_DPS")</f>
        <v>=IF(OR(REGEXMATCH(FORMULATEXT(U74);"HMOD");NOT(P_Q&gt;0));0;U74)+IF(OR(REGEXMATCH(FORMULATEXT(V74);"HMOD");NOT(P_W&gt;0));0;V74)+IF(OR(REGEXMATCH(FORMULATEXT(W74);"HMOD");NOT(P_E&gt;0));0;W74)+IF(OR(REGEXMATCH(FORMULATEXT(X74);"HMOD");NOT(P_R&gt;0));0;X74)+IF(REGEXMATCH(FORMULATEXT(Y74);"HMOD");0;Y74)+Self_Proc_Item+Self_Proc_Summ+Self_Proc_Rune+3*Self_DPS</v>
      </c>
      <c r="AH74" s="282" t="str">
        <f ca="1">IFERROR(__xludf.DUMMYFUNCTION("""COMPUTED_VALUE"""),"=0")</f>
        <v>=0</v>
      </c>
      <c r="AI74" s="282" t="b">
        <f ca="1">IFERROR(__xludf.DUMMYFUNCTION("""COMPUTED_VALUE"""),FALSE)</f>
        <v>0</v>
      </c>
      <c r="AJ74" s="283" t="b">
        <f ca="1">IFERROR(__xludf.DUMMYFUNCTION("""COMPUTED_VALUE"""),FALSE)</f>
        <v>0</v>
      </c>
    </row>
    <row r="75" spans="1:36">
      <c r="A75" s="267" t="str">
        <f ca="1">IFERROR(__xludf.DUMMYFUNCTION("""COMPUTED_VALUE"""),"Malzahar")</f>
        <v>Malzahar</v>
      </c>
      <c r="B75" s="287" t="str">
        <f ca="1">IFERROR(__xludf.DUMMYFUNCTION("""COMPUTED_VALUE"""),"=580")</f>
        <v>=580</v>
      </c>
      <c r="C75" s="287" t="str">
        <f ca="1">IFERROR(__xludf.DUMMYFUNCTION("""COMPUTED_VALUE"""),"=101")</f>
        <v>=101</v>
      </c>
      <c r="D75" s="288" t="str">
        <f ca="1">IFERROR(__xludf.DUMMYFUNCTION("""COMPUTED_VALUE"""),"=6")</f>
        <v>=6</v>
      </c>
      <c r="E75" s="289" t="str">
        <f ca="1">IFERROR(__xludf.DUMMYFUNCTION("""COMPUTED_VALUE"""),"=0,6")</f>
        <v>=0,6</v>
      </c>
      <c r="F75" s="288" t="str">
        <f ca="1">IFERROR(__xludf.DUMMYFUNCTION("""COMPUTED_VALUE"""),"=375")</f>
        <v>=375</v>
      </c>
      <c r="G75" s="288" t="str">
        <f ca="1">IFERROR(__xludf.DUMMYFUNCTION("""COMPUTED_VALUE"""),"=27,5")</f>
        <v>=27,5</v>
      </c>
      <c r="H75" s="288" t="str">
        <f ca="1">IFERROR(__xludf.DUMMYFUNCTION("""COMPUTED_VALUE"""),"=8")</f>
        <v>=8</v>
      </c>
      <c r="I75" s="289" t="str">
        <f ca="1">IFERROR(__xludf.DUMMYFUNCTION("""COMPUTED_VALUE"""),"=0,8")</f>
        <v>=0,8</v>
      </c>
      <c r="J75" s="290" t="str">
        <f ca="1">IFERROR(__xludf.DUMMYFUNCTION("""COMPUTED_VALUE"""),"=55")</f>
        <v>=55</v>
      </c>
      <c r="K75" s="288" t="str">
        <f ca="1">IFERROR(__xludf.DUMMYFUNCTION("""COMPUTED_VALUE"""),"=3")</f>
        <v>=3</v>
      </c>
      <c r="L75" s="291" t="str">
        <f ca="1">IFERROR(__xludf.DUMMYFUNCTION("""COMPUTED_VALUE"""),"=0,625")</f>
        <v>=0,625</v>
      </c>
      <c r="M75" s="291" t="str">
        <f ca="1">IFERROR(__xludf.DUMMYFUNCTION("""COMPUTED_VALUE"""),"=0,625")</f>
        <v>=0,625</v>
      </c>
      <c r="N75" s="292" t="str">
        <f ca="1">IFERROR(__xludf.DUMMYFUNCTION("""COMPUTED_VALUE"""),"=1,5%")</f>
        <v>=1,5%</v>
      </c>
      <c r="O75" s="287" t="str">
        <f ca="1">IFERROR(__xludf.DUMMYFUNCTION("""COMPUTED_VALUE"""),"=18")</f>
        <v>=18</v>
      </c>
      <c r="P75" s="287" t="str">
        <f ca="1">IFERROR(__xludf.DUMMYFUNCTION("""COMPUTED_VALUE"""),"=4,7")</f>
        <v>=4,7</v>
      </c>
      <c r="Q75" s="288" t="str">
        <f ca="1">IFERROR(__xludf.DUMMYFUNCTION("""COMPUTED_VALUE"""),"=30")</f>
        <v>=30</v>
      </c>
      <c r="R75" s="289" t="str">
        <f ca="1">IFERROR(__xludf.DUMMYFUNCTION("""COMPUTED_VALUE"""),"=1,3")</f>
        <v>=1,3</v>
      </c>
      <c r="S75" s="287" t="str">
        <f ca="1">IFERROR(__xludf.DUMMYFUNCTION("""COMPUTED_VALUE"""),"=335")</f>
        <v>=335</v>
      </c>
      <c r="T75" s="628" t="str">
        <f ca="1">IFERROR(__xludf.DUMMYFUNCTION("""COMPUTED_VALUE"""),"=500")</f>
        <v>=500</v>
      </c>
      <c r="U75" s="298" t="str">
        <f ca="1">IFERROR(__xludf.DUMMYFUNCTION("""COMPUTED_VALUE"""),"=(35 + 35 * P_Q + 0,55 * Self_AP)  *MOD_Magic")</f>
        <v>=(35 + 35 * P_Q + 0,55 * Self_AP)  *MOD_Magic</v>
      </c>
      <c r="V75" s="299" t="str">
        <f ca="1">IFERROR(__xludf.DUMMYFUNCTION("""COMPUTED_VALUE"""),"=(10+2*P_W+1,5+3,5*Self_Level+0,2*Self_AP+0,4*Self_BoAD)*MOD_Magic")</f>
        <v>=(10+2*P_W+1,5+3,5*Self_Level+0,2*Self_AP+0,4*Self_BoAD)*MOD_Magic</v>
      </c>
      <c r="W75" s="299" t="str">
        <f ca="1">IFERROR(__xludf.DUMMYFUNCTION("""COMPUTED_VALUE"""),"=(45+35*P_E+0,8*Self_AP)*MOD_Magic")</f>
        <v>=(45+35*P_E+0,8*Self_AP)*MOD_Magic</v>
      </c>
      <c r="X75" s="299" t="str">
        <f ca="1">IFERROR(__xludf.DUMMYFUNCTION("""COMPUTED_VALUE"""),"=(50+75*P_R+0,8*Self_AP+(0,05+0,05*P_R+0,00025*Self_AP)*E_MHP)*MOD_Magic")</f>
        <v>=(50+75*P_R+0,8*Self_AP+(0,05+0,05*P_R+0,00025*Self_AP)*E_MHP)*MOD_Magic</v>
      </c>
      <c r="Y75" s="300" t="str">
        <f ca="1">IFERROR(__xludf.DUMMYFUNCTION("""COMPUTED_VALUE"""),"=0")</f>
        <v>=0</v>
      </c>
      <c r="Z75" s="281" t="str">
        <f ca="1">IFERROR(__xludf.DUMMYFUNCTION("""COMPUTED_VALUE"""),"=6")</f>
        <v>=6</v>
      </c>
      <c r="AA75" s="282" t="str">
        <f ca="1">IFERROR(__xludf.DUMMYFUNCTION("""COMPUTED_VALUE"""),"=8")</f>
        <v>=8</v>
      </c>
      <c r="AB75" s="282" t="str">
        <f ca="1">IFERROR(__xludf.DUMMYFUNCTION("""COMPUTED_VALUE"""),"=17-2*P_E")</f>
        <v>=17-2*P_E</v>
      </c>
      <c r="AC75" s="282" t="str">
        <f ca="1">IFERROR(__xludf.DUMMYFUNCTION("""COMPUTED_VALUE"""),"=170-30*P_R")</f>
        <v>=170-30*P_R</v>
      </c>
      <c r="AD75" s="283" t="str">
        <f ca="1">IFERROR(__xludf.DUMMYFUNCTION("""COMPUTED_VALUE"""),"=30-6*rounddown((Self_Level-1)/5)")</f>
        <v>=30-6*rounddown((Self_Level-1)/5)</v>
      </c>
      <c r="AE75" s="281" t="b">
        <f ca="1">IFERROR(__xludf.DUMMYFUNCTION("""COMPUTED_VALUE"""),FALSE)</f>
        <v>0</v>
      </c>
      <c r="AF75" s="282" t="str">
        <f ca="1">IFERROR(__xludf.DUMMYFUNCTION("""COMPUTED_VALUE"""),"=Image(""https://ddragon.leagueoflegends.com/cdn/11.19.1/img/champion/Malzahar.png"")")</f>
        <v>=Image("https://ddragon.leagueoflegends.com/cdn/11.19.1/img/champion/Malzahar.png")</v>
      </c>
      <c r="AG75" s="282" t="str">
        <f ca="1">IFERROR(__xludf.DUMMYFUNCTION("""COMPUTED_VALUE"""),"=IF(OR(REGEXMATCH(FORMULATEXT(U75);""HMOD"");NOT(P_Q&gt;0));0;U75)+IF(OR(REGEXMATCH(FORMULATEXT(V75);""HMOD"");NOT(P_W&gt;0));0;V75)+IF(OR(REGEXMATCH(FORMULATEXT(W75);""HMOD"");NOT(P_E&gt;0));0;W75)+IF(OR(REGEXMATCH(FORMULATEXT(X75);""HMOD"");NOT(P_R&gt;0));0;X75)+IF"&amp;"(REGEXMATCH(FORMULATEXT(Y75);""HMOD"");0;Y75)+Self_Proc_Item+Self_Proc_Summ+Self_Proc_Rune+3*Self_DPS")</f>
        <v>=IF(OR(REGEXMATCH(FORMULATEXT(U75);"HMOD");NOT(P_Q&gt;0));0;U75)+IF(OR(REGEXMATCH(FORMULATEXT(V75);"HMOD");NOT(P_W&gt;0));0;V75)+IF(OR(REGEXMATCH(FORMULATEXT(W75);"HMOD");NOT(P_E&gt;0));0;W75)+IF(OR(REGEXMATCH(FORMULATEXT(X75);"HMOD");NOT(P_R&gt;0));0;X75)+IF(REGEXMATCH(FORMULATEXT(Y75);"HMOD");0;Y75)+Self_Proc_Item+Self_Proc_Summ+Self_Proc_Rune+3*Self_DPS</v>
      </c>
      <c r="AH75" s="282" t="str">
        <f ca="1">IFERROR(__xludf.DUMMYFUNCTION("""COMPUTED_VALUE"""),"=0")</f>
        <v>=0</v>
      </c>
      <c r="AI75" s="282" t="b">
        <f ca="1">IFERROR(__xludf.DUMMYFUNCTION("""COMPUTED_VALUE"""),FALSE)</f>
        <v>0</v>
      </c>
      <c r="AJ75" s="283" t="b">
        <f ca="1">IFERROR(__xludf.DUMMYFUNCTION("""COMPUTED_VALUE"""),FALSE)</f>
        <v>0</v>
      </c>
    </row>
    <row r="76" spans="1:36">
      <c r="A76" s="267" t="str">
        <f ca="1">IFERROR(__xludf.DUMMYFUNCTION("""COMPUTED_VALUE"""),"Maokai")</f>
        <v>Maokai</v>
      </c>
      <c r="B76" s="287" t="str">
        <f ca="1">IFERROR(__xludf.DUMMYFUNCTION("""COMPUTED_VALUE"""),"=635")</f>
        <v>=635</v>
      </c>
      <c r="C76" s="287" t="str">
        <f ca="1">IFERROR(__xludf.DUMMYFUNCTION("""COMPUTED_VALUE"""),"=109")</f>
        <v>=109</v>
      </c>
      <c r="D76" s="288" t="str">
        <f ca="1">IFERROR(__xludf.DUMMYFUNCTION("""COMPUTED_VALUE"""),"=5")</f>
        <v>=5</v>
      </c>
      <c r="E76" s="289" t="str">
        <f ca="1">IFERROR(__xludf.DUMMYFUNCTION("""COMPUTED_VALUE"""),"=0,75")</f>
        <v>=0,75</v>
      </c>
      <c r="F76" s="288" t="str">
        <f ca="1">IFERROR(__xludf.DUMMYFUNCTION("""COMPUTED_VALUE"""),"=375")</f>
        <v>=375</v>
      </c>
      <c r="G76" s="288" t="str">
        <f ca="1">IFERROR(__xludf.DUMMYFUNCTION("""COMPUTED_VALUE"""),"=43")</f>
        <v>=43</v>
      </c>
      <c r="H76" s="288" t="str">
        <f ca="1">IFERROR(__xludf.DUMMYFUNCTION("""COMPUTED_VALUE"""),"=7,2")</f>
        <v>=7,2</v>
      </c>
      <c r="I76" s="289" t="str">
        <f ca="1">IFERROR(__xludf.DUMMYFUNCTION("""COMPUTED_VALUE"""),"=0,6")</f>
        <v>=0,6</v>
      </c>
      <c r="J76" s="290" t="str">
        <f ca="1">IFERROR(__xludf.DUMMYFUNCTION("""COMPUTED_VALUE"""),"=64")</f>
        <v>=64</v>
      </c>
      <c r="K76" s="288" t="str">
        <f ca="1">IFERROR(__xludf.DUMMYFUNCTION("""COMPUTED_VALUE"""),"=3,3")</f>
        <v>=3,3</v>
      </c>
      <c r="L76" s="291" t="str">
        <f ca="1">IFERROR(__xludf.DUMMYFUNCTION("""COMPUTED_VALUE"""),"=0,8")</f>
        <v>=0,8</v>
      </c>
      <c r="M76" s="291" t="str">
        <f ca="1">IFERROR(__xludf.DUMMYFUNCTION("""COMPUTED_VALUE"""),"=0,695")</f>
        <v>=0,695</v>
      </c>
      <c r="N76" s="292" t="str">
        <f ca="1">IFERROR(__xludf.DUMMYFUNCTION("""COMPUTED_VALUE"""),"=2,125%")</f>
        <v>=2,125%</v>
      </c>
      <c r="O76" s="287" t="str">
        <f ca="1">IFERROR(__xludf.DUMMYFUNCTION("""COMPUTED_VALUE"""),"=39")</f>
        <v>=39</v>
      </c>
      <c r="P76" s="287" t="str">
        <f ca="1">IFERROR(__xludf.DUMMYFUNCTION("""COMPUTED_VALUE"""),"=5,2")</f>
        <v>=5,2</v>
      </c>
      <c r="Q76" s="288" t="str">
        <f ca="1">IFERROR(__xludf.DUMMYFUNCTION("""COMPUTED_VALUE"""),"=32")</f>
        <v>=32</v>
      </c>
      <c r="R76" s="289" t="str">
        <f ca="1">IFERROR(__xludf.DUMMYFUNCTION("""COMPUTED_VALUE"""),"=2,05")</f>
        <v>=2,05</v>
      </c>
      <c r="S76" s="287" t="str">
        <f ca="1">IFERROR(__xludf.DUMMYFUNCTION("""COMPUTED_VALUE"""),"=335")</f>
        <v>=335</v>
      </c>
      <c r="T76" s="628" t="str">
        <f ca="1">IFERROR(__xludf.DUMMYFUNCTION("""COMPUTED_VALUE"""),"=125")</f>
        <v>=125</v>
      </c>
      <c r="U76" s="295" t="str">
        <f ca="1">IFERROR(__xludf.DUMMYFUNCTION("""COMPUTED_VALUE"""),"=(20 + 50 * P_Q + 0,4 * Self_AP + (0,015 + 0,005 * P_Q) * E_MHP)*MOD_Magic")</f>
        <v>=(20 + 50 * P_Q + 0,4 * Self_AP + (0,015 + 0,005 * P_Q) * E_MHP)*MOD_Magic</v>
      </c>
      <c r="V76" s="296" t="str">
        <f ca="1">IFERROR(__xludf.DUMMYFUNCTION("""COMPUTED_VALUE"""),"=(35 + 25 * P_W + 0,4 * Self_AP) * MOD_Magic")</f>
        <v>=(35 + 25 * P_W + 0,4 * Self_AP) * MOD_Magic</v>
      </c>
      <c r="W76" s="296" t="str">
        <f ca="1">IFERROR(__xludf.DUMMYFUNCTION("""COMPUTED_VALUE"""),"=(25 + 25 * P_E + 0,05 * Self_BoHP + 0,25 * Self_AP) * MOD_Magic * IF(Steroid_E; 2; 1)")</f>
        <v>=(25 + 25 * P_E + 0,05 * Self_BoHP + 0,25 * Self_AP) * MOD_Magic * IF(Steroid_E; 2; 1)</v>
      </c>
      <c r="X76" s="296" t="str">
        <f ca="1">IFERROR(__xludf.DUMMYFUNCTION("""COMPUTED_VALUE"""),"=(75+75*P_R+0,75*Self_AP)*MOD_Magic")</f>
        <v>=(75+75*P_R+0,75*Self_AP)*MOD_Magic</v>
      </c>
      <c r="Y76" s="297" t="str">
        <f ca="1">IFERROR(__xludf.DUMMYFUNCTION("""COMPUTED_VALUE"""),"=IF(Self_Level &gt;= 17; 34 + 0,12 * Self_MHP;IF(Self_Level &gt;= 15; 29 + 0,1 * Self_MHP; IF(Self_Level &gt;= 13; 24 + 0,09 * Self_MHP; IF(Self_Level &gt; 11; 19 + 0,075 * Self_MHP; IF(Self_Level &gt;= 9; 14 + 0,065 * Self_MHP; IF(Self_Level &gt;= 6; 9 + 0,05 * Self_MHP; "&amp;"4 + 0,04 * Self_MHP)))))) * MOD_Heal")</f>
        <v>=IF(Self_Level &gt;= 17; 34 + 0,12 * Self_MHP;IF(Self_Level &gt;= 15; 29 + 0,1 * Self_MHP; IF(Self_Level &gt;= 13; 24 + 0,09 * Self_MHP; IF(Self_Level &gt; 11; 19 + 0,075 * Self_MHP; IF(Self_Level &gt;= 9; 14 + 0,065 * Self_MHP; IF(Self_Level &gt;= 6; 9 + 0,05 * Self_MHP; 4 + 0,04 * Self_MHP)))))) * MOD_Heal</v>
      </c>
      <c r="Z76" s="281" t="str">
        <f ca="1">IFERROR(__xludf.DUMMYFUNCTION("""COMPUTED_VALUE"""),"=8,75-0,75*P_Q")</f>
        <v>=8,75-0,75*P_Q</v>
      </c>
      <c r="AA76" s="282" t="str">
        <f ca="1">IFERROR(__xludf.DUMMYFUNCTION("""COMPUTED_VALUE"""),"=14-P_W")</f>
        <v>=14-P_W</v>
      </c>
      <c r="AB76" s="282" t="str">
        <f ca="1">IFERROR(__xludf.DUMMYFUNCTION("""COMPUTED_VALUE"""),"=14")</f>
        <v>=14</v>
      </c>
      <c r="AC76" s="282" t="str">
        <f ca="1">IFERROR(__xludf.DUMMYFUNCTION("""COMPUTED_VALUE"""),"=130 - 10 * P_R")</f>
        <v>=130 - 10 * P_R</v>
      </c>
      <c r="AD76" s="283" t="str">
        <f ca="1">IFERROR(__xludf.DUMMYFUNCTION("""COMPUTED_VALUE"""),"=30")</f>
        <v>=30</v>
      </c>
      <c r="AE76" s="281" t="b">
        <f ca="1">IFERROR(__xludf.DUMMYFUNCTION("""COMPUTED_VALUE"""),TRUE)</f>
        <v>1</v>
      </c>
      <c r="AF76" s="282" t="str">
        <f ca="1">IFERROR(__xludf.DUMMYFUNCTION("""COMPUTED_VALUE"""),"=Image(""https://ddragon.leagueoflegends.com/cdn/11.19.1/img/champion/Maokai.png"")")</f>
        <v>=Image("https://ddragon.leagueoflegends.com/cdn/11.19.1/img/champion/Maokai.png")</v>
      </c>
      <c r="AG76" s="282" t="str">
        <f ca="1">IFERROR(__xludf.DUMMYFUNCTION("""COMPUTED_VALUE"""),"=IF(OR(REGEXMATCH(FORMULATEXT(U76);""HMOD"");NOT(P_Q&gt;0));0;U76)+IF(OR(REGEXMATCH(FORMULATEXT(V76);""HMOD"");NOT(P_W&gt;0));0;V76)+IF(OR(REGEXMATCH(FORMULATEXT(W76);""HMOD"");NOT(P_E&gt;0));0;W76)+IF(OR(REGEXMATCH(FORMULATEXT(X76);""HMOD"");NOT(P_R&gt;0));0;X76)+IF"&amp;"(REGEXMATCH(FORMULATEXT(Y76);""HMOD"");0;Y76)+Self_Proc_Item+Self_Proc_Summ+Self_Proc_Rune+3*Self_DPS")</f>
        <v>=IF(OR(REGEXMATCH(FORMULATEXT(U76);"HMOD");NOT(P_Q&gt;0));0;U76)+IF(OR(REGEXMATCH(FORMULATEXT(V76);"HMOD");NOT(P_W&gt;0));0;V76)+IF(OR(REGEXMATCH(FORMULATEXT(W76);"HMOD");NOT(P_E&gt;0));0;W76)+IF(OR(REGEXMATCH(FORMULATEXT(X76);"HMOD");NOT(P_R&gt;0));0;X76)+IF(REGEXMATCH(FORMULATEXT(Y76);"HMOD");0;Y76)+Self_Proc_Item+Self_Proc_Summ+Self_Proc_Rune+3*Self_DPS</v>
      </c>
      <c r="AH76" s="282" t="str">
        <f ca="1">IFERROR(__xludf.DUMMYFUNCTION("""COMPUTED_VALUE"""),"=0")</f>
        <v>=0</v>
      </c>
      <c r="AI76" s="282" t="b">
        <f ca="1">IFERROR(__xludf.DUMMYFUNCTION("""COMPUTED_VALUE"""),FALSE)</f>
        <v>0</v>
      </c>
      <c r="AJ76" s="283" t="b">
        <f ca="1">IFERROR(__xludf.DUMMYFUNCTION("""COMPUTED_VALUE"""),FALSE)</f>
        <v>0</v>
      </c>
    </row>
    <row r="77" spans="1:36">
      <c r="A77" s="267" t="str">
        <f ca="1">IFERROR(__xludf.DUMMYFUNCTION("""COMPUTED_VALUE"""),"Master Yi")</f>
        <v>Master Yi</v>
      </c>
      <c r="B77" s="287" t="str">
        <f ca="1">IFERROR(__xludf.DUMMYFUNCTION("""COMPUTED_VALUE"""),"=669")</f>
        <v>=669</v>
      </c>
      <c r="C77" s="287" t="str">
        <f ca="1">IFERROR(__xludf.DUMMYFUNCTION("""COMPUTED_VALUE"""),"=100")</f>
        <v>=100</v>
      </c>
      <c r="D77" s="288" t="str">
        <f ca="1">IFERROR(__xludf.DUMMYFUNCTION("""COMPUTED_VALUE"""),"=7,5")</f>
        <v>=7,5</v>
      </c>
      <c r="E77" s="289" t="str">
        <f ca="1">IFERROR(__xludf.DUMMYFUNCTION("""COMPUTED_VALUE"""),"=0,65")</f>
        <v>=0,65</v>
      </c>
      <c r="F77" s="288" t="str">
        <f ca="1">IFERROR(__xludf.DUMMYFUNCTION("""COMPUTED_VALUE"""),"=251")</f>
        <v>=251</v>
      </c>
      <c r="G77" s="288" t="str">
        <f ca="1">IFERROR(__xludf.DUMMYFUNCTION("""COMPUTED_VALUE"""),"=42")</f>
        <v>=42</v>
      </c>
      <c r="H77" s="288" t="str">
        <f ca="1">IFERROR(__xludf.DUMMYFUNCTION("""COMPUTED_VALUE"""),"=7,3")</f>
        <v>=7,3</v>
      </c>
      <c r="I77" s="289" t="str">
        <f ca="1">IFERROR(__xludf.DUMMYFUNCTION("""COMPUTED_VALUE"""),"=0,45")</f>
        <v>=0,45</v>
      </c>
      <c r="J77" s="290" t="str">
        <f ca="1">IFERROR(__xludf.DUMMYFUNCTION("""COMPUTED_VALUE"""),"=65")</f>
        <v>=65</v>
      </c>
      <c r="K77" s="288" t="str">
        <f ca="1">IFERROR(__xludf.DUMMYFUNCTION("""COMPUTED_VALUE"""),"=2,2")</f>
        <v>=2,2</v>
      </c>
      <c r="L77" s="291" t="str">
        <f ca="1">IFERROR(__xludf.DUMMYFUNCTION("""COMPUTED_VALUE"""),"=0,679")</f>
        <v>=0,679</v>
      </c>
      <c r="M77" s="291" t="str">
        <f ca="1">IFERROR(__xludf.DUMMYFUNCTION("""COMPUTED_VALUE"""),"=0,679")</f>
        <v>=0,679</v>
      </c>
      <c r="N77" s="292" t="str">
        <f ca="1">IFERROR(__xludf.DUMMYFUNCTION("""COMPUTED_VALUE"""),"=2%")</f>
        <v>=2%</v>
      </c>
      <c r="O77" s="287" t="str">
        <f ca="1">IFERROR(__xludf.DUMMYFUNCTION("""COMPUTED_VALUE"""),"=33")</f>
        <v>=33</v>
      </c>
      <c r="P77" s="287" t="str">
        <f ca="1">IFERROR(__xludf.DUMMYFUNCTION("""COMPUTED_VALUE"""),"=4,2")</f>
        <v>=4,2</v>
      </c>
      <c r="Q77" s="288" t="str">
        <f ca="1">IFERROR(__xludf.DUMMYFUNCTION("""COMPUTED_VALUE"""),"=32")</f>
        <v>=32</v>
      </c>
      <c r="R77" s="289" t="str">
        <f ca="1">IFERROR(__xludf.DUMMYFUNCTION("""COMPUTED_VALUE"""),"=2,05")</f>
        <v>=2,05</v>
      </c>
      <c r="S77" s="287" t="str">
        <f ca="1">IFERROR(__xludf.DUMMYFUNCTION("""COMPUTED_VALUE"""),"=355")</f>
        <v>=355</v>
      </c>
      <c r="T77" s="628" t="str">
        <f ca="1">IFERROR(__xludf.DUMMYFUNCTION("""COMPUTED_VALUE"""),"=175")</f>
        <v>=175</v>
      </c>
      <c r="U77" s="298" t="str">
        <f ca="1">IFERROR(__xludf.DUMMYFUNCTION("""COMPUTED_VALUE"""),"=(((30 * P_Q + 0,5 * Self_AD) * (1 + (Self_Crit * ((Self_CritDMG - 1) * (7/15) + IT_CDMG)))) * MOD_Phys) * IF(Steroid_Q; 1,75; 1) + (OH_Phys + OH_Magic + OH_True) * IF(Steroid_Q; 1,3125; 0,75)")</f>
        <v>=(((30 * P_Q + 0,5 * Self_AD) * (1 + (Self_Crit * ((Self_CritDMG - 1) * (7/15) + IT_CDMG)))) * MOD_Phys) * IF(Steroid_Q; 1,75; 1) + (OH_Phys + OH_Magic + OH_True) * IF(Steroid_Q; 1,3125; 0,75)</v>
      </c>
      <c r="V77" s="299" t="str">
        <f ca="1">IFERROR(__xludf.DUMMYFUNCTION("""COMPUTED_VALUE"""),"=(40+80*P_W+Self_AP)*MOD_Heal*(1+(1-(Self_CHPP/100)))")</f>
        <v>=(40+80*P_W+Self_AP)*MOD_Heal*(1+(1-(Self_CHPP/100)))</v>
      </c>
      <c r="W77" s="299" t="str">
        <f ca="1">IFERROR(__xludf.DUMMYFUNCTION("""COMPUTED_VALUE"""),"=(25 + 5 * P_E + 0,3 * Self_BoAD) * Calc!O10")</f>
        <v>=(25 + 5 * P_E + 0,3 * Self_BoAD) * Calc!O10</v>
      </c>
      <c r="X77" s="299" t="str">
        <f ca="1">IFERROR(__xludf.DUMMYFUNCTION("""COMPUTED_VALUE"""),"=0")</f>
        <v>=0</v>
      </c>
      <c r="Y77" s="300" t="str">
        <f ca="1">IFERROR(__xludf.DUMMYFUNCTION("""COMPUTED_VALUE"""),"=0,5*MOD_Phys*Self_AD*(1+Self_Crit*(Self_CritDMG-1))+(OH_Magic+OH_Phys+OH_True)")</f>
        <v>=0,5*MOD_Phys*Self_AD*(1+Self_Crit*(Self_CritDMG-1))+(OH_Magic+OH_Phys+OH_True)</v>
      </c>
      <c r="Z77" s="281" t="str">
        <f ca="1">IFERROR(__xludf.DUMMYFUNCTION("""COMPUTED_VALUE"""),"=20,5-0,5*P_Q")</f>
        <v>=20,5-0,5*P_Q</v>
      </c>
      <c r="AA77" s="282" t="str">
        <f ca="1">IFERROR(__xludf.DUMMYFUNCTION("""COMPUTED_VALUE"""),"=9")</f>
        <v>=9</v>
      </c>
      <c r="AB77" s="282" t="str">
        <f ca="1">IFERROR(__xludf.DUMMYFUNCTION("""COMPUTED_VALUE"""),"=18")</f>
        <v>=18</v>
      </c>
      <c r="AC77" s="282" t="str">
        <f ca="1">IFERROR(__xludf.DUMMYFUNCTION("""COMPUTED_VALUE"""),"=85")</f>
        <v>=85</v>
      </c>
      <c r="AD77" s="283" t="str">
        <f ca="1">IFERROR(__xludf.DUMMYFUNCTION("""COMPUTED_VALUE"""),"=1")</f>
        <v>=1</v>
      </c>
      <c r="AE77" s="281" t="b">
        <f ca="1">IFERROR(__xludf.DUMMYFUNCTION("""COMPUTED_VALUE"""),TRUE)</f>
        <v>1</v>
      </c>
      <c r="AF77" s="282" t="str">
        <f ca="1">IFERROR(__xludf.DUMMYFUNCTION("""COMPUTED_VALUE"""),"=Image(""https://ddragon.leagueoflegends.com/cdn/11.19.1/img/champion/MasterYi.png"")")</f>
        <v>=Image("https://ddragon.leagueoflegends.com/cdn/11.19.1/img/champion/MasterYi.png")</v>
      </c>
      <c r="AG77" s="282" t="str">
        <f ca="1">IFERROR(__xludf.DUMMYFUNCTION("""COMPUTED_VALUE"""),"=IF(OR(REGEXMATCH(FORMULATEXT(U77);""HMOD"");NOT(P_Q&gt;0));0;U77)+IF(OR(REGEXMATCH(FORMULATEXT(V77);""HMOD"");NOT(P_W&gt;0));0;V77)+IF(OR(REGEXMATCH(FORMULATEXT(W77);""HMOD"");NOT(P_E&gt;0));0;W77)+IF(OR(REGEXMATCH(FORMULATEXT(X77);""HMOD"");NOT(P_R&gt;0));0;X77)+IF"&amp;"(REGEXMATCH(FORMULATEXT(Y77);""HMOD"");0;Y77)+Self_Proc_Item+Self_Proc_Summ+Self_Proc_Rune+3*Self_DPS")</f>
        <v>=IF(OR(REGEXMATCH(FORMULATEXT(U77);"HMOD");NOT(P_Q&gt;0));0;U77)+IF(OR(REGEXMATCH(FORMULATEXT(V77);"HMOD");NOT(P_W&gt;0));0;V77)+IF(OR(REGEXMATCH(FORMULATEXT(W77);"HMOD");NOT(P_E&gt;0));0;W77)+IF(OR(REGEXMATCH(FORMULATEXT(X77);"HMOD");NOT(P_R&gt;0));0;X77)+IF(REGEXMATCH(FORMULATEXT(Y77);"HMOD");0;Y77)+Self_Proc_Item+Self_Proc_Summ+Self_Proc_Rune+3*Self_DPS</v>
      </c>
      <c r="AH77" s="282" t="str">
        <f ca="1">IFERROR(__xludf.DUMMYFUNCTION("""COMPUTED_VALUE"""),"=0")</f>
        <v>=0</v>
      </c>
      <c r="AI77" s="282" t="b">
        <f ca="1">IFERROR(__xludf.DUMMYFUNCTION("""COMPUTED_VALUE"""),FALSE)</f>
        <v>0</v>
      </c>
      <c r="AJ77" s="283" t="b">
        <f ca="1">IFERROR(__xludf.DUMMYFUNCTION("""COMPUTED_VALUE"""),FALSE)</f>
        <v>0</v>
      </c>
    </row>
    <row r="78" spans="1:36">
      <c r="A78" s="267" t="str">
        <f ca="1">IFERROR(__xludf.DUMMYFUNCTION("""COMPUTED_VALUE"""),"Miss Fortune")</f>
        <v>Miss Fortune</v>
      </c>
      <c r="B78" s="287" t="str">
        <f ca="1">IFERROR(__xludf.DUMMYFUNCTION("""COMPUTED_VALUE"""),"=640")</f>
        <v>=640</v>
      </c>
      <c r="C78" s="287" t="str">
        <f ca="1">IFERROR(__xludf.DUMMYFUNCTION("""COMPUTED_VALUE"""),"=103")</f>
        <v>=103</v>
      </c>
      <c r="D78" s="288" t="str">
        <f ca="1">IFERROR(__xludf.DUMMYFUNCTION("""COMPUTED_VALUE"""),"=3,75")</f>
        <v>=3,75</v>
      </c>
      <c r="E78" s="289" t="str">
        <f ca="1">IFERROR(__xludf.DUMMYFUNCTION("""COMPUTED_VALUE"""),"=0,65")</f>
        <v>=0,65</v>
      </c>
      <c r="F78" s="288" t="str">
        <f ca="1">IFERROR(__xludf.DUMMYFUNCTION("""COMPUTED_VALUE"""),"=300")</f>
        <v>=300</v>
      </c>
      <c r="G78" s="288" t="str">
        <f ca="1">IFERROR(__xludf.DUMMYFUNCTION("""COMPUTED_VALUE"""),"=40")</f>
        <v>=40</v>
      </c>
      <c r="H78" s="288" t="str">
        <f ca="1">IFERROR(__xludf.DUMMYFUNCTION("""COMPUTED_VALUE"""),"=8")</f>
        <v>=8</v>
      </c>
      <c r="I78" s="289" t="str">
        <f ca="1">IFERROR(__xludf.DUMMYFUNCTION("""COMPUTED_VALUE"""),"=0,8")</f>
        <v>=0,8</v>
      </c>
      <c r="J78" s="290" t="str">
        <f ca="1">IFERROR(__xludf.DUMMYFUNCTION("""COMPUTED_VALUE"""),"=52")</f>
        <v>=52</v>
      </c>
      <c r="K78" s="288" t="str">
        <f ca="1">IFERROR(__xludf.DUMMYFUNCTION("""COMPUTED_VALUE"""),"=2,4")</f>
        <v>=2,4</v>
      </c>
      <c r="L78" s="291" t="str">
        <f ca="1">IFERROR(__xludf.DUMMYFUNCTION("""COMPUTED_VALUE"""),"=0,656")</f>
        <v>=0,656</v>
      </c>
      <c r="M78" s="291" t="str">
        <f ca="1">IFERROR(__xludf.DUMMYFUNCTION("""COMPUTED_VALUE"""),"=0,656")</f>
        <v>=0,656</v>
      </c>
      <c r="N78" s="292" t="str">
        <f ca="1">IFERROR(__xludf.DUMMYFUNCTION("""COMPUTED_VALUE"""),"=3%")</f>
        <v>=3%</v>
      </c>
      <c r="O78" s="287" t="str">
        <f ca="1">IFERROR(__xludf.DUMMYFUNCTION("""COMPUTED_VALUE"""),"=28")</f>
        <v>=28</v>
      </c>
      <c r="P78" s="287" t="str">
        <f ca="1">IFERROR(__xludf.DUMMYFUNCTION("""COMPUTED_VALUE"""),"=4,2")</f>
        <v>=4,2</v>
      </c>
      <c r="Q78" s="288" t="str">
        <f ca="1">IFERROR(__xludf.DUMMYFUNCTION("""COMPUTED_VALUE"""),"=30")</f>
        <v>=30</v>
      </c>
      <c r="R78" s="289" t="str">
        <f ca="1">IFERROR(__xludf.DUMMYFUNCTION("""COMPUTED_VALUE"""),"=1,3")</f>
        <v>=1,3</v>
      </c>
      <c r="S78" s="287" t="str">
        <f ca="1">IFERROR(__xludf.DUMMYFUNCTION("""COMPUTED_VALUE"""),"=325")</f>
        <v>=325</v>
      </c>
      <c r="T78" s="628" t="str">
        <f ca="1">IFERROR(__xludf.DUMMYFUNCTION("""COMPUTED_VALUE"""),"=550")</f>
        <v>=550</v>
      </c>
      <c r="U78" s="295" t="str">
        <f ca="1">IFERROR(__xludf.DUMMYFUNCTION("""COMPUTED_VALUE"""),"=((-5 + 25 * P_Q + Self_AD + 0,35 * Self_AP) * IF(Steroid_Q; Self_CritDMG; (1 + Self_Crit * (Self_CritDMG - 1)))) * MOD_Phys")</f>
        <v>=((-5 + 25 * P_Q + Self_AD + 0,35 * Self_AP) * IF(Steroid_Q; Self_CritDMG; (1 + Self_Crit * (Self_CritDMG - 1)))) * MOD_Phys</v>
      </c>
      <c r="V78" s="296" t="str">
        <f ca="1">IFERROR(__xludf.DUMMYFUNCTION("""COMPUTED_VALUE"""),"=0")</f>
        <v>=0</v>
      </c>
      <c r="W78" s="296" t="str">
        <f ca="1">IFERROR(__xludf.DUMMYFUNCTION("""COMPUTED_VALUE"""),"=(40 + 30 * P_E + 1,2 * Self_AP) * MOD_Magic")</f>
        <v>=(40 + 30 * P_E + 1,2 * Self_AP) * MOD_Magic</v>
      </c>
      <c r="X78" s="296" t="str">
        <f ca="1">IFERROR(__xludf.DUMMYFUNCTION("""COMPUTED_VALUE"""),"=(((0,75 * Self_AD + 0,25 * Self_AP) * (1 + 0,2 * Self_Crit * (Self_CritDMG - 1))) * (12 + 2 * P_R)) * MOD_Phys")</f>
        <v>=(((0,75 * Self_AD + 0,25 * Self_AP) * (1 + 0,2 * Self_Crit * (Self_CritDMG - 1))) * (12 + 2 * P_R)) * MOD_Phys</v>
      </c>
      <c r="Y78" s="297" t="str">
        <f ca="1">IFERROR(__xludf.DUMMYFUNCTION("""COMPUTED_VALUE"""),"=IF(Self_Level&gt;=13;2*Self_AD;IF(Self_Level&gt;=11;1,9*Self_AD;IF(Self_Level&gt;=9;1,8*Self_AD;IF(Self_Level&gt;=7;1,7*Self_AD;IF(Self_Level&gt;=4;1,6*Self_AD;1,5*Self_AD)))))*MOD_Phys")</f>
        <v>=IF(Self_Level&gt;=13;2*Self_AD;IF(Self_Level&gt;=11;1,9*Self_AD;IF(Self_Level&gt;=9;1,8*Self_AD;IF(Self_Level&gt;=7;1,7*Self_AD;IF(Self_Level&gt;=4;1,6*Self_AD;1,5*Self_AD)))))*MOD_Phys</v>
      </c>
      <c r="Z78" s="281" t="str">
        <f ca="1">IFERROR(__xludf.DUMMYFUNCTION("""COMPUTED_VALUE"""),"=8-P_Q")</f>
        <v>=8-P_Q</v>
      </c>
      <c r="AA78" s="282" t="str">
        <f ca="1">IFERROR(__xludf.DUMMYFUNCTION("""COMPUTED_VALUE"""),"=12")</f>
        <v>=12</v>
      </c>
      <c r="AB78" s="282" t="str">
        <f ca="1">IFERROR(__xludf.DUMMYFUNCTION("""COMPUTED_VALUE"""),"=19-P_E")</f>
        <v>=19-P_E</v>
      </c>
      <c r="AC78" s="282" t="str">
        <f ca="1">IFERROR(__xludf.DUMMYFUNCTION("""COMPUTED_VALUE"""),"=130 - 10 * P_R")</f>
        <v>=130 - 10 * P_R</v>
      </c>
      <c r="AD78" s="283" t="str">
        <f ca="1">IFERROR(__xludf.DUMMYFUNCTION("""COMPUTED_VALUE"""),"=1")</f>
        <v>=1</v>
      </c>
      <c r="AE78" s="281" t="b">
        <f ca="1">IFERROR(__xludf.DUMMYFUNCTION("""COMPUTED_VALUE"""),FALSE)</f>
        <v>0</v>
      </c>
      <c r="AF78" s="282" t="str">
        <f ca="1">IFERROR(__xludf.DUMMYFUNCTION("""COMPUTED_VALUE"""),"=Image(""https://ddragon.leagueoflegends.com/cdn/11.19.1/img/champion/MissFortune.png"")")</f>
        <v>=Image("https://ddragon.leagueoflegends.com/cdn/11.19.1/img/champion/MissFortune.png")</v>
      </c>
      <c r="AG78" s="282" t="str">
        <f ca="1">IFERROR(__xludf.DUMMYFUNCTION("""COMPUTED_VALUE"""),"=IF(OR(REGEXMATCH(FORMULATEXT(U78);""HMOD"");NOT(P_Q&gt;0));0;U78)+IF(OR(REGEXMATCH(FORMULATEXT(V78);""HMOD"");NOT(P_W&gt;0));0;V78)+IF(OR(REGEXMATCH(FORMULATEXT(W78);""HMOD"");NOT(P_E&gt;0));0;W78)+IF(OR(REGEXMATCH(FORMULATEXT(X78);""HMOD"");NOT(P_R&gt;0));0;X78)+IF"&amp;"(REGEXMATCH(FORMULATEXT(Y78);""HMOD"");0;Y78)+Self_Proc_Item+Self_Proc_Summ+Self_Proc_Rune+3*Self_DPS")</f>
        <v>=IF(OR(REGEXMATCH(FORMULATEXT(U78);"HMOD");NOT(P_Q&gt;0));0;U78)+IF(OR(REGEXMATCH(FORMULATEXT(V78);"HMOD");NOT(P_W&gt;0));0;V78)+IF(OR(REGEXMATCH(FORMULATEXT(W78);"HMOD");NOT(P_E&gt;0));0;W78)+IF(OR(REGEXMATCH(FORMULATEXT(X78);"HMOD");NOT(P_R&gt;0));0;X78)+IF(REGEXMATCH(FORMULATEXT(Y78);"HMOD");0;Y78)+Self_Proc_Item+Self_Proc_Summ+Self_Proc_Rune+3*Self_DPS</v>
      </c>
      <c r="AH78" s="282" t="str">
        <f ca="1">IFERROR(__xludf.DUMMYFUNCTION("""COMPUTED_VALUE"""),"=0")</f>
        <v>=0</v>
      </c>
      <c r="AI78" s="282" t="b">
        <f ca="1">IFERROR(__xludf.DUMMYFUNCTION("""COMPUTED_VALUE"""),FALSE)</f>
        <v>0</v>
      </c>
      <c r="AJ78" s="283" t="b">
        <f ca="1">IFERROR(__xludf.DUMMYFUNCTION("""COMPUTED_VALUE"""),FALSE)</f>
        <v>0</v>
      </c>
    </row>
    <row r="79" spans="1:36">
      <c r="A79" s="267" t="str">
        <f ca="1">IFERROR(__xludf.DUMMYFUNCTION("""COMPUTED_VALUE"""),"Mordekaiser")</f>
        <v>Mordekaiser</v>
      </c>
      <c r="B79" s="287" t="str">
        <f ca="1">IFERROR(__xludf.DUMMYFUNCTION("""COMPUTED_VALUE"""),"=645")</f>
        <v>=645</v>
      </c>
      <c r="C79" s="287" t="str">
        <f ca="1">IFERROR(__xludf.DUMMYFUNCTION("""COMPUTED_VALUE"""),"=104")</f>
        <v>=104</v>
      </c>
      <c r="D79" s="288" t="str">
        <f ca="1">IFERROR(__xludf.DUMMYFUNCTION("""COMPUTED_VALUE"""),"=4")</f>
        <v>=4</v>
      </c>
      <c r="E79" s="289" t="str">
        <f ca="1">IFERROR(__xludf.DUMMYFUNCTION("""COMPUTED_VALUE"""),"=0,75")</f>
        <v>=0,75</v>
      </c>
      <c r="F79" s="288" t="str">
        <f ca="1">IFERROR(__xludf.DUMMYFUNCTION("""COMPUTED_VALUE"""),"=0")</f>
        <v>=0</v>
      </c>
      <c r="G79" s="288" t="str">
        <f ca="1">IFERROR(__xludf.DUMMYFUNCTION("""COMPUTED_VALUE"""),"=0")</f>
        <v>=0</v>
      </c>
      <c r="H79" s="288" t="str">
        <f ca="1">IFERROR(__xludf.DUMMYFUNCTION("""COMPUTED_VALUE"""),"=0")</f>
        <v>=0</v>
      </c>
      <c r="I79" s="289" t="str">
        <f ca="1">IFERROR(__xludf.DUMMYFUNCTION("""COMPUTED_VALUE"""),"=0")</f>
        <v>=0</v>
      </c>
      <c r="J79" s="290" t="str">
        <f ca="1">IFERROR(__xludf.DUMMYFUNCTION("""COMPUTED_VALUE"""),"=61")</f>
        <v>=61</v>
      </c>
      <c r="K79" s="288" t="str">
        <f ca="1">IFERROR(__xludf.DUMMYFUNCTION("""COMPUTED_VALUE"""),"=4")</f>
        <v>=4</v>
      </c>
      <c r="L79" s="291" t="str">
        <f ca="1">IFERROR(__xludf.DUMMYFUNCTION("""COMPUTED_VALUE"""),"=0,625")</f>
        <v>=0,625</v>
      </c>
      <c r="M79" s="291" t="str">
        <f ca="1">IFERROR(__xludf.DUMMYFUNCTION("""COMPUTED_VALUE"""),"=0,625")</f>
        <v>=0,625</v>
      </c>
      <c r="N79" s="292" t="str">
        <f ca="1">IFERROR(__xludf.DUMMYFUNCTION("""COMPUTED_VALUE"""),"=1%")</f>
        <v>=1%</v>
      </c>
      <c r="O79" s="287" t="str">
        <f ca="1">IFERROR(__xludf.DUMMYFUNCTION("""COMPUTED_VALUE"""),"=37")</f>
        <v>=37</v>
      </c>
      <c r="P79" s="287" t="str">
        <f ca="1">IFERROR(__xludf.DUMMYFUNCTION("""COMPUTED_VALUE"""),"=4,2")</f>
        <v>=4,2</v>
      </c>
      <c r="Q79" s="288" t="str">
        <f ca="1">IFERROR(__xludf.DUMMYFUNCTION("""COMPUTED_VALUE"""),"=32")</f>
        <v>=32</v>
      </c>
      <c r="R79" s="289" t="str">
        <f ca="1">IFERROR(__xludf.DUMMYFUNCTION("""COMPUTED_VALUE"""),"=2,05")</f>
        <v>=2,05</v>
      </c>
      <c r="S79" s="287" t="str">
        <f ca="1">IFERROR(__xludf.DUMMYFUNCTION("""COMPUTED_VALUE"""),"=335")</f>
        <v>=335</v>
      </c>
      <c r="T79" s="628" t="str">
        <f ca="1">IFERROR(__xludf.DUMMYFUNCTION("""COMPUTED_VALUE"""),"=175")</f>
        <v>=175</v>
      </c>
      <c r="U79" s="298" t="str">
        <f ca="1">IFERROR(__xludf.DUMMYFUNCTION("""COMPUTED_VALUE"""),"=(0,6 * Self_AP + 20 * P_Q + 56 + 4 * Self_Level + IF(Self_Level &gt; 9; (Self_Level - 9) * 3; 0) + IF(Self_Level &gt; 11; (Self_Level - 11) * 3; 0) + IF(Self_Level &gt; 15; (Self_Level - 15) * 6; 0)) * MOD_Magic * IF(Steroid_Q; 1,35 + 0,05 * P_Q; 1)")</f>
        <v>=(0,6 * Self_AP + 20 * P_Q + 56 + 4 * Self_Level + IF(Self_Level &gt; 9; (Self_Level - 9) * 3; 0) + IF(Self_Level &gt; 11; (Self_Level - 11) * 3; 0) + IF(Self_Level &gt; 15; (Self_Level - 15) * 6; 0)) * MOD_Magic * IF(Steroid_Q; 1,35 + 0,05 * P_Q; 1)</v>
      </c>
      <c r="V79" s="299" t="str">
        <f ca="1">IFERROR(__xludf.DUMMYFUNCTION("""COMPUTED_VALUE"""),"=0")</f>
        <v>=0</v>
      </c>
      <c r="W79" s="299" t="str">
        <f ca="1">IFERROR(__xludf.DUMMYFUNCTION("""COMPUTED_VALUE"""),"=(0,6*Self_AP+65+15*P_E)*MOD_Magic")</f>
        <v>=(0,6*Self_AP+65+15*P_E)*MOD_Magic</v>
      </c>
      <c r="X79" s="299" t="str">
        <f ca="1">IFERROR(__xludf.DUMMYFUNCTION("""COMPUTED_VALUE"""),"=0,1*E_CHPV")</f>
        <v>=0,1*E_CHPV</v>
      </c>
      <c r="Y79" s="300" t="str">
        <f ca="1">IFERROR(__xludf.DUMMYFUNCTION("""COMPUTED_VALUE"""),"=(0,3*Self_AP+(0,01+0,04*(Self_Level-1)/17)*E_MHP+4,5+Self_Level/2)*MOD_Magic")</f>
        <v>=(0,3*Self_AP+(0,01+0,04*(Self_Level-1)/17)*E_MHP+4,5+Self_Level/2)*MOD_Magic</v>
      </c>
      <c r="Z79" s="281" t="str">
        <f ca="1">IFERROR(__xludf.DUMMYFUNCTION("""COMPUTED_VALUE"""),"=10,25-1,25*P_Q")</f>
        <v>=10,25-1,25*P_Q</v>
      </c>
      <c r="AA79" s="282" t="str">
        <f ca="1">IFERROR(__xludf.DUMMYFUNCTION("""COMPUTED_VALUE"""),"=13-P_W")</f>
        <v>=13-P_W</v>
      </c>
      <c r="AB79" s="282" t="str">
        <f ca="1">IFERROR(__xludf.DUMMYFUNCTION("""COMPUTED_VALUE"""),"=20-2*P_E")</f>
        <v>=20-2*P_E</v>
      </c>
      <c r="AC79" s="282" t="str">
        <f ca="1">IFERROR(__xludf.DUMMYFUNCTION("""COMPUTED_VALUE"""),"=160 - 20 * P_R")</f>
        <v>=160 - 20 * P_R</v>
      </c>
      <c r="AD79" s="283" t="str">
        <f ca="1">IFERROR(__xludf.DUMMYFUNCTION("""COMPUTED_VALUE"""),"=1")</f>
        <v>=1</v>
      </c>
      <c r="AE79" s="281" t="b">
        <f ca="1">IFERROR(__xludf.DUMMYFUNCTION("""COMPUTED_VALUE"""),TRUE)</f>
        <v>1</v>
      </c>
      <c r="AF79" s="282" t="str">
        <f ca="1">IFERROR(__xludf.DUMMYFUNCTION("""COMPUTED_VALUE"""),"=Image(""https://ddragon.leagueoflegends.com/cdn/11.19.1/img/champion/Mordekaiser.png"")")</f>
        <v>=Image("https://ddragon.leagueoflegends.com/cdn/11.19.1/img/champion/Mordekaiser.png")</v>
      </c>
      <c r="AG79" s="282" t="str">
        <f ca="1">IFERROR(__xludf.DUMMYFUNCTION("""COMPUTED_VALUE"""),"=IF(OR(REGEXMATCH(FORMULATEXT(U79);""HMOD"");NOT(P_Q&gt;0));0;U79)+IF(OR(REGEXMATCH(FORMULATEXT(V79);""HMOD"");NOT(P_W&gt;0));0;V79)+IF(OR(REGEXMATCH(FORMULATEXT(W79);""HMOD"");NOT(P_E&gt;0));0;W79)+IF(OR(REGEXMATCH(FORMULATEXT(X79);""HMOD"");NOT(P_R&gt;0));0;X79)+IF"&amp;"(REGEXMATCH(FORMULATEXT(Y79);""HMOD"");0;Y79)+Self_Proc_Item+Self_Proc_Summ+Self_Proc_Rune+3*Self_DPS")</f>
        <v>=IF(OR(REGEXMATCH(FORMULATEXT(U79);"HMOD");NOT(P_Q&gt;0));0;U79)+IF(OR(REGEXMATCH(FORMULATEXT(V79);"HMOD");NOT(P_W&gt;0));0;V79)+IF(OR(REGEXMATCH(FORMULATEXT(W79);"HMOD");NOT(P_E&gt;0));0;W79)+IF(OR(REGEXMATCH(FORMULATEXT(X79);"HMOD");NOT(P_R&gt;0));0;X79)+IF(REGEXMATCH(FORMULATEXT(Y79);"HMOD");0;Y79)+Self_Proc_Item+Self_Proc_Summ+Self_Proc_Rune+3*Self_DPS</v>
      </c>
      <c r="AH79" s="282" t="str">
        <f ca="1">IFERROR(__xludf.DUMMYFUNCTION("""COMPUTED_VALUE"""),"=0")</f>
        <v>=0</v>
      </c>
      <c r="AI79" s="282" t="b">
        <f ca="1">IFERROR(__xludf.DUMMYFUNCTION("""COMPUTED_VALUE"""),FALSE)</f>
        <v>0</v>
      </c>
      <c r="AJ79" s="283" t="b">
        <f ca="1">IFERROR(__xludf.DUMMYFUNCTION("""COMPUTED_VALUE"""),TRUE)</f>
        <v>1</v>
      </c>
    </row>
    <row r="80" spans="1:36">
      <c r="A80" s="267" t="str">
        <f ca="1">IFERROR(__xludf.DUMMYFUNCTION("""COMPUTED_VALUE"""),"Morgana")</f>
        <v>Morgana</v>
      </c>
      <c r="B80" s="287" t="str">
        <f ca="1">IFERROR(__xludf.DUMMYFUNCTION("""COMPUTED_VALUE"""),"=630")</f>
        <v>=630</v>
      </c>
      <c r="C80" s="287" t="str">
        <f ca="1">IFERROR(__xludf.DUMMYFUNCTION("""COMPUTED_VALUE"""),"=104")</f>
        <v>=104</v>
      </c>
      <c r="D80" s="288" t="str">
        <f ca="1">IFERROR(__xludf.DUMMYFUNCTION("""COMPUTED_VALUE"""),"=5,5")</f>
        <v>=5,5</v>
      </c>
      <c r="E80" s="289" t="str">
        <f ca="1">IFERROR(__xludf.DUMMYFUNCTION("""COMPUTED_VALUE"""),"=0,4")</f>
        <v>=0,4</v>
      </c>
      <c r="F80" s="288" t="str">
        <f ca="1">IFERROR(__xludf.DUMMYFUNCTION("""COMPUTED_VALUE"""),"=341")</f>
        <v>=341</v>
      </c>
      <c r="G80" s="288" t="str">
        <f ca="1">IFERROR(__xludf.DUMMYFUNCTION("""COMPUTED_VALUE"""),"=60")</f>
        <v>=60</v>
      </c>
      <c r="H80" s="288" t="str">
        <f ca="1">IFERROR(__xludf.DUMMYFUNCTION("""COMPUTED_VALUE"""),"=11")</f>
        <v>=11</v>
      </c>
      <c r="I80" s="289" t="str">
        <f ca="1">IFERROR(__xludf.DUMMYFUNCTION("""COMPUTED_VALUE"""),"=0,4")</f>
        <v>=0,4</v>
      </c>
      <c r="J80" s="290" t="str">
        <f ca="1">IFERROR(__xludf.DUMMYFUNCTION("""COMPUTED_VALUE"""),"=56")</f>
        <v>=56</v>
      </c>
      <c r="K80" s="288" t="str">
        <f ca="1">IFERROR(__xludf.DUMMYFUNCTION("""COMPUTED_VALUE"""),"=3,5")</f>
        <v>=3,5</v>
      </c>
      <c r="L80" s="291" t="str">
        <f ca="1">IFERROR(__xludf.DUMMYFUNCTION("""COMPUTED_VALUE"""),"=0,625")</f>
        <v>=0,625</v>
      </c>
      <c r="M80" s="291" t="str">
        <f ca="1">IFERROR(__xludf.DUMMYFUNCTION("""COMPUTED_VALUE"""),"=0,625")</f>
        <v>=0,625</v>
      </c>
      <c r="N80" s="292" t="str">
        <f ca="1">IFERROR(__xludf.DUMMYFUNCTION("""COMPUTED_VALUE"""),"=1,53%")</f>
        <v>=1,53%</v>
      </c>
      <c r="O80" s="287" t="str">
        <f ca="1">IFERROR(__xludf.DUMMYFUNCTION("""COMPUTED_VALUE"""),"=25")</f>
        <v>=25</v>
      </c>
      <c r="P80" s="287" t="str">
        <f ca="1">IFERROR(__xludf.DUMMYFUNCTION("""COMPUTED_VALUE"""),"=5")</f>
        <v>=5</v>
      </c>
      <c r="Q80" s="288" t="str">
        <f ca="1">IFERROR(__xludf.DUMMYFUNCTION("""COMPUTED_VALUE"""),"=30")</f>
        <v>=30</v>
      </c>
      <c r="R80" s="289" t="str">
        <f ca="1">IFERROR(__xludf.DUMMYFUNCTION("""COMPUTED_VALUE"""),"=1,3")</f>
        <v>=1,3</v>
      </c>
      <c r="S80" s="287" t="str">
        <f ca="1">IFERROR(__xludf.DUMMYFUNCTION("""COMPUTED_VALUE"""),"=335")</f>
        <v>=335</v>
      </c>
      <c r="T80" s="628" t="str">
        <f ca="1">IFERROR(__xludf.DUMMYFUNCTION("""COMPUTED_VALUE"""),"=450")</f>
        <v>=450</v>
      </c>
      <c r="U80" s="295" t="str">
        <f ca="1">IFERROR(__xludf.DUMMYFUNCTION("""COMPUTED_VALUE"""),"=(25+55*P_Q+0,9*Self_AP)*MOD_Magic")</f>
        <v>=(25+55*P_Q+0,9*Self_AP)*MOD_Magic</v>
      </c>
      <c r="V80" s="296" t="str">
        <f ca="1">IFERROR(__xludf.DUMMYFUNCTION("""COMPUTED_VALUE"""),"=(10+50*P_W+0,7*Self_AP)*(1+1,7*(1-(E_CHP/100)))*MOD_Magic")</f>
        <v>=(10+50*P_W+0,7*Self_AP)*(1+1,7*(1-(E_CHP/100)))*MOD_Magic</v>
      </c>
      <c r="W80" s="296" t="str">
        <f ca="1">IFERROR(__xludf.DUMMYFUNCTION("""COMPUTED_VALUE"""),"=(25+55*P_E+0,7*Self_AP)*MOD_Heal")</f>
        <v>=(25+55*P_E+0,7*Self_AP)*MOD_Heal</v>
      </c>
      <c r="X80" s="296" t="str">
        <f ca="1">IFERROR(__xludf.DUMMYFUNCTION("""COMPUTED_VALUE"""),"=(150+150*P_R+1,4*Self_AP)*MOD_Magic")</f>
        <v>=(150+150*P_R+1,4*Self_AP)*MOD_Magic</v>
      </c>
      <c r="Y80" s="297" t="str">
        <f ca="1">IFERROR(__xludf.DUMMYFUNCTION("""COMPUTED_VALUE"""),"=0")</f>
        <v>=0</v>
      </c>
      <c r="Z80" s="281" t="str">
        <f ca="1">IFERROR(__xludf.DUMMYFUNCTION("""COMPUTED_VALUE"""),"=10")</f>
        <v>=10</v>
      </c>
      <c r="AA80" s="282" t="str">
        <f ca="1">IFERROR(__xludf.DUMMYFUNCTION("""COMPUTED_VALUE"""),"=12")</f>
        <v>=12</v>
      </c>
      <c r="AB80" s="282" t="str">
        <f ca="1">IFERROR(__xludf.DUMMYFUNCTION("""COMPUTED_VALUE"""),"=26-2*P_E")</f>
        <v>=26-2*P_E</v>
      </c>
      <c r="AC80" s="282" t="str">
        <f ca="1">IFERROR(__xludf.DUMMYFUNCTION("""COMPUTED_VALUE"""),"=130 - 10 * P_R")</f>
        <v>=130 - 10 * P_R</v>
      </c>
      <c r="AD80" s="283" t="str">
        <f ca="1">IFERROR(__xludf.DUMMYFUNCTION("""COMPUTED_VALUE"""),"=1")</f>
        <v>=1</v>
      </c>
      <c r="AE80" s="281" t="b">
        <f ca="1">IFERROR(__xludf.DUMMYFUNCTION("""COMPUTED_VALUE"""),FALSE)</f>
        <v>0</v>
      </c>
      <c r="AF80" s="282" t="str">
        <f ca="1">IFERROR(__xludf.DUMMYFUNCTION("""COMPUTED_VALUE"""),"=Image(""https://ddragon.leagueoflegends.com/cdn/11.19.1/img/champion/Morgana.png"")")</f>
        <v>=Image("https://ddragon.leagueoflegends.com/cdn/11.19.1/img/champion/Morgana.png")</v>
      </c>
      <c r="AG80" s="282" t="str">
        <f ca="1">IFERROR(__xludf.DUMMYFUNCTION("""COMPUTED_VALUE"""),"=IF(OR(REGEXMATCH(FORMULATEXT(U80);""HMOD"");NOT(P_Q&gt;0));0;U80)+IF(OR(REGEXMATCH(FORMULATEXT(V80);""HMOD"");NOT(P_W&gt;0));0;V80)+IF(OR(REGEXMATCH(FORMULATEXT(W80);""HMOD"");NOT(P_E&gt;0));0;W80)+IF(OR(REGEXMATCH(FORMULATEXT(X80);""HMOD"");NOT(P_R&gt;0));0;X80)+IF"&amp;"(REGEXMATCH(FORMULATEXT(Y80);""HMOD"");0;Y80)+Self_Proc_Item+Self_Proc_Summ+Self_Proc_Rune+3*Self_DPS")</f>
        <v>=IF(OR(REGEXMATCH(FORMULATEXT(U80);"HMOD");NOT(P_Q&gt;0));0;U80)+IF(OR(REGEXMATCH(FORMULATEXT(V80);"HMOD");NOT(P_W&gt;0));0;V80)+IF(OR(REGEXMATCH(FORMULATEXT(W80);"HMOD");NOT(P_E&gt;0));0;W80)+IF(OR(REGEXMATCH(FORMULATEXT(X80);"HMOD");NOT(P_R&gt;0));0;X80)+IF(REGEXMATCH(FORMULATEXT(Y80);"HMOD");0;Y80)+Self_Proc_Item+Self_Proc_Summ+Self_Proc_Rune+3*Self_DPS</v>
      </c>
      <c r="AH80" s="282" t="str">
        <f ca="1">IFERROR(__xludf.DUMMYFUNCTION("""COMPUTED_VALUE"""),"=0")</f>
        <v>=0</v>
      </c>
      <c r="AI80" s="282" t="b">
        <f ca="1">IFERROR(__xludf.DUMMYFUNCTION("""COMPUTED_VALUE"""),FALSE)</f>
        <v>0</v>
      </c>
      <c r="AJ80" s="283" t="b">
        <f ca="1">IFERROR(__xludf.DUMMYFUNCTION("""COMPUTED_VALUE"""),FALSE)</f>
        <v>0</v>
      </c>
    </row>
    <row r="81" spans="1:36">
      <c r="A81" s="267" t="str">
        <f ca="1">IFERROR(__xludf.DUMMYFUNCTION("""COMPUTED_VALUE"""),"Nami")</f>
        <v>Nami</v>
      </c>
      <c r="B81" s="287" t="str">
        <f ca="1">IFERROR(__xludf.DUMMYFUNCTION("""COMPUTED_VALUE"""),"=560")</f>
        <v>=560</v>
      </c>
      <c r="C81" s="287" t="str">
        <f ca="1">IFERROR(__xludf.DUMMYFUNCTION("""COMPUTED_VALUE"""),"=88")</f>
        <v>=88</v>
      </c>
      <c r="D81" s="288" t="str">
        <f ca="1">IFERROR(__xludf.DUMMYFUNCTION("""COMPUTED_VALUE"""),"=5,5")</f>
        <v>=5,5</v>
      </c>
      <c r="E81" s="289" t="str">
        <f ca="1">IFERROR(__xludf.DUMMYFUNCTION("""COMPUTED_VALUE"""),"=0,55")</f>
        <v>=0,55</v>
      </c>
      <c r="F81" s="288" t="str">
        <f ca="1">IFERROR(__xludf.DUMMYFUNCTION("""COMPUTED_VALUE"""),"=365")</f>
        <v>=365</v>
      </c>
      <c r="G81" s="288" t="str">
        <f ca="1">IFERROR(__xludf.DUMMYFUNCTION("""COMPUTED_VALUE"""),"=43")</f>
        <v>=43</v>
      </c>
      <c r="H81" s="288" t="str">
        <f ca="1">IFERROR(__xludf.DUMMYFUNCTION("""COMPUTED_VALUE"""),"=11,5")</f>
        <v>=11,5</v>
      </c>
      <c r="I81" s="289" t="str">
        <f ca="1">IFERROR(__xludf.DUMMYFUNCTION("""COMPUTED_VALUE"""),"=0,4")</f>
        <v>=0,4</v>
      </c>
      <c r="J81" s="290" t="str">
        <f ca="1">IFERROR(__xludf.DUMMYFUNCTION("""COMPUTED_VALUE"""),"=51")</f>
        <v>=51</v>
      </c>
      <c r="K81" s="288" t="str">
        <f ca="1">IFERROR(__xludf.DUMMYFUNCTION("""COMPUTED_VALUE"""),"=3,1")</f>
        <v>=3,1</v>
      </c>
      <c r="L81" s="291" t="str">
        <f ca="1">IFERROR(__xludf.DUMMYFUNCTION("""COMPUTED_VALUE"""),"=0,644")</f>
        <v>=0,644</v>
      </c>
      <c r="M81" s="291" t="str">
        <f ca="1">IFERROR(__xludf.DUMMYFUNCTION("""COMPUTED_VALUE"""),"=0,644")</f>
        <v>=0,644</v>
      </c>
      <c r="N81" s="292" t="str">
        <f ca="1">IFERROR(__xludf.DUMMYFUNCTION("""COMPUTED_VALUE"""),"=2,61%")</f>
        <v>=2,61%</v>
      </c>
      <c r="O81" s="287" t="str">
        <f ca="1">IFERROR(__xludf.DUMMYFUNCTION("""COMPUTED_VALUE"""),"=29")</f>
        <v>=29</v>
      </c>
      <c r="P81" s="287" t="str">
        <f ca="1">IFERROR(__xludf.DUMMYFUNCTION("""COMPUTED_VALUE"""),"=5,2")</f>
        <v>=5,2</v>
      </c>
      <c r="Q81" s="288" t="str">
        <f ca="1">IFERROR(__xludf.DUMMYFUNCTION("""COMPUTED_VALUE"""),"=30")</f>
        <v>=30</v>
      </c>
      <c r="R81" s="289" t="str">
        <f ca="1">IFERROR(__xludf.DUMMYFUNCTION("""COMPUTED_VALUE"""),"=1,3")</f>
        <v>=1,3</v>
      </c>
      <c r="S81" s="287" t="str">
        <f ca="1">IFERROR(__xludf.DUMMYFUNCTION("""COMPUTED_VALUE"""),"=335")</f>
        <v>=335</v>
      </c>
      <c r="T81" s="628" t="str">
        <f ca="1">IFERROR(__xludf.DUMMYFUNCTION("""COMPUTED_VALUE"""),"=550")</f>
        <v>=550</v>
      </c>
      <c r="U81" s="298" t="str">
        <f ca="1">IFERROR(__xludf.DUMMYFUNCTION("""COMPUTED_VALUE"""),"=(20+55*P_Q+0,5*Self_AP)*MOD_Magic")</f>
        <v>=(20+55*P_Q+0,5*Self_AP)*MOD_Magic</v>
      </c>
      <c r="V81" s="299" t="str">
        <f ca="1">IFERROR(__xludf.DUMMYFUNCTION("""COMPUTED_VALUE"""),"=(20 + 40 * P_W + 0,55 * Self_AP) * MOD_Magic")</f>
        <v>=(20 + 40 * P_W + 0,55 * Self_AP) * MOD_Magic</v>
      </c>
      <c r="W81" s="299" t="str">
        <f ca="1">IFERROR(__xludf.DUMMYFUNCTION("""COMPUTED_VALUE"""),"=(15 + 45 * P_E + 0,6 * Self_AP) * MOD_Magic")</f>
        <v>=(15 + 45 * P_E + 0,6 * Self_AP) * MOD_Magic</v>
      </c>
      <c r="X81" s="299" t="str">
        <f ca="1">IFERROR(__xludf.DUMMYFUNCTION("""COMPUTED_VALUE"""),"=(50+100*P_R+0,6*Self_AP)*MOD_Magic")</f>
        <v>=(50+100*P_R+0,6*Self_AP)*MOD_Magic</v>
      </c>
      <c r="Y81" s="300" t="str">
        <f ca="1">IFERROR(__xludf.DUMMYFUNCTION("""COMPUTED_VALUE"""),"=45+0,2*Self_AP")</f>
        <v>=45+0,2*Self_AP</v>
      </c>
      <c r="Z81" s="281" t="str">
        <f ca="1">IFERROR(__xludf.DUMMYFUNCTION("""COMPUTED_VALUE"""),"=13-P_Q")</f>
        <v>=13-P_Q</v>
      </c>
      <c r="AA81" s="282" t="str">
        <f ca="1">IFERROR(__xludf.DUMMYFUNCTION("""COMPUTED_VALUE"""),"=10")</f>
        <v>=10</v>
      </c>
      <c r="AB81" s="282" t="str">
        <f ca="1">IFERROR(__xludf.DUMMYFUNCTION("""COMPUTED_VALUE"""),"=11")</f>
        <v>=11</v>
      </c>
      <c r="AC81" s="282" t="str">
        <f ca="1">IFERROR(__xludf.DUMMYFUNCTION("""COMPUTED_VALUE"""),"=130 - 10 * P_R")</f>
        <v>=130 - 10 * P_R</v>
      </c>
      <c r="AD81" s="283" t="str">
        <f ca="1">IFERROR(__xludf.DUMMYFUNCTION("""COMPUTED_VALUE"""),"=1")</f>
        <v>=1</v>
      </c>
      <c r="AE81" s="281" t="b">
        <f ca="1">IFERROR(__xludf.DUMMYFUNCTION("""COMPUTED_VALUE"""),FALSE)</f>
        <v>0</v>
      </c>
      <c r="AF81" s="282" t="str">
        <f ca="1">IFERROR(__xludf.DUMMYFUNCTION("""COMPUTED_VALUE"""),"=Image(""https://ddragon.leagueoflegends.com/cdn/11.19.1/img/champion/Nami.png"")")</f>
        <v>=Image("https://ddragon.leagueoflegends.com/cdn/11.19.1/img/champion/Nami.png")</v>
      </c>
      <c r="AG81" s="282" t="str">
        <f ca="1">IFERROR(__xludf.DUMMYFUNCTION("""COMPUTED_VALUE"""),"=IF(OR(REGEXMATCH(FORMULATEXT(U81);""HMOD"");NOT(P_Q&gt;0));0;U81)+IF(OR(REGEXMATCH(FORMULATEXT(V81);""HMOD"");NOT(P_W&gt;0));0;V81)+IF(OR(REGEXMATCH(FORMULATEXT(W81);""HMOD"");NOT(P_E&gt;0));0;W81)+IF(OR(REGEXMATCH(FORMULATEXT(X81);""HMOD"");NOT(P_R&gt;0));0;X81)+IF"&amp;"(REGEXMATCH(FORMULATEXT(Y81);""HMOD"");0;Y81)+Self_Proc_Item+Self_Proc_Summ+Self_Proc_Rune+3*Self_DPS")</f>
        <v>=IF(OR(REGEXMATCH(FORMULATEXT(U81);"HMOD");NOT(P_Q&gt;0));0;U81)+IF(OR(REGEXMATCH(FORMULATEXT(V81);"HMOD");NOT(P_W&gt;0));0;V81)+IF(OR(REGEXMATCH(FORMULATEXT(W81);"HMOD");NOT(P_E&gt;0));0;W81)+IF(OR(REGEXMATCH(FORMULATEXT(X81);"HMOD");NOT(P_R&gt;0));0;X81)+IF(REGEXMATCH(FORMULATEXT(Y81);"HMOD");0;Y81)+Self_Proc_Item+Self_Proc_Summ+Self_Proc_Rune+3*Self_DPS</v>
      </c>
      <c r="AH81" s="282" t="str">
        <f ca="1">IFERROR(__xludf.DUMMYFUNCTION("""COMPUTED_VALUE"""),"=0")</f>
        <v>=0</v>
      </c>
      <c r="AI81" s="282" t="b">
        <f ca="1">IFERROR(__xludf.DUMMYFUNCTION("""COMPUTED_VALUE"""),FALSE)</f>
        <v>0</v>
      </c>
      <c r="AJ81" s="283" t="b">
        <f ca="1">IFERROR(__xludf.DUMMYFUNCTION("""COMPUTED_VALUE"""),FALSE)</f>
        <v>0</v>
      </c>
    </row>
    <row r="82" spans="1:36">
      <c r="A82" s="301" t="str">
        <f ca="1">IFERROR(__xludf.DUMMYFUNCTION("""COMPUTED_VALUE"""),"Nasus")</f>
        <v>Nasus</v>
      </c>
      <c r="B82" s="282" t="str">
        <f ca="1">IFERROR(__xludf.DUMMYFUNCTION("""COMPUTED_VALUE"""),"=631")</f>
        <v>=631</v>
      </c>
      <c r="C82" s="282" t="str">
        <f ca="1">IFERROR(__xludf.DUMMYFUNCTION("""COMPUTED_VALUE"""),"=104")</f>
        <v>=104</v>
      </c>
      <c r="D82" s="282" t="str">
        <f ca="1">IFERROR(__xludf.DUMMYFUNCTION("""COMPUTED_VALUE"""),"=9")</f>
        <v>=9</v>
      </c>
      <c r="E82" s="302" t="str">
        <f ca="1">IFERROR(__xludf.DUMMYFUNCTION("""COMPUTED_VALUE"""),"=0,9")</f>
        <v>=0,9</v>
      </c>
      <c r="F82" s="282" t="str">
        <f ca="1">IFERROR(__xludf.DUMMYFUNCTION("""COMPUTED_VALUE"""),"=326")</f>
        <v>=326</v>
      </c>
      <c r="G82" s="282" t="str">
        <f ca="1">IFERROR(__xludf.DUMMYFUNCTION("""COMPUTED_VALUE"""),"=62")</f>
        <v>=62</v>
      </c>
      <c r="H82" s="282" t="str">
        <f ca="1">IFERROR(__xludf.DUMMYFUNCTION("""COMPUTED_VALUE"""),"=7,4")</f>
        <v>=7,4</v>
      </c>
      <c r="I82" s="302" t="str">
        <f ca="1">IFERROR(__xludf.DUMMYFUNCTION("""COMPUTED_VALUE"""),"=0,5")</f>
        <v>=0,5</v>
      </c>
      <c r="J82" s="303" t="str">
        <f ca="1">IFERROR(__xludf.DUMMYFUNCTION("""COMPUTED_VALUE"""),"=67")</f>
        <v>=67</v>
      </c>
      <c r="K82" s="282" t="str">
        <f ca="1">IFERROR(__xludf.DUMMYFUNCTION("""COMPUTED_VALUE"""),"=3,5")</f>
        <v>=3,5</v>
      </c>
      <c r="L82" s="304" t="str">
        <f ca="1">IFERROR(__xludf.DUMMYFUNCTION("""COMPUTED_VALUE"""),"=0,638")</f>
        <v>=0,638</v>
      </c>
      <c r="M82" s="304" t="str">
        <f ca="1">IFERROR(__xludf.DUMMYFUNCTION("""COMPUTED_VALUE"""),"=0,638")</f>
        <v>=0,638</v>
      </c>
      <c r="N82" s="305" t="str">
        <f ca="1">IFERROR(__xludf.DUMMYFUNCTION("""COMPUTED_VALUE"""),"=3,48%")</f>
        <v>=3,48%</v>
      </c>
      <c r="O82" s="282" t="str">
        <f ca="1">IFERROR(__xludf.DUMMYFUNCTION("""COMPUTED_VALUE"""),"=34")</f>
        <v>=34</v>
      </c>
      <c r="P82" s="282" t="str">
        <f ca="1">IFERROR(__xludf.DUMMYFUNCTION("""COMPUTED_VALUE"""),"=4,7")</f>
        <v>=4,7</v>
      </c>
      <c r="Q82" s="282" t="str">
        <f ca="1">IFERROR(__xludf.DUMMYFUNCTION("""COMPUTED_VALUE"""),"=32")</f>
        <v>=32</v>
      </c>
      <c r="R82" s="302" t="str">
        <f ca="1">IFERROR(__xludf.DUMMYFUNCTION("""COMPUTED_VALUE"""),"=2,05")</f>
        <v>=2,05</v>
      </c>
      <c r="S82" s="282" t="str">
        <f ca="1">IFERROR(__xludf.DUMMYFUNCTION("""COMPUTED_VALUE"""),"=350")</f>
        <v>=350</v>
      </c>
      <c r="T82" s="283" t="str">
        <f ca="1">IFERROR(__xludf.DUMMYFUNCTION("""COMPUTED_VALUE"""),"=125")</f>
        <v>=125</v>
      </c>
      <c r="U82" s="295" t="str">
        <f ca="1">IFERROR(__xludf.DUMMYFUNCTION("""COMPUTED_VALUE"""),"=(10+20*P_Q+Self_AD+Minion*3+Kills*12)*MOD_Phys")</f>
        <v>=(10+20*P_Q+Self_AD+Minion*3+Kills*12)*MOD_Phys</v>
      </c>
      <c r="V82" s="296" t="str">
        <f ca="1">IFERROR(__xludf.DUMMYFUNCTION("""COMPUTED_VALUE"""),"=0")</f>
        <v>=0</v>
      </c>
      <c r="W82" s="296" t="str">
        <f ca="1">IFERROR(__xludf.DUMMYFUNCTION("""COMPUTED_VALUE"""),"=(30+80*P_E+1,2*Self_AP)*MOD_Magic")</f>
        <v>=(30+80*P_E+1,2*Self_AP)*MOD_Magic</v>
      </c>
      <c r="X82" s="296" t="str">
        <f ca="1">IFERROR(__xludf.DUMMYFUNCTION("""COMPUTED_VALUE"""),"=((0,02+0,01*P_R+0,0001*Self_AP)*E_MHP)*MOD_Magic")</f>
        <v>=((0,02+0,01*P_R+0,0001*Self_AP)*E_MHP)*MOD_Magic</v>
      </c>
      <c r="Y82" s="297" t="str">
        <f ca="1">IFERROR(__xludf.DUMMYFUNCTION("""COMPUTED_VALUE"""),"=0")</f>
        <v>=0</v>
      </c>
      <c r="Z82" s="281" t="str">
        <f ca="1">IFERROR(__xludf.DUMMYFUNCTION("""COMPUTED_VALUE"""),"=if(Steroid_Form;0,5;1)*(8,5-P_Q)")</f>
        <v>=if(Steroid_Form;0,5;1)*(8,5-P_Q)</v>
      </c>
      <c r="AA82" s="282" t="str">
        <f ca="1">IFERROR(__xludf.DUMMYFUNCTION("""COMPUTED_VALUE"""),"=16-P_W")</f>
        <v>=16-P_W</v>
      </c>
      <c r="AB82" s="282" t="str">
        <f ca="1">IFERROR(__xludf.DUMMYFUNCTION("""COMPUTED_VALUE"""),"=12")</f>
        <v>=12</v>
      </c>
      <c r="AC82" s="282" t="str">
        <f ca="1">IFERROR(__xludf.DUMMYFUNCTION("""COMPUTED_VALUE"""),"=140 - 20 * P_R")</f>
        <v>=140 - 20 * P_R</v>
      </c>
      <c r="AD82" s="283" t="str">
        <f ca="1">IFERROR(__xludf.DUMMYFUNCTION("""COMPUTED_VALUE"""),"=1")</f>
        <v>=1</v>
      </c>
      <c r="AE82" s="281" t="b">
        <f ca="1">IFERROR(__xludf.DUMMYFUNCTION("""COMPUTED_VALUE"""),TRUE)</f>
        <v>1</v>
      </c>
      <c r="AF82" s="282" t="str">
        <f ca="1">IFERROR(__xludf.DUMMYFUNCTION("""COMPUTED_VALUE"""),"=Image(""https://ddragon.leagueoflegends.com/cdn/11.19.1/img/champion/Nasus.png"")")</f>
        <v>=Image("https://ddragon.leagueoflegends.com/cdn/11.19.1/img/champion/Nasus.png")</v>
      </c>
      <c r="AG82" s="282" t="str">
        <f ca="1">IFERROR(__xludf.DUMMYFUNCTION("""COMPUTED_VALUE"""),"=IF(OR(REGEXMATCH(FORMULATEXT(U82);""HMOD"");NOT(P_Q&gt;0));0;U82)+IF(OR(REGEXMATCH(FORMULATEXT(V82);""HMOD"");NOT(P_W&gt;0));0;V82)+IF(OR(REGEXMATCH(FORMULATEXT(W82);""HMOD"");NOT(P_E&gt;0));0;W82)+IF(OR(REGEXMATCH(FORMULATEXT(X82);""HMOD"");NOT(P_R&gt;0));0;X82)+IF"&amp;"(REGEXMATCH(FORMULATEXT(Y82);""HMOD"");0;Y82)+Self_Proc_Item+Self_Proc_Summ+Self_Proc_Rune+3*Self_DPS")</f>
        <v>=IF(OR(REGEXMATCH(FORMULATEXT(U82);"HMOD");NOT(P_Q&gt;0));0;U82)+IF(OR(REGEXMATCH(FORMULATEXT(V82);"HMOD");NOT(P_W&gt;0));0;V82)+IF(OR(REGEXMATCH(FORMULATEXT(W82);"HMOD");NOT(P_E&gt;0));0;W82)+IF(OR(REGEXMATCH(FORMULATEXT(X82);"HMOD");NOT(P_R&gt;0));0;X82)+IF(REGEXMATCH(FORMULATEXT(Y82);"HMOD");0;Y82)+Self_Proc_Item+Self_Proc_Summ+Self_Proc_Rune+3*Self_DPS</v>
      </c>
      <c r="AH82" s="282" t="str">
        <f ca="1">IFERROR(__xludf.DUMMYFUNCTION("""COMPUTED_VALUE"""),"=0")</f>
        <v>=0</v>
      </c>
      <c r="AI82" s="282" t="b">
        <f ca="1">IFERROR(__xludf.DUMMYFUNCTION("""COMPUTED_VALUE"""),FALSE)</f>
        <v>0</v>
      </c>
      <c r="AJ82" s="283" t="b">
        <f ca="1">IFERROR(__xludf.DUMMYFUNCTION("""COMPUTED_VALUE"""),FALSE)</f>
        <v>0</v>
      </c>
    </row>
    <row r="83" spans="1:36">
      <c r="A83" s="267" t="str">
        <f ca="1">IFERROR(__xludf.DUMMYFUNCTION("""COMPUTED_VALUE"""),"Nautilus")</f>
        <v>Nautilus</v>
      </c>
      <c r="B83" s="287" t="str">
        <f ca="1">IFERROR(__xludf.DUMMYFUNCTION("""COMPUTED_VALUE"""),"=646")</f>
        <v>=646</v>
      </c>
      <c r="C83" s="287" t="str">
        <f ca="1">IFERROR(__xludf.DUMMYFUNCTION("""COMPUTED_VALUE"""),"=100")</f>
        <v>=100</v>
      </c>
      <c r="D83" s="288" t="str">
        <f ca="1">IFERROR(__xludf.DUMMYFUNCTION("""COMPUTED_VALUE"""),"=8,5")</f>
        <v>=8,5</v>
      </c>
      <c r="E83" s="289" t="str">
        <f ca="1">IFERROR(__xludf.DUMMYFUNCTION("""COMPUTED_VALUE"""),"=0,55")</f>
        <v>=0,55</v>
      </c>
      <c r="F83" s="288" t="str">
        <f ca="1">IFERROR(__xludf.DUMMYFUNCTION("""COMPUTED_VALUE"""),"=400")</f>
        <v>=400</v>
      </c>
      <c r="G83" s="288" t="str">
        <f ca="1">IFERROR(__xludf.DUMMYFUNCTION("""COMPUTED_VALUE"""),"=47")</f>
        <v>=47</v>
      </c>
      <c r="H83" s="288" t="str">
        <f ca="1">IFERROR(__xludf.DUMMYFUNCTION("""COMPUTED_VALUE"""),"=8,6")</f>
        <v>=8,6</v>
      </c>
      <c r="I83" s="289" t="str">
        <f ca="1">IFERROR(__xludf.DUMMYFUNCTION("""COMPUTED_VALUE"""),"=0,5")</f>
        <v>=0,5</v>
      </c>
      <c r="J83" s="290" t="str">
        <f ca="1">IFERROR(__xludf.DUMMYFUNCTION("""COMPUTED_VALUE"""),"=61")</f>
        <v>=61</v>
      </c>
      <c r="K83" s="288" t="str">
        <f ca="1">IFERROR(__xludf.DUMMYFUNCTION("""COMPUTED_VALUE"""),"=3,3")</f>
        <v>=3,3</v>
      </c>
      <c r="L83" s="291" t="str">
        <f ca="1">IFERROR(__xludf.DUMMYFUNCTION("""COMPUTED_VALUE"""),"=0,706")</f>
        <v>=0,706</v>
      </c>
      <c r="M83" s="291" t="str">
        <f ca="1">IFERROR(__xludf.DUMMYFUNCTION("""COMPUTED_VALUE"""),"=0,612")</f>
        <v>=0,612</v>
      </c>
      <c r="N83" s="292" t="str">
        <f ca="1">IFERROR(__xludf.DUMMYFUNCTION("""COMPUTED_VALUE"""),"=1%")</f>
        <v>=1%</v>
      </c>
      <c r="O83" s="287" t="str">
        <f ca="1">IFERROR(__xludf.DUMMYFUNCTION("""COMPUTED_VALUE"""),"=39")</f>
        <v>=39</v>
      </c>
      <c r="P83" s="287" t="str">
        <f ca="1">IFERROR(__xludf.DUMMYFUNCTION("""COMPUTED_VALUE"""),"=4,95")</f>
        <v>=4,95</v>
      </c>
      <c r="Q83" s="288" t="str">
        <f ca="1">IFERROR(__xludf.DUMMYFUNCTION("""COMPUTED_VALUE"""),"=32")</f>
        <v>=32</v>
      </c>
      <c r="R83" s="289" t="str">
        <f ca="1">IFERROR(__xludf.DUMMYFUNCTION("""COMPUTED_VALUE"""),"=2,05")</f>
        <v>=2,05</v>
      </c>
      <c r="S83" s="287" t="str">
        <f ca="1">IFERROR(__xludf.DUMMYFUNCTION("""COMPUTED_VALUE"""),"=325")</f>
        <v>=325</v>
      </c>
      <c r="T83" s="628" t="str">
        <f ca="1">IFERROR(__xludf.DUMMYFUNCTION("""COMPUTED_VALUE"""),"=175")</f>
        <v>=175</v>
      </c>
      <c r="U83" s="298" t="str">
        <f ca="1">IFERROR(__xludf.DUMMYFUNCTION("""COMPUTED_VALUE"""),"=(25+45*P_Q+0,9*Self_AP)*MOD_Magic")</f>
        <v>=(25+45*P_Q+0,9*Self_AP)*MOD_Magic</v>
      </c>
      <c r="V83" s="299" t="str">
        <f ca="1">IFERROR(__xludf.DUMMYFUNCTION("""COMPUTED_VALUE"""),"=(20+10*P_W+0,4*Self_AP)*MOD_Magic")</f>
        <v>=(20+10*P_W+0,4*Self_AP)*MOD_Magic</v>
      </c>
      <c r="W83" s="299" t="str">
        <f ca="1">IFERROR(__xludf.DUMMYFUNCTION("""COMPUTED_VALUE"""),"=(20 + 35 * P_E + 0,5 * Self_AP) * MOD_Magic")</f>
        <v>=(20 + 35 * P_E + 0,5 * Self_AP) * MOD_Magic</v>
      </c>
      <c r="X83" s="299" t="str">
        <f ca="1">IFERROR(__xludf.DUMMYFUNCTION("""COMPUTED_VALUE"""),"=(25+125*P_R+0,8*Self_AP)*MOD_Magic")</f>
        <v>=(25+125*P_R+0,8*Self_AP)*MOD_Magic</v>
      </c>
      <c r="Y83" s="300" t="str">
        <f ca="1">IFERROR(__xludf.DUMMYFUNCTION("""COMPUTED_VALUE"""),"=(8 + 6 * Self_Level + Self_AD) * MOD_Phys")</f>
        <v>=(8 + 6 * Self_Level + Self_AD) * MOD_Phys</v>
      </c>
      <c r="Z83" s="281" t="str">
        <f ca="1">IFERROR(__xludf.DUMMYFUNCTION("""COMPUTED_VALUE"""),"=15-P_Q")</f>
        <v>=15-P_Q</v>
      </c>
      <c r="AA83" s="282" t="str">
        <f ca="1">IFERROR(__xludf.DUMMYFUNCTION("""COMPUTED_VALUE"""),"=12")</f>
        <v>=12</v>
      </c>
      <c r="AB83" s="282" t="str">
        <f ca="1">IFERROR(__xludf.DUMMYFUNCTION("""COMPUTED_VALUE"""),"=7,5-0,5*P_E")</f>
        <v>=7,5-0,5*P_E</v>
      </c>
      <c r="AC83" s="282" t="str">
        <f ca="1">IFERROR(__xludf.DUMMYFUNCTION("""COMPUTED_VALUE"""),"=140 - 20 * P_R")</f>
        <v>=140 - 20 * P_R</v>
      </c>
      <c r="AD83" s="283" t="str">
        <f ca="1">IFERROR(__xludf.DUMMYFUNCTION("""COMPUTED_VALUE"""),"=6")</f>
        <v>=6</v>
      </c>
      <c r="AE83" s="281" t="b">
        <f ca="1">IFERROR(__xludf.DUMMYFUNCTION("""COMPUTED_VALUE"""),TRUE)</f>
        <v>1</v>
      </c>
      <c r="AF83" s="282" t="str">
        <f ca="1">IFERROR(__xludf.DUMMYFUNCTION("""COMPUTED_VALUE"""),"=Image(""https://ddragon.leagueoflegends.com/cdn/11.19.1/img/champion/Nautilus.png"")")</f>
        <v>=Image("https://ddragon.leagueoflegends.com/cdn/11.19.1/img/champion/Nautilus.png")</v>
      </c>
      <c r="AG83" s="282" t="str">
        <f ca="1">IFERROR(__xludf.DUMMYFUNCTION("""COMPUTED_VALUE"""),"=IF(OR(REGEXMATCH(FORMULATEXT(U83);""HMOD"");NOT(P_Q&gt;0));0;U83)+IF(OR(REGEXMATCH(FORMULATEXT(V83);""HMOD"");NOT(P_W&gt;0));0;V83)+IF(OR(REGEXMATCH(FORMULATEXT(W83);""HMOD"");NOT(P_E&gt;0));0;W83)+IF(OR(REGEXMATCH(FORMULATEXT(X83);""HMOD"");NOT(P_R&gt;0));0;X83)+IF"&amp;"(REGEXMATCH(FORMULATEXT(Y83);""HMOD"");0;Y83)+Self_Proc_Item+Self_Proc_Summ+Self_Proc_Rune+3*Self_DPS")</f>
        <v>=IF(OR(REGEXMATCH(FORMULATEXT(U83);"HMOD");NOT(P_Q&gt;0));0;U83)+IF(OR(REGEXMATCH(FORMULATEXT(V83);"HMOD");NOT(P_W&gt;0));0;V83)+IF(OR(REGEXMATCH(FORMULATEXT(W83);"HMOD");NOT(P_E&gt;0));0;W83)+IF(OR(REGEXMATCH(FORMULATEXT(X83);"HMOD");NOT(P_R&gt;0));0;X83)+IF(REGEXMATCH(FORMULATEXT(Y83);"HMOD");0;Y83)+Self_Proc_Item+Self_Proc_Summ+Self_Proc_Rune+3*Self_DPS</v>
      </c>
      <c r="AH83" s="282" t="str">
        <f ca="1">IFERROR(__xludf.DUMMYFUNCTION("""COMPUTED_VALUE"""),"=0")</f>
        <v>=0</v>
      </c>
      <c r="AI83" s="282" t="b">
        <f ca="1">IFERROR(__xludf.DUMMYFUNCTION("""COMPUTED_VALUE"""),FALSE)</f>
        <v>0</v>
      </c>
      <c r="AJ83" s="283" t="b">
        <f ca="1">IFERROR(__xludf.DUMMYFUNCTION("""COMPUTED_VALUE"""),FALSE)</f>
        <v>0</v>
      </c>
    </row>
    <row r="84" spans="1:36">
      <c r="A84" s="267" t="str">
        <f ca="1">IFERROR(__xludf.DUMMYFUNCTION("""COMPUTED_VALUE"""),"Neeko")</f>
        <v>Neeko</v>
      </c>
      <c r="B84" s="287" t="str">
        <f ca="1">IFERROR(__xludf.DUMMYFUNCTION("""COMPUTED_VALUE"""),"=610")</f>
        <v>=610</v>
      </c>
      <c r="C84" s="287" t="str">
        <f ca="1">IFERROR(__xludf.DUMMYFUNCTION("""COMPUTED_VALUE"""),"=104")</f>
        <v>=104</v>
      </c>
      <c r="D84" s="288" t="str">
        <f ca="1">IFERROR(__xludf.DUMMYFUNCTION("""COMPUTED_VALUE"""),"=7,5")</f>
        <v>=7,5</v>
      </c>
      <c r="E84" s="289" t="str">
        <f ca="1">IFERROR(__xludf.DUMMYFUNCTION("""COMPUTED_VALUE"""),"=0,75")</f>
        <v>=0,75</v>
      </c>
      <c r="F84" s="288" t="str">
        <f ca="1">IFERROR(__xludf.DUMMYFUNCTION("""COMPUTED_VALUE"""),"=450")</f>
        <v>=450</v>
      </c>
      <c r="G84" s="288" t="str">
        <f ca="1">IFERROR(__xludf.DUMMYFUNCTION("""COMPUTED_VALUE"""),"=30")</f>
        <v>=30</v>
      </c>
      <c r="H84" s="288" t="str">
        <f ca="1">IFERROR(__xludf.DUMMYFUNCTION("""COMPUTED_VALUE"""),"=7")</f>
        <v>=7</v>
      </c>
      <c r="I84" s="289" t="str">
        <f ca="1">IFERROR(__xludf.DUMMYFUNCTION("""COMPUTED_VALUE"""),"=0,7")</f>
        <v>=0,7</v>
      </c>
      <c r="J84" s="290" t="str">
        <f ca="1">IFERROR(__xludf.DUMMYFUNCTION("""COMPUTED_VALUE"""),"=48")</f>
        <v>=48</v>
      </c>
      <c r="K84" s="288" t="str">
        <f ca="1">IFERROR(__xludf.DUMMYFUNCTION("""COMPUTED_VALUE"""),"=2,5")</f>
        <v>=2,5</v>
      </c>
      <c r="L84" s="291" t="str">
        <f ca="1">IFERROR(__xludf.DUMMYFUNCTION("""COMPUTED_VALUE"""),"=0,625")</f>
        <v>=0,625</v>
      </c>
      <c r="M84" s="291" t="str">
        <f ca="1">IFERROR(__xludf.DUMMYFUNCTION("""COMPUTED_VALUE"""),"=0,67")</f>
        <v>=0,67</v>
      </c>
      <c r="N84" s="292" t="str">
        <f ca="1">IFERROR(__xludf.DUMMYFUNCTION("""COMPUTED_VALUE"""),"=3,5%")</f>
        <v>=3,5%</v>
      </c>
      <c r="O84" s="287" t="str">
        <f ca="1">IFERROR(__xludf.DUMMYFUNCTION("""COMPUTED_VALUE"""),"=21")</f>
        <v>=21</v>
      </c>
      <c r="P84" s="287" t="str">
        <f ca="1">IFERROR(__xludf.DUMMYFUNCTION("""COMPUTED_VALUE"""),"=5,2")</f>
        <v>=5,2</v>
      </c>
      <c r="Q84" s="288" t="str">
        <f ca="1">IFERROR(__xludf.DUMMYFUNCTION("""COMPUTED_VALUE"""),"=30")</f>
        <v>=30</v>
      </c>
      <c r="R84" s="289" t="str">
        <f ca="1">IFERROR(__xludf.DUMMYFUNCTION("""COMPUTED_VALUE"""),"=1,3")</f>
        <v>=1,3</v>
      </c>
      <c r="S84" s="287" t="str">
        <f ca="1">IFERROR(__xludf.DUMMYFUNCTION("""COMPUTED_VALUE"""),"=340")</f>
        <v>=340</v>
      </c>
      <c r="T84" s="628" t="str">
        <f ca="1">IFERROR(__xludf.DUMMYFUNCTION("""COMPUTED_VALUE"""),"=550")</f>
        <v>=550</v>
      </c>
      <c r="U84" s="295" t="str">
        <f ca="1">IFERROR(__xludf.DUMMYFUNCTION("""COMPUTED_VALUE"""),"=(35 + 45 * P_Q + 0,5 * Self_AP + IF(Steroid_Q; 0,5 * Self_AP + 20 + 50 * P_Q)) * MOD_Magic")</f>
        <v>=(35 + 45 * P_Q + 0,5 * Self_AP + IF(Steroid_Q; 0,5 * Self_AP + 20 + 50 * P_Q)) * MOD_Magic</v>
      </c>
      <c r="V84" s="296" t="str">
        <f ca="1">IFERROR(__xludf.DUMMYFUNCTION("""COMPUTED_VALUE"""),"=(20+30*P_W+0,6*Self_AP)*MOD_Magic")</f>
        <v>=(20+30*P_W+0,6*Self_AP)*MOD_Magic</v>
      </c>
      <c r="W84" s="296" t="str">
        <f ca="1">IFERROR(__xludf.DUMMYFUNCTION("""COMPUTED_VALUE"""),"=(35 + 35 * P_E + 0,65 * Self_AP) * MOD_Magic")</f>
        <v>=(35 + 35 * P_E + 0,65 * Self_AP) * MOD_Magic</v>
      </c>
      <c r="X84" s="296" t="str">
        <f ca="1">IFERROR(__xludf.DUMMYFUNCTION("""COMPUTED_VALUE"""),"=(-50 + 200 * P_R + 1,2 * Self_AP) * MOD_Magic")</f>
        <v>=(-50 + 200 * P_R + 1,2 * Self_AP) * MOD_Magic</v>
      </c>
      <c r="Y84" s="297" t="str">
        <f ca="1">IFERROR(__xludf.DUMMYFUNCTION("""COMPUTED_VALUE"""),"=0")</f>
        <v>=0</v>
      </c>
      <c r="Z84" s="281" t="str">
        <f ca="1">IFERROR(__xludf.DUMMYFUNCTION("""COMPUTED_VALUE"""),"=7")</f>
        <v>=7</v>
      </c>
      <c r="AA84" s="282" t="str">
        <f ca="1">IFERROR(__xludf.DUMMYFUNCTION("""COMPUTED_VALUE"""),"=17 - P_W")</f>
        <v>=17 - P_W</v>
      </c>
      <c r="AB84" s="282" t="str">
        <f ca="1">IFERROR(__xludf.DUMMYFUNCTION("""COMPUTED_VALUE"""),"=12,5-0,5*P_E")</f>
        <v>=12,5-0,5*P_E</v>
      </c>
      <c r="AC84" s="282" t="str">
        <f ca="1">IFERROR(__xludf.DUMMYFUNCTION("""COMPUTED_VALUE"""),"=135-15*P_R")</f>
        <v>=135-15*P_R</v>
      </c>
      <c r="AD84" s="283" t="str">
        <f ca="1">IFERROR(__xludf.DUMMYFUNCTION("""COMPUTED_VALUE"""),"=2")</f>
        <v>=2</v>
      </c>
      <c r="AE84" s="281" t="b">
        <f ca="1">IFERROR(__xludf.DUMMYFUNCTION("""COMPUTED_VALUE"""),FALSE)</f>
        <v>0</v>
      </c>
      <c r="AF84" s="282" t="str">
        <f ca="1">IFERROR(__xludf.DUMMYFUNCTION("""COMPUTED_VALUE"""),"=Image(""https://ddragon.leagueoflegends.com/cdn/11.19.1/img/champion/Neeko.png"")")</f>
        <v>=Image("https://ddragon.leagueoflegends.com/cdn/11.19.1/img/champion/Neeko.png")</v>
      </c>
      <c r="AG84" s="282" t="str">
        <f ca="1">IFERROR(__xludf.DUMMYFUNCTION("""COMPUTED_VALUE"""),"=IF(OR(REGEXMATCH(FORMULATEXT(U84);""HMOD"");NOT(P_Q&gt;0));0;U84)+IF(OR(REGEXMATCH(FORMULATEXT(V84);""HMOD"");NOT(P_W&gt;0));0;V84)+IF(OR(REGEXMATCH(FORMULATEXT(W84);""HMOD"");NOT(P_E&gt;0));0;W84)+IF(OR(REGEXMATCH(FORMULATEXT(X84);""HMOD"");NOT(P_R&gt;0));0;X84)+IF"&amp;"(REGEXMATCH(FORMULATEXT(Y84);""HMOD"");0;Y84)+Self_Proc_Item+Self_Proc_Summ+Self_Proc_Rune+3*Self_DPS")</f>
        <v>=IF(OR(REGEXMATCH(FORMULATEXT(U84);"HMOD");NOT(P_Q&gt;0));0;U84)+IF(OR(REGEXMATCH(FORMULATEXT(V84);"HMOD");NOT(P_W&gt;0));0;V84)+IF(OR(REGEXMATCH(FORMULATEXT(W84);"HMOD");NOT(P_E&gt;0));0;W84)+IF(OR(REGEXMATCH(FORMULATEXT(X84);"HMOD");NOT(P_R&gt;0));0;X84)+IF(REGEXMATCH(FORMULATEXT(Y84);"HMOD");0;Y84)+Self_Proc_Item+Self_Proc_Summ+Self_Proc_Rune+3*Self_DPS</v>
      </c>
      <c r="AH84" s="282" t="str">
        <f ca="1">IFERROR(__xludf.DUMMYFUNCTION("""COMPUTED_VALUE"""),"=0")</f>
        <v>=0</v>
      </c>
      <c r="AI84" s="282" t="b">
        <f ca="1">IFERROR(__xludf.DUMMYFUNCTION("""COMPUTED_VALUE"""),FALSE)</f>
        <v>0</v>
      </c>
      <c r="AJ84" s="283" t="b">
        <f ca="1">IFERROR(__xludf.DUMMYFUNCTION("""COMPUTED_VALUE"""),FALSE)</f>
        <v>0</v>
      </c>
    </row>
    <row r="85" spans="1:36">
      <c r="A85" s="267" t="str">
        <f ca="1">IFERROR(__xludf.DUMMYFUNCTION("""COMPUTED_VALUE"""),"Nidalee")</f>
        <v>Nidalee</v>
      </c>
      <c r="B85" s="287" t="str">
        <f ca="1">IFERROR(__xludf.DUMMYFUNCTION("""COMPUTED_VALUE"""),"=610")</f>
        <v>=610</v>
      </c>
      <c r="C85" s="287" t="str">
        <f ca="1">IFERROR(__xludf.DUMMYFUNCTION("""COMPUTED_VALUE"""),"=109")</f>
        <v>=109</v>
      </c>
      <c r="D85" s="288" t="str">
        <f ca="1">IFERROR(__xludf.DUMMYFUNCTION("""COMPUTED_VALUE"""),"=6")</f>
        <v>=6</v>
      </c>
      <c r="E85" s="289" t="str">
        <f ca="1">IFERROR(__xludf.DUMMYFUNCTION("""COMPUTED_VALUE"""),"=0,6")</f>
        <v>=0,6</v>
      </c>
      <c r="F85" s="288" t="str">
        <f ca="1">IFERROR(__xludf.DUMMYFUNCTION("""COMPUTED_VALUE"""),"=296")</f>
        <v>=296</v>
      </c>
      <c r="G85" s="288" t="str">
        <f ca="1">IFERROR(__xludf.DUMMYFUNCTION("""COMPUTED_VALUE"""),"=45")</f>
        <v>=45</v>
      </c>
      <c r="H85" s="288" t="str">
        <f ca="1">IFERROR(__xludf.DUMMYFUNCTION("""COMPUTED_VALUE"""),"=6")</f>
        <v>=6</v>
      </c>
      <c r="I85" s="289" t="str">
        <f ca="1">IFERROR(__xludf.DUMMYFUNCTION("""COMPUTED_VALUE"""),"=0,8")</f>
        <v>=0,8</v>
      </c>
      <c r="J85" s="290" t="str">
        <f ca="1">IFERROR(__xludf.DUMMYFUNCTION("""COMPUTED_VALUE"""),"=58")</f>
        <v>=58</v>
      </c>
      <c r="K85" s="288" t="str">
        <f ca="1">IFERROR(__xludf.DUMMYFUNCTION("""COMPUTED_VALUE"""),"=3,5")</f>
        <v>=3,5</v>
      </c>
      <c r="L85" s="291" t="str">
        <f ca="1">IFERROR(__xludf.DUMMYFUNCTION("""COMPUTED_VALUE"""),"=0,638")</f>
        <v>=0,638</v>
      </c>
      <c r="M85" s="291" t="str">
        <f ca="1">IFERROR(__xludf.DUMMYFUNCTION("""COMPUTED_VALUE"""),"=0,638")</f>
        <v>=0,638</v>
      </c>
      <c r="N85" s="292" t="str">
        <f ca="1">IFERROR(__xludf.DUMMYFUNCTION("""COMPUTED_VALUE"""),"=3,22%")</f>
        <v>=3,22%</v>
      </c>
      <c r="O85" s="287" t="str">
        <f ca="1">IFERROR(__xludf.DUMMYFUNCTION("""COMPUTED_VALUE"""),"=32")</f>
        <v>=32</v>
      </c>
      <c r="P85" s="287" t="str">
        <f ca="1">IFERROR(__xludf.DUMMYFUNCTION("""COMPUTED_VALUE"""),"=5")</f>
        <v>=5</v>
      </c>
      <c r="Q85" s="288" t="str">
        <f ca="1">IFERROR(__xludf.DUMMYFUNCTION("""COMPUTED_VALUE"""),"=30")</f>
        <v>=30</v>
      </c>
      <c r="R85" s="289" t="str">
        <f ca="1">IFERROR(__xludf.DUMMYFUNCTION("""COMPUTED_VALUE"""),"=1,3")</f>
        <v>=1,3</v>
      </c>
      <c r="S85" s="287" t="str">
        <f ca="1">IFERROR(__xludf.DUMMYFUNCTION("""COMPUTED_VALUE"""),"=335")</f>
        <v>=335</v>
      </c>
      <c r="T85" s="628" t="str">
        <f ca="1">IFERROR(__xludf.DUMMYFUNCTION("""COMPUTED_VALUE"""),"=525")</f>
        <v>=525</v>
      </c>
      <c r="U85" s="298" t="str">
        <f ca="1">IFERROR(__xludf.DUMMYFUNCTION("""COMPUTED_VALUE"""),"=IF(Steroid_Form;IF(Steroid_Q;1,4;1)*((25*(P_R+1)-20+0,75*Self_AD+0,4*Self_AP)*(1+(1+0,25*P_R)*(1-(E_CHP/100))))*MOD_Magic;IF(Steroid_Q;3;1)*(50+20*P_Q+0,5*Self_AP)*MOD_Magic)")</f>
        <v>=IF(Steroid_Form;IF(Steroid_Q;1,4;1)*((25*(P_R+1)-20+0,75*Self_AD+0,4*Self_AP)*(1+(1+0,25*P_R)*(1-(E_CHP/100))))*MOD_Magic;IF(Steroid_Q;3;1)*(50+20*P_Q+0,5*Self_AP)*MOD_Magic)</v>
      </c>
      <c r="V85" s="299" t="str">
        <f ca="1">IFERROR(__xludf.DUMMYFUNCTION("""COMPUTED_VALUE"""),"=IF(Steroid_Form;(0,3*Self_AP+50*(P_R+1)+10)*MOD_Magic;(40*P_W+0,2*Self_AP)*MOD_Magic)")</f>
        <v>=IF(Steroid_Form;(0,3*Self_AP+50*(P_R+1)+10)*MOD_Magic;(40*P_W+0,2*Self_AP)*MOD_Magic)</v>
      </c>
      <c r="W85" s="299" t="str">
        <f ca="1">IFERROR(__xludf.DUMMYFUNCTION("""COMPUTED_VALUE"""),"=IF(Steroid_Form;(20+60*(P_R+1)+0,45*Self_AP)*MOD_Magic;(20+15*P_E+0,275*Self_AP)*MOD_Heal)")</f>
        <v>=IF(Steroid_Form;(20+60*(P_R+1)+0,45*Self_AP)*MOD_Magic;(20+15*P_E+0,275*Self_AP)*MOD_Heal)</v>
      </c>
      <c r="X85" s="299" t="str">
        <f ca="1">IFERROR(__xludf.DUMMYFUNCTION("""COMPUTED_VALUE"""),"=0")</f>
        <v>=0</v>
      </c>
      <c r="Y85" s="300" t="str">
        <f ca="1">IFERROR(__xludf.DUMMYFUNCTION("""COMPUTED_VALUE"""),"=0")</f>
        <v>=0</v>
      </c>
      <c r="Z85" s="281" t="str">
        <f ca="1">IFERROR(__xludf.DUMMYFUNCTION("""COMPUTED_VALUE"""),"=if(Steroid_Form;6;6)")</f>
        <v>=if(Steroid_Form;6;6)</v>
      </c>
      <c r="AA85" s="282" t="str">
        <f ca="1">IFERROR(__xludf.DUMMYFUNCTION("""COMPUTED_VALUE"""),"=if(Steroid_Form;6;14-P_W)")</f>
        <v>=if(Steroid_Form;6;14-P_W)</v>
      </c>
      <c r="AB85" s="282" t="str">
        <f ca="1">IFERROR(__xludf.DUMMYFUNCTION("""COMPUTED_VALUE"""),"=if(Steroid_Form;6;12)")</f>
        <v>=if(Steroid_Form;6;12)</v>
      </c>
      <c r="AC85" s="282" t="str">
        <f ca="1">IFERROR(__xludf.DUMMYFUNCTION("""COMPUTED_VALUE"""),"=3")</f>
        <v>=3</v>
      </c>
      <c r="AD85" s="283" t="str">
        <f ca="1">IFERROR(__xludf.DUMMYFUNCTION("""COMPUTED_VALUE"""),"=1")</f>
        <v>=1</v>
      </c>
      <c r="AE85" s="281" t="b">
        <f ca="1">IFERROR(__xludf.DUMMYFUNCTION("""COMPUTED_VALUE"""),FALSE)</f>
        <v>0</v>
      </c>
      <c r="AF85" s="282" t="str">
        <f ca="1">IFERROR(__xludf.DUMMYFUNCTION("""COMPUTED_VALUE"""),"=Image(""https://ddragon.leagueoflegends.com/cdn/11.19.1/img/champion/Nidalee.png"")")</f>
        <v>=Image("https://ddragon.leagueoflegends.com/cdn/11.19.1/img/champion/Nidalee.png")</v>
      </c>
      <c r="AG85" s="282" t="str">
        <f ca="1">IFERROR(__xludf.DUMMYFUNCTION("""COMPUTED_VALUE"""),"=IF(OR(REGEXMATCH(FORMULATEXT(U85);""HMOD"");NOT(P_Q&gt;0));0;U85)+IF(OR(REGEXMATCH(FORMULATEXT(V85);""HMOD"");NOT(P_W&gt;0));0;V85)+IF(OR(REGEXMATCH(FORMULATEXT(W85);""HMOD"");NOT(P_E&gt;0));0;W85)+IF(OR(REGEXMATCH(FORMULATEXT(X85);""HMOD"");NOT(P_R&gt;0));0;X85)+IF"&amp;"(REGEXMATCH(FORMULATEXT(Y85);""HMOD"");0;Y85)+Self_Proc_Item+Self_Proc_Summ+Self_Proc_Rune+3*Self_DPS")</f>
        <v>=IF(OR(REGEXMATCH(FORMULATEXT(U85);"HMOD");NOT(P_Q&gt;0));0;U85)+IF(OR(REGEXMATCH(FORMULATEXT(V85);"HMOD");NOT(P_W&gt;0));0;V85)+IF(OR(REGEXMATCH(FORMULATEXT(W85);"HMOD");NOT(P_E&gt;0));0;W85)+IF(OR(REGEXMATCH(FORMULATEXT(X85);"HMOD");NOT(P_R&gt;0));0;X85)+IF(REGEXMATCH(FORMULATEXT(Y85);"HMOD");0;Y85)+Self_Proc_Item+Self_Proc_Summ+Self_Proc_Rune+3*Self_DPS</v>
      </c>
      <c r="AH85" s="282" t="str">
        <f ca="1">IFERROR(__xludf.DUMMYFUNCTION("""COMPUTED_VALUE"""),"=0")</f>
        <v>=0</v>
      </c>
      <c r="AI85" s="282" t="b">
        <f ca="1">IFERROR(__xludf.DUMMYFUNCTION("""COMPUTED_VALUE"""),FALSE)</f>
        <v>0</v>
      </c>
      <c r="AJ85" s="283" t="b">
        <f ca="1">IFERROR(__xludf.DUMMYFUNCTION("""COMPUTED_VALUE"""),FALSE)</f>
        <v>0</v>
      </c>
    </row>
    <row r="86" spans="1:36">
      <c r="A86" s="267" t="str">
        <f ca="1">IFERROR(__xludf.DUMMYFUNCTION("""COMPUTED_VALUE"""),"Nocturne")</f>
        <v>Nocturne</v>
      </c>
      <c r="B86" s="287" t="str">
        <f ca="1">IFERROR(__xludf.DUMMYFUNCTION("""COMPUTED_VALUE"""),"=655")</f>
        <v>=655</v>
      </c>
      <c r="C86" s="287" t="str">
        <f ca="1">IFERROR(__xludf.DUMMYFUNCTION("""COMPUTED_VALUE"""),"=109")</f>
        <v>=109</v>
      </c>
      <c r="D86" s="288" t="str">
        <f ca="1">IFERROR(__xludf.DUMMYFUNCTION("""COMPUTED_VALUE"""),"=7")</f>
        <v>=7</v>
      </c>
      <c r="E86" s="289" t="str">
        <f ca="1">IFERROR(__xludf.DUMMYFUNCTION("""COMPUTED_VALUE"""),"=0,75")</f>
        <v>=0,75</v>
      </c>
      <c r="F86" s="288" t="str">
        <f ca="1">IFERROR(__xludf.DUMMYFUNCTION("""COMPUTED_VALUE"""),"=275")</f>
        <v>=275</v>
      </c>
      <c r="G86" s="288" t="str">
        <f ca="1">IFERROR(__xludf.DUMMYFUNCTION("""COMPUTED_VALUE"""),"=35")</f>
        <v>=35</v>
      </c>
      <c r="H86" s="288" t="str">
        <f ca="1">IFERROR(__xludf.DUMMYFUNCTION("""COMPUTED_VALUE"""),"=7")</f>
        <v>=7</v>
      </c>
      <c r="I86" s="289" t="str">
        <f ca="1">IFERROR(__xludf.DUMMYFUNCTION("""COMPUTED_VALUE"""),"=0,45")</f>
        <v>=0,45</v>
      </c>
      <c r="J86" s="290" t="str">
        <f ca="1">IFERROR(__xludf.DUMMYFUNCTION("""COMPUTED_VALUE"""),"=62")</f>
        <v>=62</v>
      </c>
      <c r="K86" s="288" t="str">
        <f ca="1">IFERROR(__xludf.DUMMYFUNCTION("""COMPUTED_VALUE"""),"=2,6")</f>
        <v>=2,6</v>
      </c>
      <c r="L86" s="291" t="str">
        <f ca="1">IFERROR(__xludf.DUMMYFUNCTION("""COMPUTED_VALUE"""),"=0,721")</f>
        <v>=0,721</v>
      </c>
      <c r="M86" s="291" t="str">
        <f ca="1">IFERROR(__xludf.DUMMYFUNCTION("""COMPUTED_VALUE"""),"=0,721")</f>
        <v>=0,721</v>
      </c>
      <c r="N86" s="292" t="str">
        <f ca="1">IFERROR(__xludf.DUMMYFUNCTION("""COMPUTED_VALUE"""),"=2,7%")</f>
        <v>=2,7%</v>
      </c>
      <c r="O86" s="287" t="str">
        <f ca="1">IFERROR(__xludf.DUMMYFUNCTION("""COMPUTED_VALUE"""),"=38")</f>
        <v>=38</v>
      </c>
      <c r="P86" s="287" t="str">
        <f ca="1">IFERROR(__xludf.DUMMYFUNCTION("""COMPUTED_VALUE"""),"=4,7")</f>
        <v>=4,7</v>
      </c>
      <c r="Q86" s="288" t="str">
        <f ca="1">IFERROR(__xludf.DUMMYFUNCTION("""COMPUTED_VALUE"""),"=32")</f>
        <v>=32</v>
      </c>
      <c r="R86" s="289" t="str">
        <f ca="1">IFERROR(__xludf.DUMMYFUNCTION("""COMPUTED_VALUE"""),"=1,55")</f>
        <v>=1,55</v>
      </c>
      <c r="S86" s="287" t="str">
        <f ca="1">IFERROR(__xludf.DUMMYFUNCTION("""COMPUTED_VALUE"""),"=345")</f>
        <v>=345</v>
      </c>
      <c r="T86" s="628" t="str">
        <f ca="1">IFERROR(__xludf.DUMMYFUNCTION("""COMPUTED_VALUE"""),"=125")</f>
        <v>=125</v>
      </c>
      <c r="U86" s="295" t="str">
        <f ca="1">IFERROR(__xludf.DUMMYFUNCTION("""COMPUTED_VALUE"""),"=(20 + 45 * P_Q + 0,85 * Self_BoAD) * MOD_Phys")</f>
        <v>=(20 + 45 * P_Q + 0,85 * Self_BoAD) * MOD_Phys</v>
      </c>
      <c r="V86" s="296" t="str">
        <f ca="1">IFERROR(__xludf.DUMMYFUNCTION("""COMPUTED_VALUE"""),"=0")</f>
        <v>=0</v>
      </c>
      <c r="W86" s="296" t="str">
        <f ca="1">IFERROR(__xludf.DUMMYFUNCTION("""COMPUTED_VALUE"""),"=(35+45*P_E+Self_AP)*MOD_Magic")</f>
        <v>=(35+45*P_E+Self_AP)*MOD_Magic</v>
      </c>
      <c r="X86" s="296" t="str">
        <f ca="1">IFERROR(__xludf.DUMMYFUNCTION("""COMPUTED_VALUE"""),"=(25+125*P_R+1,2*Self_BoAD)*MOD_Phys")</f>
        <v>=(25+125*P_R+1,2*Self_BoAD)*MOD_Phys</v>
      </c>
      <c r="Y86" s="297" t="str">
        <f ca="1">IFERROR(__xludf.DUMMYFUNCTION("""COMPUTED_VALUE"""),"=(1,2*Self_AD)*MOD_Phys")</f>
        <v>=(1,2*Self_AD)*MOD_Phys</v>
      </c>
      <c r="Z86" s="281" t="str">
        <f ca="1">IFERROR(__xludf.DUMMYFUNCTION("""COMPUTED_VALUE"""),"=8")</f>
        <v>=8</v>
      </c>
      <c r="AA86" s="282" t="str">
        <f ca="1">IFERROR(__xludf.DUMMYFUNCTION("""COMPUTED_VALUE"""),"=22 - 2 * P_W")</f>
        <v>=22 - 2 * P_W</v>
      </c>
      <c r="AB86" s="282" t="str">
        <f ca="1">IFERROR(__xludf.DUMMYFUNCTION("""COMPUTED_VALUE"""),"=16-P_E")</f>
        <v>=16-P_E</v>
      </c>
      <c r="AC86" s="282" t="str">
        <f ca="1">IFERROR(__xludf.DUMMYFUNCTION("""COMPUTED_VALUE"""),"=165-25*P_R")</f>
        <v>=165-25*P_R</v>
      </c>
      <c r="AD86" s="283" t="str">
        <f ca="1">IFERROR(__xludf.DUMMYFUNCTION("""COMPUTED_VALUE"""),"=13")</f>
        <v>=13</v>
      </c>
      <c r="AE86" s="281" t="b">
        <f ca="1">IFERROR(__xludf.DUMMYFUNCTION("""COMPUTED_VALUE"""),TRUE)</f>
        <v>1</v>
      </c>
      <c r="AF86" s="282" t="str">
        <f ca="1">IFERROR(__xludf.DUMMYFUNCTION("""COMPUTED_VALUE"""),"=Image(""https://ddragon.leagueoflegends.com/cdn/11.19.1/img/champion/Nocturne.png"")")</f>
        <v>=Image("https://ddragon.leagueoflegends.com/cdn/11.19.1/img/champion/Nocturne.png")</v>
      </c>
      <c r="AG86" s="282" t="str">
        <f ca="1">IFERROR(__xludf.DUMMYFUNCTION("""COMPUTED_VALUE"""),"=IF(OR(REGEXMATCH(FORMULATEXT(U86);""HMOD"");NOT(P_Q&gt;0));0;U86)+IF(OR(REGEXMATCH(FORMULATEXT(V86);""HMOD"");NOT(P_W&gt;0));0;V86)+IF(OR(REGEXMATCH(FORMULATEXT(W86);""HMOD"");NOT(P_E&gt;0));0;W86)+IF(OR(REGEXMATCH(FORMULATEXT(X86);""HMOD"");NOT(P_R&gt;0));0;X86)+IF"&amp;"(REGEXMATCH(FORMULATEXT(Y86);""HMOD"");0;Y86)+Self_Proc_Item+Self_Proc_Summ+Self_Proc_Rune+3*Self_DPS")</f>
        <v>=IF(OR(REGEXMATCH(FORMULATEXT(U86);"HMOD");NOT(P_Q&gt;0));0;U86)+IF(OR(REGEXMATCH(FORMULATEXT(V86);"HMOD");NOT(P_W&gt;0));0;V86)+IF(OR(REGEXMATCH(FORMULATEXT(W86);"HMOD");NOT(P_E&gt;0));0;W86)+IF(OR(REGEXMATCH(FORMULATEXT(X86);"HMOD");NOT(P_R&gt;0));0;X86)+IF(REGEXMATCH(FORMULATEXT(Y86);"HMOD");0;Y86)+Self_Proc_Item+Self_Proc_Summ+Self_Proc_Rune+3*Self_DPS</v>
      </c>
      <c r="AH86" s="282" t="str">
        <f ca="1">IFERROR(__xludf.DUMMYFUNCTION("""COMPUTED_VALUE"""),"=0")</f>
        <v>=0</v>
      </c>
      <c r="AI86" s="282" t="b">
        <f ca="1">IFERROR(__xludf.DUMMYFUNCTION("""COMPUTED_VALUE"""),FALSE)</f>
        <v>0</v>
      </c>
      <c r="AJ86" s="283" t="b">
        <f ca="1">IFERROR(__xludf.DUMMYFUNCTION("""COMPUTED_VALUE"""),FALSE)</f>
        <v>0</v>
      </c>
    </row>
    <row r="87" spans="1:36">
      <c r="A87" s="267" t="str">
        <f ca="1">IFERROR(__xludf.DUMMYFUNCTION("""COMPUTED_VALUE"""),"Nunu")</f>
        <v>Nunu</v>
      </c>
      <c r="B87" s="287" t="str">
        <f ca="1">IFERROR(__xludf.DUMMYFUNCTION("""COMPUTED_VALUE"""),"=610")</f>
        <v>=610</v>
      </c>
      <c r="C87" s="287" t="str">
        <f ca="1">IFERROR(__xludf.DUMMYFUNCTION("""COMPUTED_VALUE"""),"=90")</f>
        <v>=90</v>
      </c>
      <c r="D87" s="288" t="str">
        <f ca="1">IFERROR(__xludf.DUMMYFUNCTION("""COMPUTED_VALUE"""),"=5")</f>
        <v>=5</v>
      </c>
      <c r="E87" s="289" t="str">
        <f ca="1">IFERROR(__xludf.DUMMYFUNCTION("""COMPUTED_VALUE"""),"=0,8")</f>
        <v>=0,8</v>
      </c>
      <c r="F87" s="288" t="str">
        <f ca="1">IFERROR(__xludf.DUMMYFUNCTION("""COMPUTED_VALUE"""),"=280")</f>
        <v>=280</v>
      </c>
      <c r="G87" s="288" t="str">
        <f ca="1">IFERROR(__xludf.DUMMYFUNCTION("""COMPUTED_VALUE"""),"=42")</f>
        <v>=42</v>
      </c>
      <c r="H87" s="288" t="str">
        <f ca="1">IFERROR(__xludf.DUMMYFUNCTION("""COMPUTED_VALUE"""),"=7")</f>
        <v>=7</v>
      </c>
      <c r="I87" s="289" t="str">
        <f ca="1">IFERROR(__xludf.DUMMYFUNCTION("""COMPUTED_VALUE"""),"=0,5")</f>
        <v>=0,5</v>
      </c>
      <c r="J87" s="290" t="str">
        <f ca="1">IFERROR(__xludf.DUMMYFUNCTION("""COMPUTED_VALUE"""),"=61")</f>
        <v>=61</v>
      </c>
      <c r="K87" s="288" t="str">
        <f ca="1">IFERROR(__xludf.DUMMYFUNCTION("""COMPUTED_VALUE"""),"=3")</f>
        <v>=3</v>
      </c>
      <c r="L87" s="291" t="str">
        <f ca="1">IFERROR(__xludf.DUMMYFUNCTION("""COMPUTED_VALUE"""),"=0,625")</f>
        <v>=0,625</v>
      </c>
      <c r="M87" s="291" t="str">
        <f ca="1">IFERROR(__xludf.DUMMYFUNCTION("""COMPUTED_VALUE"""),"=0,625")</f>
        <v>=0,625</v>
      </c>
      <c r="N87" s="292" t="str">
        <f ca="1">IFERROR(__xludf.DUMMYFUNCTION("""COMPUTED_VALUE"""),"=2,25%")</f>
        <v>=2,25%</v>
      </c>
      <c r="O87" s="287" t="str">
        <f ca="1">IFERROR(__xludf.DUMMYFUNCTION("""COMPUTED_VALUE"""),"=29")</f>
        <v>=29</v>
      </c>
      <c r="P87" s="287" t="str">
        <f ca="1">IFERROR(__xludf.DUMMYFUNCTION("""COMPUTED_VALUE"""),"=4,2")</f>
        <v>=4,2</v>
      </c>
      <c r="Q87" s="288" t="str">
        <f ca="1">IFERROR(__xludf.DUMMYFUNCTION("""COMPUTED_VALUE"""),"=32")</f>
        <v>=32</v>
      </c>
      <c r="R87" s="289" t="str">
        <f ca="1">IFERROR(__xludf.DUMMYFUNCTION("""COMPUTED_VALUE"""),"=2,05")</f>
        <v>=2,05</v>
      </c>
      <c r="S87" s="287" t="str">
        <f ca="1">IFERROR(__xludf.DUMMYFUNCTION("""COMPUTED_VALUE"""),"=345")</f>
        <v>=345</v>
      </c>
      <c r="T87" s="628" t="str">
        <f ca="1">IFERROR(__xludf.DUMMYFUNCTION("""COMPUTED_VALUE"""),"=125")</f>
        <v>=125</v>
      </c>
      <c r="U87" s="298" t="str">
        <f ca="1">IFERROR(__xludf.DUMMYFUNCTION("""COMPUTED_VALUE"""),"=(20+40*P_Q+0,65*Self_AP+0,05*Self_BoHP)*MOD_Magic")</f>
        <v>=(20+40*P_Q+0,65*Self_AP+0,05*Self_BoHP)*MOD_Magic</v>
      </c>
      <c r="V87" s="299" t="str">
        <f ca="1">IFERROR(__xludf.DUMMYFUNCTION("""COMPUTED_VALUE"""),"=IF(Steroid_W;5;1)*(25+9*P_W+0,3*Self_AP)*MOD_Magic")</f>
        <v>=IF(Steroid_W;5;1)*(25+9*P_W+0,3*Self_AP)*MOD_Magic</v>
      </c>
      <c r="W87" s="299" t="str">
        <f ca="1">IFERROR(__xludf.DUMMYFUNCTION("""COMPUTED_VALUE"""),"=((8 + 8 * P_E + 0,1 * Self_AP) * 9 + 10 + 10 * P_E + 0,8 * Self_AP) * MOD_Magic")</f>
        <v>=((8 + 8 * P_E + 0,1 * Self_AP) * 9 + 10 + 10 * P_E + 0,8 * Self_AP) * MOD_Magic</v>
      </c>
      <c r="X87" s="299" t="str">
        <f ca="1">IFERROR(__xludf.DUMMYFUNCTION("""COMPUTED_VALUE"""),"=(300 + 325 * P_R + 3 * Self_AP) * MOD_Magic")</f>
        <v>=(300 + 325 * P_R + 3 * Self_AP) * MOD_Magic</v>
      </c>
      <c r="Y87" s="300" t="str">
        <f ca="1">IFERROR(__xludf.DUMMYFUNCTION("""COMPUTED_VALUE"""),"=0")</f>
        <v>=0</v>
      </c>
      <c r="Z87" s="281" t="str">
        <f ca="1">IFERROR(__xludf.DUMMYFUNCTION("""COMPUTED_VALUE"""),"=13-P_Q")</f>
        <v>=13-P_Q</v>
      </c>
      <c r="AA87" s="282" t="str">
        <f ca="1">IFERROR(__xludf.DUMMYFUNCTION("""COMPUTED_VALUE"""),"=14")</f>
        <v>=14</v>
      </c>
      <c r="AB87" s="282" t="str">
        <f ca="1">IFERROR(__xludf.DUMMYFUNCTION("""COMPUTED_VALUE"""),"=15-P_E")</f>
        <v>=15-P_E</v>
      </c>
      <c r="AC87" s="282" t="str">
        <f ca="1">IFERROR(__xludf.DUMMYFUNCTION("""COMPUTED_VALUE"""),"=120-10*P_R")</f>
        <v>=120-10*P_R</v>
      </c>
      <c r="AD87" s="283" t="str">
        <f ca="1">IFERROR(__xludf.DUMMYFUNCTION("""COMPUTED_VALUE"""),"=1")</f>
        <v>=1</v>
      </c>
      <c r="AE87" s="281" t="b">
        <f ca="1">IFERROR(__xludf.DUMMYFUNCTION("""COMPUTED_VALUE"""),TRUE)</f>
        <v>1</v>
      </c>
      <c r="AF87" s="282" t="str">
        <f ca="1">IFERROR(__xludf.DUMMYFUNCTION("""COMPUTED_VALUE"""),"=Image(""https://ddragon.leagueoflegends.com/cdn/11.19.1/img/champion/Nunu.png"")")</f>
        <v>=Image("https://ddragon.leagueoflegends.com/cdn/11.19.1/img/champion/Nunu.png")</v>
      </c>
      <c r="AG87" s="282" t="str">
        <f ca="1">IFERROR(__xludf.DUMMYFUNCTION("""COMPUTED_VALUE"""),"=IF(OR(REGEXMATCH(FORMULATEXT(U87);""HMOD"");NOT(P_Q&gt;0));0;U87)+IF(OR(REGEXMATCH(FORMULATEXT(V87);""HMOD"");NOT(P_W&gt;0));0;V87)+IF(OR(REGEXMATCH(FORMULATEXT(W87);""HMOD"");NOT(P_E&gt;0));0;W87)+IF(OR(REGEXMATCH(FORMULATEXT(X87);""HMOD"");NOT(P_R&gt;0));0;X87)+IF"&amp;"(REGEXMATCH(FORMULATEXT(Y87);""HMOD"");0;Y87)+Self_Proc_Item+Self_Proc_Summ+Self_Proc_Rune+3*Self_DPS")</f>
        <v>=IF(OR(REGEXMATCH(FORMULATEXT(U87);"HMOD");NOT(P_Q&gt;0));0;U87)+IF(OR(REGEXMATCH(FORMULATEXT(V87);"HMOD");NOT(P_W&gt;0));0;V87)+IF(OR(REGEXMATCH(FORMULATEXT(W87);"HMOD");NOT(P_E&gt;0));0;W87)+IF(OR(REGEXMATCH(FORMULATEXT(X87);"HMOD");NOT(P_R&gt;0));0;X87)+IF(REGEXMATCH(FORMULATEXT(Y87);"HMOD");0;Y87)+Self_Proc_Item+Self_Proc_Summ+Self_Proc_Rune+3*Self_DPS</v>
      </c>
      <c r="AH87" s="282" t="str">
        <f ca="1">IFERROR(__xludf.DUMMYFUNCTION("""COMPUTED_VALUE"""),"=0")</f>
        <v>=0</v>
      </c>
      <c r="AI87" s="282" t="b">
        <f ca="1">IFERROR(__xludf.DUMMYFUNCTION("""COMPUTED_VALUE"""),FALSE)</f>
        <v>0</v>
      </c>
      <c r="AJ87" s="283" t="b">
        <f ca="1">IFERROR(__xludf.DUMMYFUNCTION("""COMPUTED_VALUE"""),FALSE)</f>
        <v>0</v>
      </c>
    </row>
    <row r="88" spans="1:36">
      <c r="A88" s="267" t="str">
        <f ca="1">IFERROR(__xludf.DUMMYFUNCTION("""COMPUTED_VALUE"""),"Olaf")</f>
        <v>Olaf</v>
      </c>
      <c r="B88" s="287" t="str">
        <f ca="1">IFERROR(__xludf.DUMMYFUNCTION("""COMPUTED_VALUE"""),"=645")</f>
        <v>=645</v>
      </c>
      <c r="C88" s="287" t="str">
        <f ca="1">IFERROR(__xludf.DUMMYFUNCTION("""COMPUTED_VALUE"""),"=119")</f>
        <v>=119</v>
      </c>
      <c r="D88" s="288" t="str">
        <f ca="1">IFERROR(__xludf.DUMMYFUNCTION("""COMPUTED_VALUE"""),"=6,5")</f>
        <v>=6,5</v>
      </c>
      <c r="E88" s="289" t="str">
        <f ca="1">IFERROR(__xludf.DUMMYFUNCTION("""COMPUTED_VALUE"""),"=0,6")</f>
        <v>=0,6</v>
      </c>
      <c r="F88" s="288" t="str">
        <f ca="1">IFERROR(__xludf.DUMMYFUNCTION("""COMPUTED_VALUE"""),"=316")</f>
        <v>=316</v>
      </c>
      <c r="G88" s="288" t="str">
        <f ca="1">IFERROR(__xludf.DUMMYFUNCTION("""COMPUTED_VALUE"""),"=50")</f>
        <v>=50</v>
      </c>
      <c r="H88" s="288" t="str">
        <f ca="1">IFERROR(__xludf.DUMMYFUNCTION("""COMPUTED_VALUE"""),"=7,5")</f>
        <v>=7,5</v>
      </c>
      <c r="I88" s="289" t="str">
        <f ca="1">IFERROR(__xludf.DUMMYFUNCTION("""COMPUTED_VALUE"""),"=0,6")</f>
        <v>=0,6</v>
      </c>
      <c r="J88" s="290" t="str">
        <f ca="1">IFERROR(__xludf.DUMMYFUNCTION("""COMPUTED_VALUE"""),"=68")</f>
        <v>=68</v>
      </c>
      <c r="K88" s="288" t="str">
        <f ca="1">IFERROR(__xludf.DUMMYFUNCTION("""COMPUTED_VALUE"""),"=4,7")</f>
        <v>=4,7</v>
      </c>
      <c r="L88" s="291" t="str">
        <f ca="1">IFERROR(__xludf.DUMMYFUNCTION("""COMPUTED_VALUE"""),"=0,694")</f>
        <v>=0,694</v>
      </c>
      <c r="M88" s="291" t="str">
        <f ca="1">IFERROR(__xludf.DUMMYFUNCTION("""COMPUTED_VALUE"""),"=0,694")</f>
        <v>=0,694</v>
      </c>
      <c r="N88" s="292" t="str">
        <f ca="1">IFERROR(__xludf.DUMMYFUNCTION("""COMPUTED_VALUE"""),"=2,7%")</f>
        <v>=2,7%</v>
      </c>
      <c r="O88" s="287" t="str">
        <f ca="1">IFERROR(__xludf.DUMMYFUNCTION("""COMPUTED_VALUE"""),"=35")</f>
        <v>=35</v>
      </c>
      <c r="P88" s="287" t="str">
        <f ca="1">IFERROR(__xludf.DUMMYFUNCTION("""COMPUTED_VALUE"""),"=4,2")</f>
        <v>=4,2</v>
      </c>
      <c r="Q88" s="288" t="str">
        <f ca="1">IFERROR(__xludf.DUMMYFUNCTION("""COMPUTED_VALUE"""),"=32")</f>
        <v>=32</v>
      </c>
      <c r="R88" s="289" t="str">
        <f ca="1">IFERROR(__xludf.DUMMYFUNCTION("""COMPUTED_VALUE"""),"=2,05")</f>
        <v>=2,05</v>
      </c>
      <c r="S88" s="287" t="str">
        <f ca="1">IFERROR(__xludf.DUMMYFUNCTION("""COMPUTED_VALUE"""),"=350")</f>
        <v>=350</v>
      </c>
      <c r="T88" s="628" t="str">
        <f ca="1">IFERROR(__xludf.DUMMYFUNCTION("""COMPUTED_VALUE"""),"=125")</f>
        <v>=125</v>
      </c>
      <c r="U88" s="295" t="str">
        <f ca="1">IFERROR(__xludf.DUMMYFUNCTION("""COMPUTED_VALUE"""),"=(15 + 50 * P_Q + Self_BoAD) * MOD_Phys")</f>
        <v>=(15 + 50 * P_Q + Self_BoAD) * MOD_Phys</v>
      </c>
      <c r="V88" s="296" t="str">
        <f ca="1">IFERROR(__xludf.DUMMYFUNCTION("""COMPUTED_VALUE"""),"=(30 + P_W - 20 + IF((Self_MHP - (Self_CHPP / 100) * Self_MHP) * 0,175 &gt; 0,3 * (Self_CHPP / 100) * Self_MHP; 0,3 * (Self_CHPP / 100) * Self_MHP; (Self_MHP - (Self_CHPP / 100) * Self_MHP) * 0,175) * MOD_SelfHeal)")</f>
        <v>=(30 + P_W - 20 + IF((Self_MHP - (Self_CHPP / 100) * Self_MHP) * 0,175 &gt; 0,3 * (Self_CHPP / 100) * Self_MHP; 0,3 * (Self_CHPP / 100) * Self_MHP; (Self_MHP - (Self_CHPP / 100) * Self_MHP) * 0,175) * MOD_SelfHeal)</v>
      </c>
      <c r="W88" s="296" t="str">
        <f ca="1">IFERROR(__xludf.DUMMYFUNCTION("""COMPUTED_VALUE"""),"=(25+45*P_E+0,4*Self_AD)*Calc!O10")</f>
        <v>=(25+45*P_E+0,4*Self_AD)*Calc!O10</v>
      </c>
      <c r="X88" s="296" t="str">
        <f ca="1">IFERROR(__xludf.DUMMYFUNCTION("""COMPUTED_VALUE"""),"=0")</f>
        <v>=0</v>
      </c>
      <c r="Y88" s="297" t="str">
        <f ca="1">IFERROR(__xludf.DUMMYFUNCTION("""COMPUTED_VALUE"""),"=0")</f>
        <v>=0</v>
      </c>
      <c r="Z88" s="281" t="str">
        <f ca="1">IFERROR(__xludf.DUMMYFUNCTION("""COMPUTED_VALUE"""),"=9")</f>
        <v>=9</v>
      </c>
      <c r="AA88" s="282" t="str">
        <f ca="1">IFERROR(__xludf.DUMMYFUNCTION("""COMPUTED_VALUE"""),"=17 - P_W")</f>
        <v>=17 - P_W</v>
      </c>
      <c r="AB88" s="282" t="str">
        <f ca="1">IFERROR(__xludf.DUMMYFUNCTION("""COMPUTED_VALUE"""),"=12 - P_E")</f>
        <v>=12 - P_E</v>
      </c>
      <c r="AC88" s="282" t="str">
        <f ca="1">IFERROR(__xludf.DUMMYFUNCTION("""COMPUTED_VALUE"""),"=110 - 10 * P_R")</f>
        <v>=110 - 10 * P_R</v>
      </c>
      <c r="AD88" s="283" t="str">
        <f ca="1">IFERROR(__xludf.DUMMYFUNCTION("""COMPUTED_VALUE"""),"=1")</f>
        <v>=1</v>
      </c>
      <c r="AE88" s="281" t="b">
        <f ca="1">IFERROR(__xludf.DUMMYFUNCTION("""COMPUTED_VALUE"""),TRUE)</f>
        <v>1</v>
      </c>
      <c r="AF88" s="282" t="str">
        <f ca="1">IFERROR(__xludf.DUMMYFUNCTION("""COMPUTED_VALUE"""),"=Image(""https://ddragon.leagueoflegends.com/cdn/11.19.1/img/champion/Olaf.png"")")</f>
        <v>=Image("https://ddragon.leagueoflegends.com/cdn/11.19.1/img/champion/Olaf.png")</v>
      </c>
      <c r="AG88" s="282" t="str">
        <f ca="1">IFERROR(__xludf.DUMMYFUNCTION("""COMPUTED_VALUE"""),"=IF(OR(REGEXMATCH(FORMULATEXT(U88);""HMOD"");NOT(P_Q&gt;0));0;U88)+IF(OR(REGEXMATCH(FORMULATEXT(V88);""HMOD"");NOT(P_W&gt;0));0;V88)+IF(OR(REGEXMATCH(FORMULATEXT(W88);""HMOD"");NOT(P_E&gt;0));0;W88)+IF(OR(REGEXMATCH(FORMULATEXT(X88);""HMOD"");NOT(P_R&gt;0));0;X88)+IF"&amp;"(REGEXMATCH(FORMULATEXT(Y88);""HMOD"");0;Y88)+Self_Proc_Item+Self_Proc_Summ+Self_Proc_Rune+3*Self_DPS")</f>
        <v>=IF(OR(REGEXMATCH(FORMULATEXT(U88);"HMOD");NOT(P_Q&gt;0));0;U88)+IF(OR(REGEXMATCH(FORMULATEXT(V88);"HMOD");NOT(P_W&gt;0));0;V88)+IF(OR(REGEXMATCH(FORMULATEXT(W88);"HMOD");NOT(P_E&gt;0));0;W88)+IF(OR(REGEXMATCH(FORMULATEXT(X88);"HMOD");NOT(P_R&gt;0));0;X88)+IF(REGEXMATCH(FORMULATEXT(Y88);"HMOD");0;Y88)+Self_Proc_Item+Self_Proc_Summ+Self_Proc_Rune+3*Self_DPS</v>
      </c>
      <c r="AH88" s="282" t="str">
        <f ca="1">IFERROR(__xludf.DUMMYFUNCTION("""COMPUTED_VALUE"""),"=0")</f>
        <v>=0</v>
      </c>
      <c r="AI88" s="282" t="b">
        <f ca="1">IFERROR(__xludf.DUMMYFUNCTION("""COMPUTED_VALUE"""),FALSE)</f>
        <v>0</v>
      </c>
      <c r="AJ88" s="283" t="b">
        <f ca="1">IFERROR(__xludf.DUMMYFUNCTION("""COMPUTED_VALUE"""),FALSE)</f>
        <v>0</v>
      </c>
    </row>
    <row r="89" spans="1:36">
      <c r="A89" s="267" t="str">
        <f ca="1">IFERROR(__xludf.DUMMYFUNCTION("""COMPUTED_VALUE"""),"Orianna")</f>
        <v>Orianna</v>
      </c>
      <c r="B89" s="287" t="str">
        <f ca="1">IFERROR(__xludf.DUMMYFUNCTION("""COMPUTED_VALUE"""),"=600")</f>
        <v>=600</v>
      </c>
      <c r="C89" s="287" t="str">
        <f ca="1">IFERROR(__xludf.DUMMYFUNCTION("""COMPUTED_VALUE"""),"=105")</f>
        <v>=105</v>
      </c>
      <c r="D89" s="288" t="str">
        <f ca="1">IFERROR(__xludf.DUMMYFUNCTION("""COMPUTED_VALUE"""),"=7")</f>
        <v>=7</v>
      </c>
      <c r="E89" s="289" t="str">
        <f ca="1">IFERROR(__xludf.DUMMYFUNCTION("""COMPUTED_VALUE"""),"=0,55")</f>
        <v>=0,55</v>
      </c>
      <c r="F89" s="288" t="str">
        <f ca="1">IFERROR(__xludf.DUMMYFUNCTION("""COMPUTED_VALUE"""),"=418")</f>
        <v>=418</v>
      </c>
      <c r="G89" s="288" t="str">
        <f ca="1">IFERROR(__xludf.DUMMYFUNCTION("""COMPUTED_VALUE"""),"=25")</f>
        <v>=25</v>
      </c>
      <c r="H89" s="288" t="str">
        <f ca="1">IFERROR(__xludf.DUMMYFUNCTION("""COMPUTED_VALUE"""),"=8")</f>
        <v>=8</v>
      </c>
      <c r="I89" s="289" t="str">
        <f ca="1">IFERROR(__xludf.DUMMYFUNCTION("""COMPUTED_VALUE"""),"=0,8")</f>
        <v>=0,8</v>
      </c>
      <c r="J89" s="290" t="str">
        <f ca="1">IFERROR(__xludf.DUMMYFUNCTION("""COMPUTED_VALUE"""),"=40")</f>
        <v>=40</v>
      </c>
      <c r="K89" s="288" t="str">
        <f ca="1">IFERROR(__xludf.DUMMYFUNCTION("""COMPUTED_VALUE"""),"=2,6")</f>
        <v>=2,6</v>
      </c>
      <c r="L89" s="291" t="str">
        <f ca="1">IFERROR(__xludf.DUMMYFUNCTION("""COMPUTED_VALUE"""),"=0,658")</f>
        <v>=0,658</v>
      </c>
      <c r="M89" s="291" t="str">
        <f ca="1">IFERROR(__xludf.DUMMYFUNCTION("""COMPUTED_VALUE"""),"=0,658")</f>
        <v>=0,658</v>
      </c>
      <c r="N89" s="292" t="str">
        <f ca="1">IFERROR(__xludf.DUMMYFUNCTION("""COMPUTED_VALUE"""),"=3,5%")</f>
        <v>=3,5%</v>
      </c>
      <c r="O89" s="287" t="str">
        <f ca="1">IFERROR(__xludf.DUMMYFUNCTION("""COMPUTED_VALUE"""),"=20")</f>
        <v>=20</v>
      </c>
      <c r="P89" s="287" t="str">
        <f ca="1">IFERROR(__xludf.DUMMYFUNCTION("""COMPUTED_VALUE"""),"=4,2")</f>
        <v>=4,2</v>
      </c>
      <c r="Q89" s="288" t="str">
        <f ca="1">IFERROR(__xludf.DUMMYFUNCTION("""COMPUTED_VALUE"""),"=26")</f>
        <v>=26</v>
      </c>
      <c r="R89" s="289" t="str">
        <f ca="1">IFERROR(__xludf.DUMMYFUNCTION("""COMPUTED_VALUE"""),"=1,3")</f>
        <v>=1,3</v>
      </c>
      <c r="S89" s="287" t="str">
        <f ca="1">IFERROR(__xludf.DUMMYFUNCTION("""COMPUTED_VALUE"""),"=325")</f>
        <v>=325</v>
      </c>
      <c r="T89" s="628" t="str">
        <f ca="1">IFERROR(__xludf.DUMMYFUNCTION("""COMPUTED_VALUE"""),"=525")</f>
        <v>=525</v>
      </c>
      <c r="U89" s="298" t="str">
        <f ca="1">IFERROR(__xludf.DUMMYFUNCTION("""COMPUTED_VALUE"""),"=(30+30*P_Q+0,5*Self_AP)*MOD_Magic")</f>
        <v>=(30+30*P_Q+0,5*Self_AP)*MOD_Magic</v>
      </c>
      <c r="V89" s="299" t="str">
        <f ca="1">IFERROR(__xludf.DUMMYFUNCTION("""COMPUTED_VALUE"""),"=(15+45*P_W+0,7*Self_AP)*MOD_Magic")</f>
        <v>=(15+45*P_W+0,7*Self_AP)*MOD_Magic</v>
      </c>
      <c r="W89" s="299" t="str">
        <f ca="1">IFERROR(__xludf.DUMMYFUNCTION("""COMPUTED_VALUE"""),"=(30+30*P_E+0,3*Self_AP)*MOD_Magic")</f>
        <v>=(30+30*P_E+0,3*Self_AP)*MOD_Magic</v>
      </c>
      <c r="X89" s="299" t="str">
        <f ca="1">IFERROR(__xludf.DUMMYFUNCTION("""COMPUTED_VALUE"""),"=(100 + 150 * P_R + 0,95 * Self_AP) * MOD_Magic")</f>
        <v>=(100 + 150 * P_R + 0,95 * Self_AP) * MOD_Magic</v>
      </c>
      <c r="Y89" s="300" t="str">
        <f ca="1">IFERROR(__xludf.DUMMYFUNCTION("""COMPUTED_VALUE"""),"=(10 + 40 * Sc_Lin + 0,15 * Self_AP) * MOD_Magic")</f>
        <v>=(10 + 40 * Sc_Lin + 0,15 * Self_AP) * MOD_Magic</v>
      </c>
      <c r="Z89" s="281" t="str">
        <f ca="1">IFERROR(__xludf.DUMMYFUNCTION("""COMPUTED_VALUE"""),"=6,75-0,75*P_Q")</f>
        <v>=6,75-0,75*P_Q</v>
      </c>
      <c r="AA89" s="282" t="str">
        <f ca="1">IFERROR(__xludf.DUMMYFUNCTION("""COMPUTED_VALUE"""),"=7")</f>
        <v>=7</v>
      </c>
      <c r="AB89" s="282" t="str">
        <f ca="1">IFERROR(__xludf.DUMMYFUNCTION("""COMPUTED_VALUE"""),"=9")</f>
        <v>=9</v>
      </c>
      <c r="AC89" s="282" t="str">
        <f ca="1">IFERROR(__xludf.DUMMYFUNCTION("""COMPUTED_VALUE"""),"=125-15*P_R")</f>
        <v>=125-15*P_R</v>
      </c>
      <c r="AD89" s="283" t="str">
        <f ca="1">IFERROR(__xludf.DUMMYFUNCTION("""COMPUTED_VALUE"""),"=1")</f>
        <v>=1</v>
      </c>
      <c r="AE89" s="281" t="b">
        <f ca="1">IFERROR(__xludf.DUMMYFUNCTION("""COMPUTED_VALUE"""),FALSE)</f>
        <v>0</v>
      </c>
      <c r="AF89" s="282" t="str">
        <f ca="1">IFERROR(__xludf.DUMMYFUNCTION("""COMPUTED_VALUE"""),"=Image(""https://ddragon.leagueoflegends.com/cdn/11.19.1/img/champion/Orianna.png"")")</f>
        <v>=Image("https://ddragon.leagueoflegends.com/cdn/11.19.1/img/champion/Orianna.png")</v>
      </c>
      <c r="AG89" s="282" t="str">
        <f ca="1">IFERROR(__xludf.DUMMYFUNCTION("""COMPUTED_VALUE"""),"=IF(OR(REGEXMATCH(FORMULATEXT(U89);""HMOD"");NOT(P_Q&gt;0));0;U89)+IF(OR(REGEXMATCH(FORMULATEXT(V89);""HMOD"");NOT(P_W&gt;0));0;V89)+IF(OR(REGEXMATCH(FORMULATEXT(W89);""HMOD"");NOT(P_E&gt;0));0;W89)+IF(OR(REGEXMATCH(FORMULATEXT(X89);""HMOD"");NOT(P_R&gt;0));0;X89)+IF"&amp;"(REGEXMATCH(FORMULATEXT(Y89);""HMOD"");0;Y89)+Self_Proc_Item+Self_Proc_Summ+Self_Proc_Rune+3*Self_DPS")</f>
        <v>=IF(OR(REGEXMATCH(FORMULATEXT(U89);"HMOD");NOT(P_Q&gt;0));0;U89)+IF(OR(REGEXMATCH(FORMULATEXT(V89);"HMOD");NOT(P_W&gt;0));0;V89)+IF(OR(REGEXMATCH(FORMULATEXT(W89);"HMOD");NOT(P_E&gt;0));0;W89)+IF(OR(REGEXMATCH(FORMULATEXT(X89);"HMOD");NOT(P_R&gt;0));0;X89)+IF(REGEXMATCH(FORMULATEXT(Y89);"HMOD");0;Y89)+Self_Proc_Item+Self_Proc_Summ+Self_Proc_Rune+3*Self_DPS</v>
      </c>
      <c r="AH89" s="282" t="str">
        <f ca="1">IFERROR(__xludf.DUMMYFUNCTION("""COMPUTED_VALUE"""),"=0")</f>
        <v>=0</v>
      </c>
      <c r="AI89" s="282" t="b">
        <f ca="1">IFERROR(__xludf.DUMMYFUNCTION("""COMPUTED_VALUE"""),FALSE)</f>
        <v>0</v>
      </c>
      <c r="AJ89" s="283" t="b">
        <f ca="1">IFERROR(__xludf.DUMMYFUNCTION("""COMPUTED_VALUE"""),FALSE)</f>
        <v>0</v>
      </c>
    </row>
    <row r="90" spans="1:36">
      <c r="A90" s="267" t="str">
        <f ca="1">IFERROR(__xludf.DUMMYFUNCTION("""COMPUTED_VALUE"""),"Ornn")</f>
        <v>Ornn</v>
      </c>
      <c r="B90" s="287" t="str">
        <f ca="1">IFERROR(__xludf.DUMMYFUNCTION("""COMPUTED_VALUE"""),"=660")</f>
        <v>=660</v>
      </c>
      <c r="C90" s="287" t="str">
        <f ca="1">IFERROR(__xludf.DUMMYFUNCTION("""COMPUTED_VALUE"""),"=109")</f>
        <v>=109</v>
      </c>
      <c r="D90" s="288" t="str">
        <f ca="1">IFERROR(__xludf.DUMMYFUNCTION("""COMPUTED_VALUE"""),"=9")</f>
        <v>=9</v>
      </c>
      <c r="E90" s="289" t="str">
        <f ca="1">IFERROR(__xludf.DUMMYFUNCTION("""COMPUTED_VALUE"""),"=0,9")</f>
        <v>=0,9</v>
      </c>
      <c r="F90" s="288" t="str">
        <f ca="1">IFERROR(__xludf.DUMMYFUNCTION("""COMPUTED_VALUE"""),"=341")</f>
        <v>=341</v>
      </c>
      <c r="G90" s="288" t="str">
        <f ca="1">IFERROR(__xludf.DUMMYFUNCTION("""COMPUTED_VALUE"""),"=65")</f>
        <v>=65</v>
      </c>
      <c r="H90" s="288" t="str">
        <f ca="1">IFERROR(__xludf.DUMMYFUNCTION("""COMPUTED_VALUE"""),"=8")</f>
        <v>=8</v>
      </c>
      <c r="I90" s="289" t="str">
        <f ca="1">IFERROR(__xludf.DUMMYFUNCTION("""COMPUTED_VALUE"""),"=0,6")</f>
        <v>=0,6</v>
      </c>
      <c r="J90" s="290" t="str">
        <f ca="1">IFERROR(__xludf.DUMMYFUNCTION("""COMPUTED_VALUE"""),"=69")</f>
        <v>=69</v>
      </c>
      <c r="K90" s="288" t="str">
        <f ca="1">IFERROR(__xludf.DUMMYFUNCTION("""COMPUTED_VALUE"""),"=3,5")</f>
        <v>=3,5</v>
      </c>
      <c r="L90" s="291" t="str">
        <f ca="1">IFERROR(__xludf.DUMMYFUNCTION("""COMPUTED_VALUE"""),"=0,625")</f>
        <v>=0,625</v>
      </c>
      <c r="M90" s="291" t="str">
        <f ca="1">IFERROR(__xludf.DUMMYFUNCTION("""COMPUTED_VALUE"""),"=0,625")</f>
        <v>=0,625</v>
      </c>
      <c r="N90" s="292" t="str">
        <f ca="1">IFERROR(__xludf.DUMMYFUNCTION("""COMPUTED_VALUE"""),"=2%")</f>
        <v>=2%</v>
      </c>
      <c r="O90" s="287" t="str">
        <f ca="1">IFERROR(__xludf.DUMMYFUNCTION("""COMPUTED_VALUE"""),"=33")</f>
        <v>=33</v>
      </c>
      <c r="P90" s="287" t="str">
        <f ca="1">IFERROR(__xludf.DUMMYFUNCTION("""COMPUTED_VALUE"""),"=5,2")</f>
        <v>=5,2</v>
      </c>
      <c r="Q90" s="288" t="str">
        <f ca="1">IFERROR(__xludf.DUMMYFUNCTION("""COMPUTED_VALUE"""),"=32")</f>
        <v>=32</v>
      </c>
      <c r="R90" s="289" t="str">
        <f ca="1">IFERROR(__xludf.DUMMYFUNCTION("""COMPUTED_VALUE"""),"=2,05")</f>
        <v>=2,05</v>
      </c>
      <c r="S90" s="287" t="str">
        <f ca="1">IFERROR(__xludf.DUMMYFUNCTION("""COMPUTED_VALUE"""),"=335")</f>
        <v>=335</v>
      </c>
      <c r="T90" s="628" t="str">
        <f ca="1">IFERROR(__xludf.DUMMYFUNCTION("""COMPUTED_VALUE"""),"=175")</f>
        <v>=175</v>
      </c>
      <c r="U90" s="295" t="str">
        <f ca="1">IFERROR(__xludf.DUMMYFUNCTION("""COMPUTED_VALUE"""),"=(-5+25*P_Q+1,1*Self_AD)*MOD_Phys")</f>
        <v>=(-5+25*P_Q+1,1*Self_AD)*MOD_Phys</v>
      </c>
      <c r="V90" s="296" t="str">
        <f ca="1">IFERROR(__xludf.DUMMYFUNCTION("""COMPUTED_VALUE"""),"=((0,11+0,01*P_W)*E_MHP)*MOD_Magic")</f>
        <v>=((0,11+0,01*P_W)*E_MHP)*MOD_Magic</v>
      </c>
      <c r="W90" s="296" t="str">
        <f ca="1">IFERROR(__xludf.DUMMYFUNCTION("""COMPUTED_VALUE"""),"=(35+45*P_E+0,4*Self_BoAR+0,4*Self_BoMR)*MOD_Magic")</f>
        <v>=(35+45*P_E+0,4*Self_BoAR+0,4*Self_BoMR)*MOD_Magic</v>
      </c>
      <c r="X90" s="296" t="str">
        <f ca="1">IFERROR(__xludf.DUMMYFUNCTION("""COMPUTED_VALUE"""),"=(150+100*P_R+0,4*Self_AP)*MOD_Magic")</f>
        <v>=(150+100*P_R+0,4*Self_AP)*MOD_Magic</v>
      </c>
      <c r="Y90" s="297" t="str">
        <f ca="1">IFERROR(__xludf.DUMMYFUNCTION("""COMPUTED_VALUE"""),"=((((Self_Level-1)/17)*0,08+0,1)*E_MHP)*MOD_Magic")</f>
        <v>=((((Self_Level-1)/17)*0,08+0,1)*E_MHP)*MOD_Magic</v>
      </c>
      <c r="Z90" s="281" t="str">
        <f ca="1">IFERROR(__xludf.DUMMYFUNCTION("""COMPUTED_VALUE"""),"=9,5-0,5*P_Q")</f>
        <v>=9,5-0,5*P_Q</v>
      </c>
      <c r="AA90" s="282" t="str">
        <f ca="1">IFERROR(__xludf.DUMMYFUNCTION("""COMPUTED_VALUE"""),"=12,5 - 0,5 * P_W")</f>
        <v>=12,5 - 0,5 * P_W</v>
      </c>
      <c r="AB90" s="282" t="str">
        <f ca="1">IFERROR(__xludf.DUMMYFUNCTION("""COMPUTED_VALUE"""),"=17 - P_E")</f>
        <v>=17 - P_E</v>
      </c>
      <c r="AC90" s="282" t="str">
        <f ca="1">IFERROR(__xludf.DUMMYFUNCTION("""COMPUTED_VALUE"""),"=160 - 20 * P_R")</f>
        <v>=160 - 20 * P_R</v>
      </c>
      <c r="AD90" s="283" t="str">
        <f ca="1">IFERROR(__xludf.DUMMYFUNCTION("""COMPUTED_VALUE"""),"=1")</f>
        <v>=1</v>
      </c>
      <c r="AE90" s="281" t="b">
        <f ca="1">IFERROR(__xludf.DUMMYFUNCTION("""COMPUTED_VALUE"""),TRUE)</f>
        <v>1</v>
      </c>
      <c r="AF90" s="282" t="str">
        <f ca="1">IFERROR(__xludf.DUMMYFUNCTION("""COMPUTED_VALUE"""),"=Image(""https://ddragon.leagueoflegends.com/cdn/11.19.1/img/champion/Ornn.png"")")</f>
        <v>=Image("https://ddragon.leagueoflegends.com/cdn/11.19.1/img/champion/Ornn.png")</v>
      </c>
      <c r="AG90" s="282" t="str">
        <f ca="1">IFERROR(__xludf.DUMMYFUNCTION("""COMPUTED_VALUE"""),"=IF(OR(REGEXMATCH(FORMULATEXT(U90);""HMOD"");NOT(P_Q&gt;0));0;U90)+IF(OR(REGEXMATCH(FORMULATEXT(V90);""HMOD"");NOT(P_W&gt;0));0;V90)+IF(OR(REGEXMATCH(FORMULATEXT(W90);""HMOD"");NOT(P_E&gt;0));0;W90)+IF(OR(REGEXMATCH(FORMULATEXT(X90);""HMOD"");NOT(P_R&gt;0));0;X90)+IF"&amp;"(REGEXMATCH(FORMULATEXT(Y90);""HMOD"");0;Y90)+Self_Proc_Item+Self_Proc_Summ+Self_Proc_Rune+3*Self_DPS")</f>
        <v>=IF(OR(REGEXMATCH(FORMULATEXT(U90);"HMOD");NOT(P_Q&gt;0));0;U90)+IF(OR(REGEXMATCH(FORMULATEXT(V90);"HMOD");NOT(P_W&gt;0));0;V90)+IF(OR(REGEXMATCH(FORMULATEXT(W90);"HMOD");NOT(P_E&gt;0));0;W90)+IF(OR(REGEXMATCH(FORMULATEXT(X90);"HMOD");NOT(P_R&gt;0));0;X90)+IF(REGEXMATCH(FORMULATEXT(Y90);"HMOD");0;Y90)+Self_Proc_Item+Self_Proc_Summ+Self_Proc_Rune+3*Self_DPS</v>
      </c>
      <c r="AH90" s="282" t="str">
        <f ca="1">IFERROR(__xludf.DUMMYFUNCTION("""COMPUTED_VALUE"""),"=0")</f>
        <v>=0</v>
      </c>
      <c r="AI90" s="282" t="b">
        <f ca="1">IFERROR(__xludf.DUMMYFUNCTION("""COMPUTED_VALUE"""),FALSE)</f>
        <v>0</v>
      </c>
      <c r="AJ90" s="283" t="b">
        <f ca="1">IFERROR(__xludf.DUMMYFUNCTION("""COMPUTED_VALUE"""),FALSE)</f>
        <v>0</v>
      </c>
    </row>
    <row r="91" spans="1:36">
      <c r="A91" s="301" t="str">
        <f ca="1">IFERROR(__xludf.DUMMYFUNCTION("""COMPUTED_VALUE"""),"Pantheon")</f>
        <v>Pantheon</v>
      </c>
      <c r="B91" s="282" t="str">
        <f ca="1">IFERROR(__xludf.DUMMYFUNCTION("""COMPUTED_VALUE"""),"=650")</f>
        <v>=650</v>
      </c>
      <c r="C91" s="282" t="str">
        <f ca="1">IFERROR(__xludf.DUMMYFUNCTION("""COMPUTED_VALUE"""),"=109")</f>
        <v>=109</v>
      </c>
      <c r="D91" s="282" t="str">
        <f ca="1">IFERROR(__xludf.DUMMYFUNCTION("""COMPUTED_VALUE"""),"=6")</f>
        <v>=6</v>
      </c>
      <c r="E91" s="302" t="str">
        <f ca="1">IFERROR(__xludf.DUMMYFUNCTION("""COMPUTED_VALUE"""),"=0,65")</f>
        <v>=0,65</v>
      </c>
      <c r="F91" s="282" t="str">
        <f ca="1">IFERROR(__xludf.DUMMYFUNCTION("""COMPUTED_VALUE"""),"=317")</f>
        <v>=317</v>
      </c>
      <c r="G91" s="282" t="str">
        <f ca="1">IFERROR(__xludf.DUMMYFUNCTION("""COMPUTED_VALUE"""),"=31")</f>
        <v>=31</v>
      </c>
      <c r="H91" s="282" t="str">
        <f ca="1">IFERROR(__xludf.DUMMYFUNCTION("""COMPUTED_VALUE"""),"=7,4")</f>
        <v>=7,4</v>
      </c>
      <c r="I91" s="302" t="str">
        <f ca="1">IFERROR(__xludf.DUMMYFUNCTION("""COMPUTED_VALUE"""),"=0,45")</f>
        <v>=0,45</v>
      </c>
      <c r="J91" s="303" t="str">
        <f ca="1">IFERROR(__xludf.DUMMYFUNCTION("""COMPUTED_VALUE"""),"=64")</f>
        <v>=64</v>
      </c>
      <c r="K91" s="282" t="str">
        <f ca="1">IFERROR(__xludf.DUMMYFUNCTION("""COMPUTED_VALUE"""),"=3,3")</f>
        <v>=3,3</v>
      </c>
      <c r="L91" s="304" t="str">
        <f ca="1">IFERROR(__xludf.DUMMYFUNCTION("""COMPUTED_VALUE"""),"=0,658")</f>
        <v>=0,658</v>
      </c>
      <c r="M91" s="304" t="str">
        <f ca="1">IFERROR(__xludf.DUMMYFUNCTION("""COMPUTED_VALUE"""),"=0,658")</f>
        <v>=0,658</v>
      </c>
      <c r="N91" s="305" t="str">
        <f ca="1">IFERROR(__xludf.DUMMYFUNCTION("""COMPUTED_VALUE"""),"=2,95%")</f>
        <v>=2,95%</v>
      </c>
      <c r="O91" s="282" t="str">
        <f ca="1">IFERROR(__xludf.DUMMYFUNCTION("""COMPUTED_VALUE"""),"=40")</f>
        <v>=40</v>
      </c>
      <c r="P91" s="282" t="str">
        <f ca="1">IFERROR(__xludf.DUMMYFUNCTION("""COMPUTED_VALUE"""),"=4,95")</f>
        <v>=4,95</v>
      </c>
      <c r="Q91" s="282" t="str">
        <f ca="1">IFERROR(__xludf.DUMMYFUNCTION("""COMPUTED_VALUE"""),"=28")</f>
        <v>=28</v>
      </c>
      <c r="R91" s="302" t="str">
        <f ca="1">IFERROR(__xludf.DUMMYFUNCTION("""COMPUTED_VALUE"""),"=2,05")</f>
        <v>=2,05</v>
      </c>
      <c r="S91" s="282" t="str">
        <f ca="1">IFERROR(__xludf.DUMMYFUNCTION("""COMPUTED_VALUE"""),"=345")</f>
        <v>=345</v>
      </c>
      <c r="T91" s="283" t="str">
        <f ca="1">IFERROR(__xludf.DUMMYFUNCTION("""COMPUTED_VALUE"""),"=175")</f>
        <v>=175</v>
      </c>
      <c r="U91" s="298" t="str">
        <f ca="1">IFERROR(__xludf.DUMMYFUNCTION("""COMPUTED_VALUE"""),"=(IF(E_CHP&lt;=20;75*P_Q+80+2,3*Self_BoAD;40+30*P_Q+1,15*Self_BoAD)+IF(Steroid_Q;7+13*Self_Level+1,15*Self_BoAD;0))*MOD_Phys")</f>
        <v>=(IF(E_CHP&lt;=20;75*P_Q+80+2,3*Self_BoAD;40+30*P_Q+1,15*Self_BoAD)+IF(Steroid_Q;7+13*Self_Level+1,15*Self_BoAD;0))*MOD_Phys</v>
      </c>
      <c r="V91" s="299" t="str">
        <f ca="1">IFERROR(__xludf.DUMMYFUNCTION("""COMPUTED_VALUE"""),"=(20+40*P_W+Self_AP+IF(Steroid_W;(1,2+0,45*((Self_Level-1)/17))*Self_AvgAA+3*OH_Magic+3*OH_Phys;0))*MOD_Phys")</f>
        <v>=(20+40*P_W+Self_AP+IF(Steroid_W;(1,2+0,45*((Self_Level-1)/17))*Self_AvgAA+3*OH_Magic+3*OH_Phys;0))*MOD_Phys</v>
      </c>
      <c r="W91" s="299" t="str">
        <f ca="1">IFERROR(__xludf.DUMMYFUNCTION("""COMPUTED_VALUE"""),"=(55+50*P_E+1,5*Self_BoAD+IF(Steroid_E;(5/3)*Self_AD;Self_AD))*MOD_Phys")</f>
        <v>=(55+50*P_E+1,5*Self_BoAD+IF(Steroid_E;(5/3)*Self_AD;Self_AD))*MOD_Phys</v>
      </c>
      <c r="X91" s="299" t="str">
        <f ca="1">IFERROR(__xludf.DUMMYFUNCTION("""COMPUTED_VALUE"""),"=(100+200*P_R+Self_AP)*MOD_Magic+IF(Steroid_R;U91;0)")</f>
        <v>=(100+200*P_R+Self_AP)*MOD_Magic+IF(Steroid_R;U91;0)</v>
      </c>
      <c r="Y91" s="300" t="str">
        <f ca="1">IFERROR(__xludf.DUMMYFUNCTION("""COMPUTED_VALUE"""),"=0")</f>
        <v>=0</v>
      </c>
      <c r="Z91" s="281" t="str">
        <f ca="1">IFERROR(__xludf.DUMMYFUNCTION("""COMPUTED_VALUE"""),"=11,75 - 0,75 * P_Q")</f>
        <v>=11,75 - 0,75 * P_Q</v>
      </c>
      <c r="AA91" s="282" t="str">
        <f ca="1">IFERROR(__xludf.DUMMYFUNCTION("""COMPUTED_VALUE"""),"=14-P_W")</f>
        <v>=14-P_W</v>
      </c>
      <c r="AB91" s="282" t="str">
        <f ca="1">IFERROR(__xludf.DUMMYFUNCTION("""COMPUTED_VALUE"""),"=23 - P_E")</f>
        <v>=23 - P_E</v>
      </c>
      <c r="AC91" s="282" t="str">
        <f ca="1">IFERROR(__xludf.DUMMYFUNCTION("""COMPUTED_VALUE"""),"=195-15*P_R")</f>
        <v>=195-15*P_R</v>
      </c>
      <c r="AD91" s="283" t="str">
        <f ca="1">IFERROR(__xludf.DUMMYFUNCTION("""COMPUTED_VALUE"""),"=1")</f>
        <v>=1</v>
      </c>
      <c r="AE91" s="281" t="b">
        <f ca="1">IFERROR(__xludf.DUMMYFUNCTION("""COMPUTED_VALUE"""),TRUE)</f>
        <v>1</v>
      </c>
      <c r="AF91" s="282" t="str">
        <f ca="1">IFERROR(__xludf.DUMMYFUNCTION("""COMPUTED_VALUE"""),"=Image(""https://ddragon.leagueoflegends.com/cdn/11.19.1/img/champion/Pantheon.png"")")</f>
        <v>=Image("https://ddragon.leagueoflegends.com/cdn/11.19.1/img/champion/Pantheon.png")</v>
      </c>
      <c r="AG91" s="282" t="str">
        <f ca="1">IFERROR(__xludf.DUMMYFUNCTION("""COMPUTED_VALUE"""),"=IF(OR(REGEXMATCH(FORMULATEXT(U91);""HMOD"");NOT(P_Q&gt;0));0;U91)+IF(OR(REGEXMATCH(FORMULATEXT(V91);""HMOD"");NOT(P_W&gt;0));0;V91)+IF(OR(REGEXMATCH(FORMULATEXT(W91);""HMOD"");NOT(P_E&gt;0));0;W91)+IF(OR(REGEXMATCH(FORMULATEXT(X91);""HMOD"");NOT(P_R&gt;0));0;X91)+IF"&amp;"(REGEXMATCH(FORMULATEXT(Y91);""HMOD"");0;Y91)+Self_Proc_Item+Self_Proc_Summ+Self_Proc_Rune+3*Self_DPS")</f>
        <v>=IF(OR(REGEXMATCH(FORMULATEXT(U91);"HMOD");NOT(P_Q&gt;0));0;U91)+IF(OR(REGEXMATCH(FORMULATEXT(V91);"HMOD");NOT(P_W&gt;0));0;V91)+IF(OR(REGEXMATCH(FORMULATEXT(W91);"HMOD");NOT(P_E&gt;0));0;W91)+IF(OR(REGEXMATCH(FORMULATEXT(X91);"HMOD");NOT(P_R&gt;0));0;X91)+IF(REGEXMATCH(FORMULATEXT(Y91);"HMOD");0;Y91)+Self_Proc_Item+Self_Proc_Summ+Self_Proc_Rune+3*Self_DPS</v>
      </c>
      <c r="AH91" s="282" t="str">
        <f ca="1">IFERROR(__xludf.DUMMYFUNCTION("""COMPUTED_VALUE"""),"=0")</f>
        <v>=0</v>
      </c>
      <c r="AI91" s="282" t="b">
        <f ca="1">IFERROR(__xludf.DUMMYFUNCTION("""COMPUTED_VALUE"""),FALSE)</f>
        <v>0</v>
      </c>
      <c r="AJ91" s="283" t="b">
        <f ca="1">IFERROR(__xludf.DUMMYFUNCTION("""COMPUTED_VALUE"""),FALSE)</f>
        <v>0</v>
      </c>
    </row>
    <row r="92" spans="1:36">
      <c r="A92" s="301" t="str">
        <f ca="1">IFERROR(__xludf.DUMMYFUNCTION("""COMPUTED_VALUE"""),"Poppy")</f>
        <v>Poppy</v>
      </c>
      <c r="B92" s="282" t="str">
        <f ca="1">IFERROR(__xludf.DUMMYFUNCTION("""COMPUTED_VALUE"""),"=610")</f>
        <v>=610</v>
      </c>
      <c r="C92" s="282" t="str">
        <f ca="1">IFERROR(__xludf.DUMMYFUNCTION("""COMPUTED_VALUE"""),"=104")</f>
        <v>=104</v>
      </c>
      <c r="D92" s="282" t="str">
        <f ca="1">IFERROR(__xludf.DUMMYFUNCTION("""COMPUTED_VALUE"""),"=8")</f>
        <v>=8</v>
      </c>
      <c r="E92" s="302" t="str">
        <f ca="1">IFERROR(__xludf.DUMMYFUNCTION("""COMPUTED_VALUE"""),"=0,8")</f>
        <v>=0,8</v>
      </c>
      <c r="F92" s="282" t="str">
        <f ca="1">IFERROR(__xludf.DUMMYFUNCTION("""COMPUTED_VALUE"""),"=280")</f>
        <v>=280</v>
      </c>
      <c r="G92" s="282" t="str">
        <f ca="1">IFERROR(__xludf.DUMMYFUNCTION("""COMPUTED_VALUE"""),"=40")</f>
        <v>=40</v>
      </c>
      <c r="H92" s="282" t="str">
        <f ca="1">IFERROR(__xludf.DUMMYFUNCTION("""COMPUTED_VALUE"""),"=7")</f>
        <v>=7</v>
      </c>
      <c r="I92" s="302" t="str">
        <f ca="1">IFERROR(__xludf.DUMMYFUNCTION("""COMPUTED_VALUE"""),"=0,7")</f>
        <v>=0,7</v>
      </c>
      <c r="J92" s="303" t="str">
        <f ca="1">IFERROR(__xludf.DUMMYFUNCTION("""COMPUTED_VALUE"""),"=64")</f>
        <v>=64</v>
      </c>
      <c r="K92" s="282" t="str">
        <f ca="1">IFERROR(__xludf.DUMMYFUNCTION("""COMPUTED_VALUE"""),"=4")</f>
        <v>=4</v>
      </c>
      <c r="L92" s="304" t="str">
        <f ca="1">IFERROR(__xludf.DUMMYFUNCTION("""COMPUTED_VALUE"""),"=0,625")</f>
        <v>=0,625</v>
      </c>
      <c r="M92" s="304" t="str">
        <f ca="1">IFERROR(__xludf.DUMMYFUNCTION("""COMPUTED_VALUE"""),"=0,625")</f>
        <v>=0,625</v>
      </c>
      <c r="N92" s="305" t="str">
        <f ca="1">IFERROR(__xludf.DUMMYFUNCTION("""COMPUTED_VALUE"""),"=2,5%")</f>
        <v>=2,5%</v>
      </c>
      <c r="O92" s="282" t="str">
        <f ca="1">IFERROR(__xludf.DUMMYFUNCTION("""COMPUTED_VALUE"""),"=38")</f>
        <v>=38</v>
      </c>
      <c r="P92" s="282" t="str">
        <f ca="1">IFERROR(__xludf.DUMMYFUNCTION("""COMPUTED_VALUE"""),"=4,7")</f>
        <v>=4,7</v>
      </c>
      <c r="Q92" s="282" t="str">
        <f ca="1">IFERROR(__xludf.DUMMYFUNCTION("""COMPUTED_VALUE"""),"=32")</f>
        <v>=32</v>
      </c>
      <c r="R92" s="302" t="str">
        <f ca="1">IFERROR(__xludf.DUMMYFUNCTION("""COMPUTED_VALUE"""),"=2,05")</f>
        <v>=2,05</v>
      </c>
      <c r="S92" s="282" t="str">
        <f ca="1">IFERROR(__xludf.DUMMYFUNCTION("""COMPUTED_VALUE"""),"=345")</f>
        <v>=345</v>
      </c>
      <c r="T92" s="283" t="str">
        <f ca="1">IFERROR(__xludf.DUMMYFUNCTION("""COMPUTED_VALUE"""),"=125")</f>
        <v>=125</v>
      </c>
      <c r="U92" s="295" t="str">
        <f ca="1">IFERROR(__xludf.DUMMYFUNCTION("""COMPUTED_VALUE"""),"=(0,9 * Self_BoAD + 0,09 * E_MHP + 20 * P_Q + 20) * MOD_Phys * IF(Steroid_Q; 2; 1)")</f>
        <v>=(0,9 * Self_BoAD + 0,09 * E_MHP + 20 * P_Q + 20) * MOD_Phys * IF(Steroid_Q; 2; 1)</v>
      </c>
      <c r="V92" s="296" t="str">
        <f ca="1">IFERROR(__xludf.DUMMYFUNCTION("""COMPUTED_VALUE"""),"=(0,7*Self_AP+40*P_W+30)*MOD_Magic")</f>
        <v>=(0,7*Self_AP+40*P_W+30)*MOD_Magic</v>
      </c>
      <c r="W92" s="296" t="str">
        <f ca="1">IFERROR(__xludf.DUMMYFUNCTION("""COMPUTED_VALUE"""),"=(Self_BoAD+40*P_E+80)*MOD_Phys")</f>
        <v>=(Self_BoAD+40*P_E+80)*MOD_Phys</v>
      </c>
      <c r="X92" s="296" t="str">
        <f ca="1">IFERROR(__xludf.DUMMYFUNCTION("""COMPUTED_VALUE"""),"=(0,9*Self_BoAD+100*P_R+100)*MOD_Phys")</f>
        <v>=(0,9*Self_BoAD+100*P_R+100)*MOD_Phys</v>
      </c>
      <c r="Y92" s="297" t="str">
        <f ca="1">IFERROR(__xludf.DUMMYFUNCTION("""COMPUTED_VALUE"""),"=(20 + 160 * Sc_Lin)*MOD_Magic")</f>
        <v>=(20 + 160 * Sc_Lin)*MOD_Magic</v>
      </c>
      <c r="Z92" s="281" t="str">
        <f ca="1">IFERROR(__xludf.DUMMYFUNCTION("""COMPUTED_VALUE"""),"=9-P_Q")</f>
        <v>=9-P_Q</v>
      </c>
      <c r="AA92" s="282" t="str">
        <f ca="1">IFERROR(__xludf.DUMMYFUNCTION("""COMPUTED_VALUE"""),"=22-P_W*2")</f>
        <v>=22-P_W*2</v>
      </c>
      <c r="AB92" s="282" t="str">
        <f ca="1">IFERROR(__xludf.DUMMYFUNCTION("""COMPUTED_VALUE"""),"=15-P_E")</f>
        <v>=15-P_E</v>
      </c>
      <c r="AC92" s="282" t="str">
        <f ca="1">IFERROR(__xludf.DUMMYFUNCTION("""COMPUTED_VALUE"""),"=160 - 20 * P_R")</f>
        <v>=160 - 20 * P_R</v>
      </c>
      <c r="AD92" s="283" t="str">
        <f ca="1">IFERROR(__xludf.DUMMYFUNCTION("""COMPUTED_VALUE"""),"=13 - 3 * ROUNDDOWN((Self_Level - 1) / 6)")</f>
        <v>=13 - 3 * ROUNDDOWN((Self_Level - 1) / 6)</v>
      </c>
      <c r="AE92" s="281" t="b">
        <f ca="1">IFERROR(__xludf.DUMMYFUNCTION("""COMPUTED_VALUE"""),TRUE)</f>
        <v>1</v>
      </c>
      <c r="AF92" s="282" t="str">
        <f ca="1">IFERROR(__xludf.DUMMYFUNCTION("""COMPUTED_VALUE"""),"=Image(""https://ddragon.leagueoflegends.com/cdn/11.19.1/img/champion/Poppy.png"")")</f>
        <v>=Image("https://ddragon.leagueoflegends.com/cdn/11.19.1/img/champion/Poppy.png")</v>
      </c>
      <c r="AG92" s="282" t="str">
        <f ca="1">IFERROR(__xludf.DUMMYFUNCTION("""COMPUTED_VALUE"""),"=IF(OR(REGEXMATCH(FORMULATEXT(U92);""HMOD"");NOT(P_Q&gt;0));0;U92)+IF(OR(REGEXMATCH(FORMULATEXT(V92);""HMOD"");NOT(P_W&gt;0));0;V92)+IF(OR(REGEXMATCH(FORMULATEXT(W92);""HMOD"");NOT(P_E&gt;0));0;W92)+IF(OR(REGEXMATCH(FORMULATEXT(X92);""HMOD"");NOT(P_R&gt;0));0;X92)+IF"&amp;"(REGEXMATCH(FORMULATEXT(Y92);""HMOD"");0;Y92)+Self_Proc_Item+Self_Proc_Summ+Self_Proc_Rune+3*Self_DPS")</f>
        <v>=IF(OR(REGEXMATCH(FORMULATEXT(U92);"HMOD");NOT(P_Q&gt;0));0;U92)+IF(OR(REGEXMATCH(FORMULATEXT(V92);"HMOD");NOT(P_W&gt;0));0;V92)+IF(OR(REGEXMATCH(FORMULATEXT(W92);"HMOD");NOT(P_E&gt;0));0;W92)+IF(OR(REGEXMATCH(FORMULATEXT(X92);"HMOD");NOT(P_R&gt;0));0;X92)+IF(REGEXMATCH(FORMULATEXT(Y92);"HMOD");0;Y92)+Self_Proc_Item+Self_Proc_Summ+Self_Proc_Rune+3*Self_DPS</v>
      </c>
      <c r="AH92" s="282" t="str">
        <f ca="1">IFERROR(__xludf.DUMMYFUNCTION("""COMPUTED_VALUE"""),"=0")</f>
        <v>=0</v>
      </c>
      <c r="AI92" s="282" t="b">
        <f ca="1">IFERROR(__xludf.DUMMYFUNCTION("""COMPUTED_VALUE"""),FALSE)</f>
        <v>0</v>
      </c>
      <c r="AJ92" s="283" t="b">
        <f ca="1">IFERROR(__xludf.DUMMYFUNCTION("""COMPUTED_VALUE"""),FALSE)</f>
        <v>0</v>
      </c>
    </row>
    <row r="93" spans="1:36">
      <c r="A93" s="267" t="str">
        <f ca="1">IFERROR(__xludf.DUMMYFUNCTION("""COMPUTED_VALUE"""),"Pyke")</f>
        <v>Pyke</v>
      </c>
      <c r="B93" s="287" t="str">
        <f ca="1">IFERROR(__xludf.DUMMYFUNCTION("""COMPUTED_VALUE"""),"=670")</f>
        <v>=670</v>
      </c>
      <c r="C93" s="287" t="str">
        <f ca="1">IFERROR(__xludf.DUMMYFUNCTION("""COMPUTED_VALUE"""),"=104")</f>
        <v>=104</v>
      </c>
      <c r="D93" s="288" t="str">
        <f ca="1">IFERROR(__xludf.DUMMYFUNCTION("""COMPUTED_VALUE"""),"=7")</f>
        <v>=7</v>
      </c>
      <c r="E93" s="289" t="str">
        <f ca="1">IFERROR(__xludf.DUMMYFUNCTION("""COMPUTED_VALUE"""),"=0,5")</f>
        <v>=0,5</v>
      </c>
      <c r="F93" s="288" t="str">
        <f ca="1">IFERROR(__xludf.DUMMYFUNCTION("""COMPUTED_VALUE"""),"=415")</f>
        <v>=415</v>
      </c>
      <c r="G93" s="288" t="str">
        <f ca="1">IFERROR(__xludf.DUMMYFUNCTION("""COMPUTED_VALUE"""),"=50")</f>
        <v>=50</v>
      </c>
      <c r="H93" s="288" t="str">
        <f ca="1">IFERROR(__xludf.DUMMYFUNCTION("""COMPUTED_VALUE"""),"=8")</f>
        <v>=8</v>
      </c>
      <c r="I93" s="289" t="str">
        <f ca="1">IFERROR(__xludf.DUMMYFUNCTION("""COMPUTED_VALUE"""),"=1")</f>
        <v>=1</v>
      </c>
      <c r="J93" s="290" t="str">
        <f ca="1">IFERROR(__xludf.DUMMYFUNCTION("""COMPUTED_VALUE"""),"=62")</f>
        <v>=62</v>
      </c>
      <c r="K93" s="288" t="str">
        <f ca="1">IFERROR(__xludf.DUMMYFUNCTION("""COMPUTED_VALUE"""),"=2")</f>
        <v>=2</v>
      </c>
      <c r="L93" s="291" t="str">
        <f ca="1">IFERROR(__xludf.DUMMYFUNCTION("""COMPUTED_VALUE"""),"=0,667")</f>
        <v>=0,667</v>
      </c>
      <c r="M93" s="291" t="str">
        <f ca="1">IFERROR(__xludf.DUMMYFUNCTION("""COMPUTED_VALUE"""),"=0,667")</f>
        <v>=0,667</v>
      </c>
      <c r="N93" s="292" t="str">
        <f ca="1">IFERROR(__xludf.DUMMYFUNCTION("""COMPUTED_VALUE"""),"=2,5%")</f>
        <v>=2,5%</v>
      </c>
      <c r="O93" s="287" t="str">
        <f ca="1">IFERROR(__xludf.DUMMYFUNCTION("""COMPUTED_VALUE"""),"=45")</f>
        <v>=45</v>
      </c>
      <c r="P93" s="287" t="str">
        <f ca="1">IFERROR(__xludf.DUMMYFUNCTION("""COMPUTED_VALUE"""),"=4,7")</f>
        <v>=4,7</v>
      </c>
      <c r="Q93" s="288" t="str">
        <f ca="1">IFERROR(__xludf.DUMMYFUNCTION("""COMPUTED_VALUE"""),"=32")</f>
        <v>=32</v>
      </c>
      <c r="R93" s="289" t="str">
        <f ca="1">IFERROR(__xludf.DUMMYFUNCTION("""COMPUTED_VALUE"""),"=2,05")</f>
        <v>=2,05</v>
      </c>
      <c r="S93" s="287" t="str">
        <f ca="1">IFERROR(__xludf.DUMMYFUNCTION("""COMPUTED_VALUE"""),"=330")</f>
        <v>=330</v>
      </c>
      <c r="T93" s="628" t="str">
        <f ca="1">IFERROR(__xludf.DUMMYFUNCTION("""COMPUTED_VALUE"""),"=150")</f>
        <v>=150</v>
      </c>
      <c r="U93" s="298" t="str">
        <f ca="1">IFERROR(__xludf.DUMMYFUNCTION("""COMPUTED_VALUE"""),"=(50 * P_Q + 50 + 0,6 * Self_BoAD) * MOD_Phys")</f>
        <v>=(50 * P_Q + 50 + 0,6 * Self_BoAD) * MOD_Phys</v>
      </c>
      <c r="V93" s="299" t="str">
        <f ca="1">IFERROR(__xludf.DUMMYFUNCTION("""COMPUTED_VALUE"""),"=0")</f>
        <v>=0</v>
      </c>
      <c r="W93" s="299" t="str">
        <f ca="1">IFERROR(__xludf.DUMMYFUNCTION("""COMPUTED_VALUE"""),"=(40 * P_E + 65 + Self_BoAD) * MOD_Phys")</f>
        <v>=(40 * P_E + 65 + Self_BoAD) * MOD_Phys</v>
      </c>
      <c r="X93" s="299" t="str">
        <f ca="1">IFERROR(__xludf.DUMMYFUNCTION("""COMPUTED_VALUE"""),"=(0,8*Self_BoAD+Self_Leth*1,5+IF(Self_Level&gt;=6;250+40*(Self_Level-6);0)-IF(Self_Level&gt;9;10*(Self_Level-9);0)-IF(Self_Level&gt;11;10*(Self_Level-11);0)-IF(Self_Level&gt;16;10*(Self_Level-16);0))*IF(Steroid_R;1;MOD_Phys)")</f>
        <v>=(0,8*Self_BoAD+Self_Leth*1,5+IF(Self_Level&gt;=6;250+40*(Self_Level-6);0)-IF(Self_Level&gt;9;10*(Self_Level-9);0)-IF(Self_Level&gt;11;10*(Self_Level-11);0)-IF(Self_Level&gt;16;10*(Self_Level-16);0))*IF(Steroid_R;1;MOD_Phys)</v>
      </c>
      <c r="Y93" s="300" t="str">
        <f ca="1">IFERROR(__xludf.DUMMYFUNCTION("""COMPUTED_VALUE"""),"=0")</f>
        <v>=0</v>
      </c>
      <c r="Z93" s="281" t="str">
        <f ca="1">IFERROR(__xludf.DUMMYFUNCTION("""COMPUTED_VALUE"""),"=10,5-0,5*P_Q")</f>
        <v>=10,5-0,5*P_Q</v>
      </c>
      <c r="AA93" s="282" t="str">
        <f ca="1">IFERROR(__xludf.DUMMYFUNCTION("""COMPUTED_VALUE"""),"=12,5 - 0,5 * P_W")</f>
        <v>=12,5 - 0,5 * P_W</v>
      </c>
      <c r="AB93" s="282" t="str">
        <f ca="1">IFERROR(__xludf.DUMMYFUNCTION("""COMPUTED_VALUE"""),"=16-P_E")</f>
        <v>=16-P_E</v>
      </c>
      <c r="AC93" s="282" t="str">
        <f ca="1">IFERROR(__xludf.DUMMYFUNCTION("""COMPUTED_VALUE"""),"=115-15*P_R")</f>
        <v>=115-15*P_R</v>
      </c>
      <c r="AD93" s="283" t="str">
        <f ca="1">IFERROR(__xludf.DUMMYFUNCTION("""COMPUTED_VALUE"""),"=1")</f>
        <v>=1</v>
      </c>
      <c r="AE93" s="281" t="b">
        <f ca="1">IFERROR(__xludf.DUMMYFUNCTION("""COMPUTED_VALUE"""),TRUE)</f>
        <v>1</v>
      </c>
      <c r="AF93" s="282" t="str">
        <f ca="1">IFERROR(__xludf.DUMMYFUNCTION("""COMPUTED_VALUE"""),"=Image(""https://ddragon.leagueoflegends.com/cdn/11.19.1/img/champion/Pyke.png"")")</f>
        <v>=Image("https://ddragon.leagueoflegends.com/cdn/11.19.1/img/champion/Pyke.png")</v>
      </c>
      <c r="AG93" s="282" t="str">
        <f ca="1">IFERROR(__xludf.DUMMYFUNCTION("""COMPUTED_VALUE"""),"=IF(OR(REGEXMATCH(FORMULATEXT(U93);""HMOD"");NOT(P_Q&gt;0));0;U93)+IF(OR(REGEXMATCH(FORMULATEXT(V93);""HMOD"");NOT(P_W&gt;0));0;V93)+IF(OR(REGEXMATCH(FORMULATEXT(W93);""HMOD"");NOT(P_E&gt;0));0;W93)+IF(OR(REGEXMATCH(FORMULATEXT(X93);""HMOD"");NOT(P_R&gt;0));0;X93)+IF"&amp;"(REGEXMATCH(FORMULATEXT(Y93);""HMOD"");0;Y93)+Self_Proc_Item+Self_Proc_Summ+Self_Proc_Rune+3*Self_DPS")</f>
        <v>=IF(OR(REGEXMATCH(FORMULATEXT(U93);"HMOD");NOT(P_Q&gt;0));0;U93)+IF(OR(REGEXMATCH(FORMULATEXT(V93);"HMOD");NOT(P_W&gt;0));0;V93)+IF(OR(REGEXMATCH(FORMULATEXT(W93);"HMOD");NOT(P_E&gt;0));0;W93)+IF(OR(REGEXMATCH(FORMULATEXT(X93);"HMOD");NOT(P_R&gt;0));0;X93)+IF(REGEXMATCH(FORMULATEXT(Y93);"HMOD");0;Y93)+Self_Proc_Item+Self_Proc_Summ+Self_Proc_Rune+3*Self_DPS</v>
      </c>
      <c r="AH93" s="282" t="str">
        <f ca="1">IFERROR(__xludf.DUMMYFUNCTION("""COMPUTED_VALUE"""),"=0")</f>
        <v>=0</v>
      </c>
      <c r="AI93" s="282" t="b">
        <f ca="1">IFERROR(__xludf.DUMMYFUNCTION("""COMPUTED_VALUE"""),FALSE)</f>
        <v>0</v>
      </c>
      <c r="AJ93" s="283" t="b">
        <f ca="1">IFERROR(__xludf.DUMMYFUNCTION("""COMPUTED_VALUE"""),FALSE)</f>
        <v>0</v>
      </c>
    </row>
    <row r="94" spans="1:36">
      <c r="A94" s="267" t="str">
        <f ca="1">IFERROR(__xludf.DUMMYFUNCTION("""COMPUTED_VALUE"""),"Qiyana")</f>
        <v>Qiyana</v>
      </c>
      <c r="B94" s="287" t="str">
        <f ca="1">IFERROR(__xludf.DUMMYFUNCTION("""COMPUTED_VALUE"""),"=590")</f>
        <v>=590</v>
      </c>
      <c r="C94" s="287" t="str">
        <f ca="1">IFERROR(__xludf.DUMMYFUNCTION("""COMPUTED_VALUE"""),"=124")</f>
        <v>=124</v>
      </c>
      <c r="D94" s="288" t="str">
        <f ca="1">IFERROR(__xludf.DUMMYFUNCTION("""COMPUTED_VALUE"""),"=6")</f>
        <v>=6</v>
      </c>
      <c r="E94" s="289" t="str">
        <f ca="1">IFERROR(__xludf.DUMMYFUNCTION("""COMPUTED_VALUE"""),"=0,9")</f>
        <v>=0,9</v>
      </c>
      <c r="F94" s="288" t="str">
        <f ca="1">IFERROR(__xludf.DUMMYFUNCTION("""COMPUTED_VALUE"""),"=320")</f>
        <v>=320</v>
      </c>
      <c r="G94" s="288" t="str">
        <f ca="1">IFERROR(__xludf.DUMMYFUNCTION("""COMPUTED_VALUE"""),"=50")</f>
        <v>=50</v>
      </c>
      <c r="H94" s="288" t="str">
        <f ca="1">IFERROR(__xludf.DUMMYFUNCTION("""COMPUTED_VALUE"""),"=7")</f>
        <v>=7</v>
      </c>
      <c r="I94" s="289" t="str">
        <f ca="1">IFERROR(__xludf.DUMMYFUNCTION("""COMPUTED_VALUE"""),"=0,5")</f>
        <v>=0,5</v>
      </c>
      <c r="J94" s="290" t="str">
        <f ca="1">IFERROR(__xludf.DUMMYFUNCTION("""COMPUTED_VALUE"""),"=66")</f>
        <v>=66</v>
      </c>
      <c r="K94" s="288" t="str">
        <f ca="1">IFERROR(__xludf.DUMMYFUNCTION("""COMPUTED_VALUE"""),"=3,1")</f>
        <v>=3,1</v>
      </c>
      <c r="L94" s="291" t="str">
        <f ca="1">IFERROR(__xludf.DUMMYFUNCTION("""COMPUTED_VALUE"""),"=0,688")</f>
        <v>=0,688</v>
      </c>
      <c r="M94" s="291" t="str">
        <f ca="1">IFERROR(__xludf.DUMMYFUNCTION("""COMPUTED_VALUE"""),"=0,625")</f>
        <v>=0,625</v>
      </c>
      <c r="N94" s="292" t="str">
        <f ca="1">IFERROR(__xludf.DUMMYFUNCTION("""COMPUTED_VALUE"""),"=2,1%")</f>
        <v>=2,1%</v>
      </c>
      <c r="O94" s="287" t="str">
        <f ca="1">IFERROR(__xludf.DUMMYFUNCTION("""COMPUTED_VALUE"""),"=28")</f>
        <v>=28</v>
      </c>
      <c r="P94" s="287" t="str">
        <f ca="1">IFERROR(__xludf.DUMMYFUNCTION("""COMPUTED_VALUE"""),"=4,7")</f>
        <v>=4,7</v>
      </c>
      <c r="Q94" s="288" t="str">
        <f ca="1">IFERROR(__xludf.DUMMYFUNCTION("""COMPUTED_VALUE"""),"=32")</f>
        <v>=32</v>
      </c>
      <c r="R94" s="289" t="str">
        <f ca="1">IFERROR(__xludf.DUMMYFUNCTION("""COMPUTED_VALUE"""),"=2,05")</f>
        <v>=2,05</v>
      </c>
      <c r="S94" s="287" t="str">
        <f ca="1">IFERROR(__xludf.DUMMYFUNCTION("""COMPUTED_VALUE"""),"=335")</f>
        <v>=335</v>
      </c>
      <c r="T94" s="628" t="str">
        <f ca="1">IFERROR(__xludf.DUMMYFUNCTION("""COMPUTED_VALUE"""),"=150")</f>
        <v>=150</v>
      </c>
      <c r="U94" s="295" t="str">
        <f ca="1">IFERROR(__xludf.DUMMYFUNCTION("""COMPUTED_VALUE"""),"=IF(Steroid_Q; 1,6; 1) * (15 + 35 * P_Q + 0,75 * Self_BoAD) * MOD_Phys")</f>
        <v>=IF(Steroid_Q; 1,6; 1) * (15 + 35 * P_Q + 0,75 * Self_BoAD) * MOD_Phys</v>
      </c>
      <c r="V94" s="296" t="str">
        <f ca="1">IFERROR(__xludf.DUMMYFUNCTION("""COMPUTED_VALUE"""),"=(14*P_W+0,1*Self_BoAD+0,45*Self_AP-6)*MOD_Magic")</f>
        <v>=(14*P_W+0,1*Self_BoAD+0,45*Self_AP-6)*MOD_Magic</v>
      </c>
      <c r="W94" s="296" t="str">
        <f ca="1">IFERROR(__xludf.DUMMYFUNCTION("""COMPUTED_VALUE"""),"=(10 + 40 * P_E + 0,5 * Self_BoAD) * MOD_Phys")</f>
        <v>=(10 + 40 * P_E + 0,5 * Self_BoAD) * MOD_Phys</v>
      </c>
      <c r="X94" s="296" t="str">
        <f ca="1">IFERROR(__xludf.DUMMYFUNCTION("""COMPUTED_VALUE"""),"=(100*P_R+1,7*Self_BoAD+(0,08+0,02*P_R)*E_MHP)*MOD_Phys")</f>
        <v>=(100*P_R+1,7*Self_BoAD+(0,08+0,02*P_R)*E_MHP)*MOD_Phys</v>
      </c>
      <c r="Y94" s="297" t="str">
        <f ca="1">IFERROR(__xludf.DUMMYFUNCTION("""COMPUTED_VALUE"""),"=(11+4*Self_Level+0,3*Self_BoAD+0,3*Self_AP)*MOD_Phys")</f>
        <v>=(11+4*Self_Level+0,3*Self_BoAD+0,3*Self_AP)*MOD_Phys</v>
      </c>
      <c r="Z94" s="281" t="str">
        <f ca="1">IFERROR(__xludf.DUMMYFUNCTION("""COMPUTED_VALUE"""),"=7")</f>
        <v>=7</v>
      </c>
      <c r="AA94" s="282" t="str">
        <f ca="1">IFERROR(__xludf.DUMMYFUNCTION("""COMPUTED_VALUE"""),"=7")</f>
        <v>=7</v>
      </c>
      <c r="AB94" s="282" t="str">
        <f ca="1">IFERROR(__xludf.DUMMYFUNCTION("""COMPUTED_VALUE"""),"=12 - P_E")</f>
        <v>=12 - P_E</v>
      </c>
      <c r="AC94" s="282" t="str">
        <f ca="1">IFERROR(__xludf.DUMMYFUNCTION("""COMPUTED_VALUE"""),"=120")</f>
        <v>=120</v>
      </c>
      <c r="AD94" s="283" t="str">
        <f ca="1">IFERROR(__xludf.DUMMYFUNCTION("""COMPUTED_VALUE"""),"=25")</f>
        <v>=25</v>
      </c>
      <c r="AE94" s="281" t="b">
        <f ca="1">IFERROR(__xludf.DUMMYFUNCTION("""COMPUTED_VALUE"""),TRUE)</f>
        <v>1</v>
      </c>
      <c r="AF94" s="282" t="str">
        <f ca="1">IFERROR(__xludf.DUMMYFUNCTION("""COMPUTED_VALUE"""),"=Image(""https://ddragon.leagueoflegends.com/cdn/11.19.1/img/champion/Qiyana.png"")")</f>
        <v>=Image("https://ddragon.leagueoflegends.com/cdn/11.19.1/img/champion/Qiyana.png")</v>
      </c>
      <c r="AG94" s="282" t="str">
        <f ca="1">IFERROR(__xludf.DUMMYFUNCTION("""COMPUTED_VALUE"""),"=IF(OR(REGEXMATCH(FORMULATEXT(U94);""HMOD"");NOT(P_Q&gt;0));0;U94)+IF(OR(REGEXMATCH(FORMULATEXT(V94);""HMOD"");NOT(P_W&gt;0));0;V94)+IF(OR(REGEXMATCH(FORMULATEXT(W94);""HMOD"");NOT(P_E&gt;0));0;W94)+IF(OR(REGEXMATCH(FORMULATEXT(X94);""HMOD"");NOT(P_R&gt;0));0;X94)+IF"&amp;"(REGEXMATCH(FORMULATEXT(Y94);""HMOD"");0;Y94)+Self_Proc_Item+Self_Proc_Summ+Self_Proc_Rune+3*Self_DPS")</f>
        <v>=IF(OR(REGEXMATCH(FORMULATEXT(U94);"HMOD");NOT(P_Q&gt;0));0;U94)+IF(OR(REGEXMATCH(FORMULATEXT(V94);"HMOD");NOT(P_W&gt;0));0;V94)+IF(OR(REGEXMATCH(FORMULATEXT(W94);"HMOD");NOT(P_E&gt;0));0;W94)+IF(OR(REGEXMATCH(FORMULATEXT(X94);"HMOD");NOT(P_R&gt;0));0;X94)+IF(REGEXMATCH(FORMULATEXT(Y94);"HMOD");0;Y94)+Self_Proc_Item+Self_Proc_Summ+Self_Proc_Rune+3*Self_DPS</v>
      </c>
      <c r="AH94" s="282" t="str">
        <f ca="1">IFERROR(__xludf.DUMMYFUNCTION("""COMPUTED_VALUE"""),"=0")</f>
        <v>=0</v>
      </c>
      <c r="AI94" s="282" t="b">
        <f ca="1">IFERROR(__xludf.DUMMYFUNCTION("""COMPUTED_VALUE"""),FALSE)</f>
        <v>0</v>
      </c>
      <c r="AJ94" s="283" t="b">
        <f ca="1">IFERROR(__xludf.DUMMYFUNCTION("""COMPUTED_VALUE"""),FALSE)</f>
        <v>0</v>
      </c>
    </row>
    <row r="95" spans="1:36">
      <c r="A95" s="267" t="str">
        <f ca="1">IFERROR(__xludf.DUMMYFUNCTION("""COMPUTED_VALUE"""),"Quinn")</f>
        <v>Quinn</v>
      </c>
      <c r="B95" s="287" t="str">
        <f ca="1">IFERROR(__xludf.DUMMYFUNCTION("""COMPUTED_VALUE"""),"=603")</f>
        <v>=603</v>
      </c>
      <c r="C95" s="287" t="str">
        <f ca="1">IFERROR(__xludf.DUMMYFUNCTION("""COMPUTED_VALUE"""),"=99")</f>
        <v>=99</v>
      </c>
      <c r="D95" s="288" t="str">
        <f ca="1">IFERROR(__xludf.DUMMYFUNCTION("""COMPUTED_VALUE"""),"=5,5")</f>
        <v>=5,5</v>
      </c>
      <c r="E95" s="289" t="str">
        <f ca="1">IFERROR(__xludf.DUMMYFUNCTION("""COMPUTED_VALUE"""),"=0,55")</f>
        <v>=0,55</v>
      </c>
      <c r="F95" s="288" t="str">
        <f ca="1">IFERROR(__xludf.DUMMYFUNCTION("""COMPUTED_VALUE"""),"=269")</f>
        <v>=269</v>
      </c>
      <c r="G95" s="288" t="str">
        <f ca="1">IFERROR(__xludf.DUMMYFUNCTION("""COMPUTED_VALUE"""),"=35")</f>
        <v>=35</v>
      </c>
      <c r="H95" s="288" t="str">
        <f ca="1">IFERROR(__xludf.DUMMYFUNCTION("""COMPUTED_VALUE"""),"=7")</f>
        <v>=7</v>
      </c>
      <c r="I95" s="289" t="str">
        <f ca="1">IFERROR(__xludf.DUMMYFUNCTION("""COMPUTED_VALUE"""),"=0,4")</f>
        <v>=0,4</v>
      </c>
      <c r="J95" s="290" t="str">
        <f ca="1">IFERROR(__xludf.DUMMYFUNCTION("""COMPUTED_VALUE"""),"=59")</f>
        <v>=59</v>
      </c>
      <c r="K95" s="288" t="str">
        <f ca="1">IFERROR(__xludf.DUMMYFUNCTION("""COMPUTED_VALUE"""),"=2,4")</f>
        <v>=2,4</v>
      </c>
      <c r="L95" s="291" t="str">
        <f ca="1">IFERROR(__xludf.DUMMYFUNCTION("""COMPUTED_VALUE"""),"=0,668")</f>
        <v>=0,668</v>
      </c>
      <c r="M95" s="291" t="str">
        <f ca="1">IFERROR(__xludf.DUMMYFUNCTION("""COMPUTED_VALUE"""),"=0,668")</f>
        <v>=0,668</v>
      </c>
      <c r="N95" s="292" t="str">
        <f ca="1">IFERROR(__xludf.DUMMYFUNCTION("""COMPUTED_VALUE"""),"=3,1%")</f>
        <v>=3,1%</v>
      </c>
      <c r="O95" s="287" t="str">
        <f ca="1">IFERROR(__xludf.DUMMYFUNCTION("""COMPUTED_VALUE"""),"=28")</f>
        <v>=28</v>
      </c>
      <c r="P95" s="287" t="str">
        <f ca="1">IFERROR(__xludf.DUMMYFUNCTION("""COMPUTED_VALUE"""),"=4,7")</f>
        <v>=4,7</v>
      </c>
      <c r="Q95" s="288" t="str">
        <f ca="1">IFERROR(__xludf.DUMMYFUNCTION("""COMPUTED_VALUE"""),"=30")</f>
        <v>=30</v>
      </c>
      <c r="R95" s="289" t="str">
        <f ca="1">IFERROR(__xludf.DUMMYFUNCTION("""COMPUTED_VALUE"""),"=1,3")</f>
        <v>=1,3</v>
      </c>
      <c r="S95" s="287" t="str">
        <f ca="1">IFERROR(__xludf.DUMMYFUNCTION("""COMPUTED_VALUE"""),"=335")</f>
        <v>=335</v>
      </c>
      <c r="T95" s="628" t="str">
        <f ca="1">IFERROR(__xludf.DUMMYFUNCTION("""COMPUTED_VALUE"""),"=525")</f>
        <v>=525</v>
      </c>
      <c r="U95" s="298" t="str">
        <f ca="1">IFERROR(__xludf.DUMMYFUNCTION("""COMPUTED_VALUE"""),"=(25*P_Q-5+(0,7+0,1*P_Q)*Self_AD+0,5*Self_AP)*MOD_Phys")</f>
        <v>=(25*P_Q-5+(0,7+0,1*P_Q)*Self_AD+0,5*Self_AP)*MOD_Phys</v>
      </c>
      <c r="V95" s="299" t="str">
        <f ca="1">IFERROR(__xludf.DUMMYFUNCTION("""COMPUTED_VALUE"""),"=0")</f>
        <v>=0</v>
      </c>
      <c r="W95" s="299" t="str">
        <f ca="1">IFERROR(__xludf.DUMMYFUNCTION("""COMPUTED_VALUE"""),"=(10+30*P_E+(0,2)*Self_BoAD)*MOD_Phys")</f>
        <v>=(10+30*P_E+(0,2)*Self_BoAD)*MOD_Phys</v>
      </c>
      <c r="X95" s="299" t="str">
        <f ca="1">IFERROR(__xludf.DUMMYFUNCTION("""COMPUTED_VALUE"""),"=0,7*Self_AD*MOD_Phys")</f>
        <v>=0,7*Self_AD*MOD_Phys</v>
      </c>
      <c r="Y95" s="300" t="str">
        <f ca="1">IFERROR(__xludf.DUMMYFUNCTION("""COMPUTED_VALUE"""),"=(5+5*Self_Level+(0,14+0,02*Self_Level)*Self_AD)*MOD_Phys")</f>
        <v>=(5+5*Self_Level+(0,14+0,02*Self_Level)*Self_AD)*MOD_Phys</v>
      </c>
      <c r="Z95" s="281" t="str">
        <f ca="1">IFERROR(__xludf.DUMMYFUNCTION("""COMPUTED_VALUE"""),"=11,5-0,5*P_Q")</f>
        <v>=11,5-0,5*P_Q</v>
      </c>
      <c r="AA95" s="282" t="str">
        <f ca="1">IFERROR(__xludf.DUMMYFUNCTION("""COMPUTED_VALUE"""),"=55-5*P_W")</f>
        <v>=55-5*P_W</v>
      </c>
      <c r="AB95" s="282" t="str">
        <f ca="1">IFERROR(__xludf.DUMMYFUNCTION("""COMPUTED_VALUE"""),"=13-P_E")</f>
        <v>=13-P_E</v>
      </c>
      <c r="AC95" s="282" t="str">
        <f ca="1">IFERROR(__xludf.DUMMYFUNCTION("""COMPUTED_VALUE"""),"=3")</f>
        <v>=3</v>
      </c>
      <c r="AD95" s="283" t="str">
        <f ca="1">IFERROR(__xludf.DUMMYFUNCTION("""COMPUTED_VALUE"""),"=8*(0,99^(Self_Crit*100))")</f>
        <v>=8*(0,99^(Self_Crit*100))</v>
      </c>
      <c r="AE95" s="281" t="b">
        <f ca="1">IFERROR(__xludf.DUMMYFUNCTION("""COMPUTED_VALUE"""),FALSE)</f>
        <v>0</v>
      </c>
      <c r="AF95" s="282" t="str">
        <f ca="1">IFERROR(__xludf.DUMMYFUNCTION("""COMPUTED_VALUE"""),"=Image(""https://ddragon.leagueoflegends.com/cdn/11.19.1/img/champion/Quinn.png"")")</f>
        <v>=Image("https://ddragon.leagueoflegends.com/cdn/11.19.1/img/champion/Quinn.png")</v>
      </c>
      <c r="AG95" s="282" t="str">
        <f ca="1">IFERROR(__xludf.DUMMYFUNCTION("""COMPUTED_VALUE"""),"=IF(OR(REGEXMATCH(FORMULATEXT(U95);""HMOD"");NOT(P_Q&gt;0));0;U95)+IF(OR(REGEXMATCH(FORMULATEXT(V95);""HMOD"");NOT(P_W&gt;0));0;V95)+IF(OR(REGEXMATCH(FORMULATEXT(W95);""HMOD"");NOT(P_E&gt;0));0;W95)+IF(OR(REGEXMATCH(FORMULATEXT(X95);""HMOD"");NOT(P_R&gt;0));0;X95)+IF"&amp;"(REGEXMATCH(FORMULATEXT(Y95);""HMOD"");0;Y95)+Self_Proc_Item+Self_Proc_Summ+Self_Proc_Rune+3*Self_DPS")</f>
        <v>=IF(OR(REGEXMATCH(FORMULATEXT(U95);"HMOD");NOT(P_Q&gt;0));0;U95)+IF(OR(REGEXMATCH(FORMULATEXT(V95);"HMOD");NOT(P_W&gt;0));0;V95)+IF(OR(REGEXMATCH(FORMULATEXT(W95);"HMOD");NOT(P_E&gt;0));0;W95)+IF(OR(REGEXMATCH(FORMULATEXT(X95);"HMOD");NOT(P_R&gt;0));0;X95)+IF(REGEXMATCH(FORMULATEXT(Y95);"HMOD");0;Y95)+Self_Proc_Item+Self_Proc_Summ+Self_Proc_Rune+3*Self_DPS</v>
      </c>
      <c r="AH95" s="282" t="str">
        <f ca="1">IFERROR(__xludf.DUMMYFUNCTION("""COMPUTED_VALUE"""),"=0")</f>
        <v>=0</v>
      </c>
      <c r="AI95" s="282" t="b">
        <f ca="1">IFERROR(__xludf.DUMMYFUNCTION("""COMPUTED_VALUE"""),FALSE)</f>
        <v>0</v>
      </c>
      <c r="AJ95" s="283" t="b">
        <f ca="1">IFERROR(__xludf.DUMMYFUNCTION("""COMPUTED_VALUE"""),FALSE)</f>
        <v>0</v>
      </c>
    </row>
    <row r="96" spans="1:36">
      <c r="A96" s="267" t="str">
        <f ca="1">IFERROR(__xludf.DUMMYFUNCTION("""COMPUTED_VALUE"""),"Rakan")</f>
        <v>Rakan</v>
      </c>
      <c r="B96" s="287" t="str">
        <f ca="1">IFERROR(__xludf.DUMMYFUNCTION("""COMPUTED_VALUE"""),"=610")</f>
        <v>=610</v>
      </c>
      <c r="C96" s="287" t="str">
        <f ca="1">IFERROR(__xludf.DUMMYFUNCTION("""COMPUTED_VALUE"""),"=99")</f>
        <v>=99</v>
      </c>
      <c r="D96" s="288" t="str">
        <f ca="1">IFERROR(__xludf.DUMMYFUNCTION("""COMPUTED_VALUE"""),"=5")</f>
        <v>=5</v>
      </c>
      <c r="E96" s="289" t="str">
        <f ca="1">IFERROR(__xludf.DUMMYFUNCTION("""COMPUTED_VALUE"""),"=0,5")</f>
        <v>=0,5</v>
      </c>
      <c r="F96" s="288" t="str">
        <f ca="1">IFERROR(__xludf.DUMMYFUNCTION("""COMPUTED_VALUE"""),"=315")</f>
        <v>=315</v>
      </c>
      <c r="G96" s="288" t="str">
        <f ca="1">IFERROR(__xludf.DUMMYFUNCTION("""COMPUTED_VALUE"""),"=50")</f>
        <v>=50</v>
      </c>
      <c r="H96" s="288" t="str">
        <f ca="1">IFERROR(__xludf.DUMMYFUNCTION("""COMPUTED_VALUE"""),"=8,75")</f>
        <v>=8,75</v>
      </c>
      <c r="I96" s="289" t="str">
        <f ca="1">IFERROR(__xludf.DUMMYFUNCTION("""COMPUTED_VALUE"""),"=0,5")</f>
        <v>=0,5</v>
      </c>
      <c r="J96" s="290" t="str">
        <f ca="1">IFERROR(__xludf.DUMMYFUNCTION("""COMPUTED_VALUE"""),"=62")</f>
        <v>=62</v>
      </c>
      <c r="K96" s="288" t="str">
        <f ca="1">IFERROR(__xludf.DUMMYFUNCTION("""COMPUTED_VALUE"""),"=3,5")</f>
        <v>=3,5</v>
      </c>
      <c r="L96" s="291" t="str">
        <f ca="1">IFERROR(__xludf.DUMMYFUNCTION("""COMPUTED_VALUE"""),"=0,635")</f>
        <v>=0,635</v>
      </c>
      <c r="M96" s="291" t="str">
        <f ca="1">IFERROR(__xludf.DUMMYFUNCTION("""COMPUTED_VALUE"""),"=0,635")</f>
        <v>=0,635</v>
      </c>
      <c r="N96" s="292" t="str">
        <f ca="1">IFERROR(__xludf.DUMMYFUNCTION("""COMPUTED_VALUE"""),"=3%")</f>
        <v>=3%</v>
      </c>
      <c r="O96" s="287" t="str">
        <f ca="1">IFERROR(__xludf.DUMMYFUNCTION("""COMPUTED_VALUE"""),"=30")</f>
        <v>=30</v>
      </c>
      <c r="P96" s="287" t="str">
        <f ca="1">IFERROR(__xludf.DUMMYFUNCTION("""COMPUTED_VALUE"""),"=4,9")</f>
        <v>=4,9</v>
      </c>
      <c r="Q96" s="288" t="str">
        <f ca="1">IFERROR(__xludf.DUMMYFUNCTION("""COMPUTED_VALUE"""),"=32")</f>
        <v>=32</v>
      </c>
      <c r="R96" s="289" t="str">
        <f ca="1">IFERROR(__xludf.DUMMYFUNCTION("""COMPUTED_VALUE"""),"=2,05")</f>
        <v>=2,05</v>
      </c>
      <c r="S96" s="287" t="str">
        <f ca="1">IFERROR(__xludf.DUMMYFUNCTION("""COMPUTED_VALUE"""),"=335")</f>
        <v>=335</v>
      </c>
      <c r="T96" s="628" t="str">
        <f ca="1">IFERROR(__xludf.DUMMYFUNCTION("""COMPUTED_VALUE"""),"=300")</f>
        <v>=300</v>
      </c>
      <c r="U96" s="295" t="str">
        <f ca="1">IFERROR(__xludf.DUMMYFUNCTION("""COMPUTED_VALUE"""),"=(45 * P_Q + 25 + 0,7 * Self_AP) * MOD_Magic")</f>
        <v>=(45 * P_Q + 25 + 0,7 * Self_AP) * MOD_Magic</v>
      </c>
      <c r="V96" s="296" t="str">
        <f ca="1">IFERROR(__xludf.DUMMYFUNCTION("""COMPUTED_VALUE"""),"=(50 * P_W + 20 + 0,8 * Self_AP) * MOD_Magic")</f>
        <v>=(50 * P_W + 20 + 0,8 * Self_AP) * MOD_Magic</v>
      </c>
      <c r="W96" s="296" t="str">
        <f ca="1">IFERROR(__xludf.DUMMYFUNCTION("""COMPUTED_VALUE"""),"=(25+25*P_E+0,7*Self_AP)*MOD_Heal")</f>
        <v>=(25+25*P_E+0,7*Self_AP)*MOD_Heal</v>
      </c>
      <c r="X96" s="296" t="str">
        <f ca="1">IFERROR(__xludf.DUMMYFUNCTION("""COMPUTED_VALUE"""),"=(100*P_R+0,5*Self_AP)*MOD_Magic")</f>
        <v>=(100*P_R+0,5*Self_AP)*MOD_Magic</v>
      </c>
      <c r="Y96" s="297" t="str">
        <f ca="1">IFERROR(__xludf.DUMMYFUNCTION("""COMPUTED_VALUE"""),"=(30 + 195 * Sc_Lin + 0,95 * Self_AP) * MOD_SelfHeal")</f>
        <v>=(30 + 195 * Sc_Lin + 0,95 * Self_AP) * MOD_SelfHeal</v>
      </c>
      <c r="Z96" s="281" t="str">
        <f ca="1">IFERROR(__xludf.DUMMYFUNCTION("""COMPUTED_VALUE"""),"=12-P_Q")</f>
        <v>=12-P_Q</v>
      </c>
      <c r="AA96" s="282" t="str">
        <f ca="1">IFERROR(__xludf.DUMMYFUNCTION("""COMPUTED_VALUE"""),"=17,5-1,5*P_W")</f>
        <v>=17,5-1,5*P_W</v>
      </c>
      <c r="AB96" s="282" t="str">
        <f ca="1">IFERROR(__xludf.DUMMYFUNCTION("""COMPUTED_VALUE"""),"=22-2*P_E")</f>
        <v>=22-2*P_E</v>
      </c>
      <c r="AC96" s="282" t="str">
        <f ca="1">IFERROR(__xludf.DUMMYFUNCTION("""COMPUTED_VALUE"""),"=150-20*P_R")</f>
        <v>=150-20*P_R</v>
      </c>
      <c r="AD96" s="283" t="str">
        <f ca="1">IFERROR(__xludf.DUMMYFUNCTION("""COMPUTED_VALUE"""),"=41,5-1,5*Self_Level")</f>
        <v>=41,5-1,5*Self_Level</v>
      </c>
      <c r="AE96" s="281" t="b">
        <f ca="1">IFERROR(__xludf.DUMMYFUNCTION("""COMPUTED_VALUE"""),FALSE)</f>
        <v>0</v>
      </c>
      <c r="AF96" s="282" t="str">
        <f ca="1">IFERROR(__xludf.DUMMYFUNCTION("""COMPUTED_VALUE"""),"=Image(""https://ddragon.leagueoflegends.com/cdn/11.19.1/img/champion/Rakan.png"")")</f>
        <v>=Image("https://ddragon.leagueoflegends.com/cdn/11.19.1/img/champion/Rakan.png")</v>
      </c>
      <c r="AG96" s="282" t="str">
        <f ca="1">IFERROR(__xludf.DUMMYFUNCTION("""COMPUTED_VALUE"""),"=IF(OR(REGEXMATCH(FORMULATEXT(U96);""HMOD"");NOT(P_Q&gt;0));0;U96)+IF(OR(REGEXMATCH(FORMULATEXT(V96);""HMOD"");NOT(P_W&gt;0));0;V96)+IF(OR(REGEXMATCH(FORMULATEXT(W96);""HMOD"");NOT(P_E&gt;0));0;W96)+IF(OR(REGEXMATCH(FORMULATEXT(X96);""HMOD"");NOT(P_R&gt;0));0;X96)+IF"&amp;"(REGEXMATCH(FORMULATEXT(Y96);""HMOD"");0;Y96)+Self_Proc_Item+Self_Proc_Summ+Self_Proc_Rune+3*Self_DPS")</f>
        <v>=IF(OR(REGEXMATCH(FORMULATEXT(U96);"HMOD");NOT(P_Q&gt;0));0;U96)+IF(OR(REGEXMATCH(FORMULATEXT(V96);"HMOD");NOT(P_W&gt;0));0;V96)+IF(OR(REGEXMATCH(FORMULATEXT(W96);"HMOD");NOT(P_E&gt;0));0;W96)+IF(OR(REGEXMATCH(FORMULATEXT(X96);"HMOD");NOT(P_R&gt;0));0;X96)+IF(REGEXMATCH(FORMULATEXT(Y96);"HMOD");0;Y96)+Self_Proc_Item+Self_Proc_Summ+Self_Proc_Rune+3*Self_DPS</v>
      </c>
      <c r="AH96" s="282" t="str">
        <f ca="1">IFERROR(__xludf.DUMMYFUNCTION("""COMPUTED_VALUE"""),"=0")</f>
        <v>=0</v>
      </c>
      <c r="AI96" s="282" t="b">
        <f ca="1">IFERROR(__xludf.DUMMYFUNCTION("""COMPUTED_VALUE"""),FALSE)</f>
        <v>0</v>
      </c>
      <c r="AJ96" s="283" t="b">
        <f ca="1">IFERROR(__xludf.DUMMYFUNCTION("""COMPUTED_VALUE"""),FALSE)</f>
        <v>0</v>
      </c>
    </row>
    <row r="97" spans="1:36">
      <c r="A97" s="267" t="str">
        <f ca="1">IFERROR(__xludf.DUMMYFUNCTION("""COMPUTED_VALUE"""),"Rammus")</f>
        <v>Rammus</v>
      </c>
      <c r="B97" s="287" t="str">
        <f ca="1">IFERROR(__xludf.DUMMYFUNCTION("""COMPUTED_VALUE"""),"=614")</f>
        <v>=614</v>
      </c>
      <c r="C97" s="287" t="str">
        <f ca="1">IFERROR(__xludf.DUMMYFUNCTION("""COMPUTED_VALUE"""),"=94")</f>
        <v>=94</v>
      </c>
      <c r="D97" s="288" t="str">
        <f ca="1">IFERROR(__xludf.DUMMYFUNCTION("""COMPUTED_VALUE"""),"=8")</f>
        <v>=8</v>
      </c>
      <c r="E97" s="289" t="str">
        <f ca="1">IFERROR(__xludf.DUMMYFUNCTION("""COMPUTED_VALUE"""),"=0,55")</f>
        <v>=0,55</v>
      </c>
      <c r="F97" s="288" t="str">
        <f ca="1">IFERROR(__xludf.DUMMYFUNCTION("""COMPUTED_VALUE"""),"=310")</f>
        <v>=310</v>
      </c>
      <c r="G97" s="288" t="str">
        <f ca="1">IFERROR(__xludf.DUMMYFUNCTION("""COMPUTED_VALUE"""),"=33")</f>
        <v>=33</v>
      </c>
      <c r="H97" s="288" t="str">
        <f ca="1">IFERROR(__xludf.DUMMYFUNCTION("""COMPUTED_VALUE"""),"=7,8")</f>
        <v>=7,8</v>
      </c>
      <c r="I97" s="289" t="str">
        <f ca="1">IFERROR(__xludf.DUMMYFUNCTION("""COMPUTED_VALUE"""),"=0,5")</f>
        <v>=0,5</v>
      </c>
      <c r="J97" s="290" t="str">
        <f ca="1">IFERROR(__xludf.DUMMYFUNCTION("""COMPUTED_VALUE"""),"=53")</f>
        <v>=53</v>
      </c>
      <c r="K97" s="288" t="str">
        <f ca="1">IFERROR(__xludf.DUMMYFUNCTION("""COMPUTED_VALUE"""),"=2,75")</f>
        <v>=2,75</v>
      </c>
      <c r="L97" s="291" t="str">
        <f ca="1">IFERROR(__xludf.DUMMYFUNCTION("""COMPUTED_VALUE"""),"=0,656")</f>
        <v>=0,656</v>
      </c>
      <c r="M97" s="291" t="str">
        <f ca="1">IFERROR(__xludf.DUMMYFUNCTION("""COMPUTED_VALUE"""),"=0,625")</f>
        <v>=0,625</v>
      </c>
      <c r="N97" s="292" t="str">
        <f ca="1">IFERROR(__xludf.DUMMYFUNCTION("""COMPUTED_VALUE"""),"=2,215%")</f>
        <v>=2,215%</v>
      </c>
      <c r="O97" s="287" t="str">
        <f ca="1">IFERROR(__xludf.DUMMYFUNCTION("""COMPUTED_VALUE"""),"=36")</f>
        <v>=36</v>
      </c>
      <c r="P97" s="287" t="str">
        <f ca="1">IFERROR(__xludf.DUMMYFUNCTION("""COMPUTED_VALUE"""),"=5,5")</f>
        <v>=5,5</v>
      </c>
      <c r="Q97" s="288" t="str">
        <f ca="1">IFERROR(__xludf.DUMMYFUNCTION("""COMPUTED_VALUE"""),"=32")</f>
        <v>=32</v>
      </c>
      <c r="R97" s="289" t="str">
        <f ca="1">IFERROR(__xludf.DUMMYFUNCTION("""COMPUTED_VALUE"""),"=2,05")</f>
        <v>=2,05</v>
      </c>
      <c r="S97" s="287" t="str">
        <f ca="1">IFERROR(__xludf.DUMMYFUNCTION("""COMPUTED_VALUE"""),"=335")</f>
        <v>=335</v>
      </c>
      <c r="T97" s="628" t="str">
        <f ca="1">IFERROR(__xludf.DUMMYFUNCTION("""COMPUTED_VALUE"""),"=125")</f>
        <v>=125</v>
      </c>
      <c r="U97" s="298" t="str">
        <f ca="1">IFERROR(__xludf.DUMMYFUNCTION("""COMPUTED_VALUE"""),"=(25 * P_Q + 75 + Self_AP)*MOD_Magic")</f>
        <v>=(25 * P_Q + 75 + Self_AP)*MOD_Magic</v>
      </c>
      <c r="V97" s="299" t="str">
        <f ca="1">IFERROR(__xludf.DUMMYFUNCTION("""COMPUTED_VALUE"""),"=0")</f>
        <v>=0</v>
      </c>
      <c r="W97" s="299" t="str">
        <f ca="1">IFERROR(__xludf.DUMMYFUNCTION("""COMPUTED_VALUE"""),"=0")</f>
        <v>=0</v>
      </c>
      <c r="X97" s="299" t="str">
        <f ca="1">IFERROR(__xludf.DUMMYFUNCTION("""COMPUTED_VALUE"""),"=(75 * P_R + 25 + 0,6 * Self_AP + IF(Steroid_R; 1,5; 1) * (10 * P_R + 10 + 0,1 * Self_AP) * 4) * MOD_Magic")</f>
        <v>=(75 * P_R + 25 + 0,6 * Self_AP + IF(Steroid_R; 1,5; 1) * (10 * P_R + 10 + 0,1 * Self_AP) * 4) * MOD_Magic</v>
      </c>
      <c r="Y97" s="300" t="str">
        <f ca="1">IFERROR(__xludf.DUMMYFUNCTION("""COMPUTED_VALUE"""),"=IF(Steroid_W; 1,5; 1) * (10 + 0,1 * Self_AR)")</f>
        <v>=IF(Steroid_W; 1,5; 1) * (10 + 0,1 * Self_AR)</v>
      </c>
      <c r="Z97" s="281" t="str">
        <f ca="1">IFERROR(__xludf.DUMMYFUNCTION("""COMPUTED_VALUE"""),"=18,5-2,5*P_Q")</f>
        <v>=18,5-2,5*P_Q</v>
      </c>
      <c r="AA97" s="282" t="str">
        <f ca="1">IFERROR(__xludf.DUMMYFUNCTION("""COMPUTED_VALUE"""),"=7")</f>
        <v>=7</v>
      </c>
      <c r="AB97" s="282" t="str">
        <f ca="1">IFERROR(__xludf.DUMMYFUNCTION("""COMPUTED_VALUE"""),"=12")</f>
        <v>=12</v>
      </c>
      <c r="AC97" s="282" t="str">
        <f ca="1">IFERROR(__xludf.DUMMYFUNCTION("""COMPUTED_VALUE"""),"=90")</f>
        <v>=90</v>
      </c>
      <c r="AD97" s="283" t="str">
        <f ca="1">IFERROR(__xludf.DUMMYFUNCTION("""COMPUTED_VALUE"""),"=1")</f>
        <v>=1</v>
      </c>
      <c r="AE97" s="281" t="b">
        <f ca="1">IFERROR(__xludf.DUMMYFUNCTION("""COMPUTED_VALUE"""),TRUE)</f>
        <v>1</v>
      </c>
      <c r="AF97" s="282" t="str">
        <f ca="1">IFERROR(__xludf.DUMMYFUNCTION("""COMPUTED_VALUE"""),"=Image(""https://ddragon.leagueoflegends.com/cdn/11.19.1/img/champion/Rammus.png"")")</f>
        <v>=Image("https://ddragon.leagueoflegends.com/cdn/11.19.1/img/champion/Rammus.png")</v>
      </c>
      <c r="AG97" s="282" t="str">
        <f ca="1">IFERROR(__xludf.DUMMYFUNCTION("""COMPUTED_VALUE"""),"=IF(OR(REGEXMATCH(FORMULATEXT(U97);""HMOD"");NOT(P_Q&gt;0));0;U97)+IF(OR(REGEXMATCH(FORMULATEXT(V97);""HMOD"");NOT(P_W&gt;0));0;V97)+IF(OR(REGEXMATCH(FORMULATEXT(W97);""HMOD"");NOT(P_E&gt;0));0;W97)+IF(OR(REGEXMATCH(FORMULATEXT(X97);""HMOD"");NOT(P_R&gt;0));0;X97)+IF"&amp;"(REGEXMATCH(FORMULATEXT(Y97);""HMOD"");0;Y97)+Self_Proc_Item+Self_Proc_Summ+Self_Proc_Rune+3*Self_DPS")</f>
        <v>=IF(OR(REGEXMATCH(FORMULATEXT(U97);"HMOD");NOT(P_Q&gt;0));0;U97)+IF(OR(REGEXMATCH(FORMULATEXT(V97);"HMOD");NOT(P_W&gt;0));0;V97)+IF(OR(REGEXMATCH(FORMULATEXT(W97);"HMOD");NOT(P_E&gt;0));0;W97)+IF(OR(REGEXMATCH(FORMULATEXT(X97);"HMOD");NOT(P_R&gt;0));0;X97)+IF(REGEXMATCH(FORMULATEXT(Y97);"HMOD");0;Y97)+Self_Proc_Item+Self_Proc_Summ+Self_Proc_Rune+3*Self_DPS</v>
      </c>
      <c r="AH97" s="282" t="str">
        <f ca="1">IFERROR(__xludf.DUMMYFUNCTION("""COMPUTED_VALUE"""),"=0")</f>
        <v>=0</v>
      </c>
      <c r="AI97" s="282" t="b">
        <f ca="1">IFERROR(__xludf.DUMMYFUNCTION("""COMPUTED_VALUE"""),FALSE)</f>
        <v>0</v>
      </c>
      <c r="AJ97" s="283" t="b">
        <f ca="1">IFERROR(__xludf.DUMMYFUNCTION("""COMPUTED_VALUE"""),FALSE)</f>
        <v>0</v>
      </c>
    </row>
    <row r="98" spans="1:36">
      <c r="A98" s="267" t="str">
        <f ca="1">IFERROR(__xludf.DUMMYFUNCTION("""COMPUTED_VALUE"""),"Rek'Sai")</f>
        <v>Rek'Sai</v>
      </c>
      <c r="B98" s="287" t="str">
        <f ca="1">IFERROR(__xludf.DUMMYFUNCTION("""COMPUTED_VALUE"""),"=640")</f>
        <v>=640</v>
      </c>
      <c r="C98" s="287" t="str">
        <f ca="1">IFERROR(__xludf.DUMMYFUNCTION("""COMPUTED_VALUE"""),"=99")</f>
        <v>=99</v>
      </c>
      <c r="D98" s="288" t="str">
        <f ca="1">IFERROR(__xludf.DUMMYFUNCTION("""COMPUTED_VALUE"""),"=7,5")</f>
        <v>=7,5</v>
      </c>
      <c r="E98" s="289" t="str">
        <f ca="1">IFERROR(__xludf.DUMMYFUNCTION("""COMPUTED_VALUE"""),"=0,65")</f>
        <v>=0,65</v>
      </c>
      <c r="F98" s="288" t="str">
        <f ca="1">IFERROR(__xludf.DUMMYFUNCTION("""COMPUTED_VALUE"""),"=100")</f>
        <v>=100</v>
      </c>
      <c r="G98" s="288" t="str">
        <f ca="1">IFERROR(__xludf.DUMMYFUNCTION("""COMPUTED_VALUE"""),"=0")</f>
        <v>=0</v>
      </c>
      <c r="H98" s="288" t="str">
        <f ca="1">IFERROR(__xludf.DUMMYFUNCTION("""COMPUTED_VALUE"""),"=0")</f>
        <v>=0</v>
      </c>
      <c r="I98" s="289" t="str">
        <f ca="1">IFERROR(__xludf.DUMMYFUNCTION("""COMPUTED_VALUE"""),"=0")</f>
        <v>=0</v>
      </c>
      <c r="J98" s="290" t="str">
        <f ca="1">IFERROR(__xludf.DUMMYFUNCTION("""COMPUTED_VALUE"""),"=61")</f>
        <v>=61</v>
      </c>
      <c r="K98" s="288" t="str">
        <f ca="1">IFERROR(__xludf.DUMMYFUNCTION("""COMPUTED_VALUE"""),"=3")</f>
        <v>=3</v>
      </c>
      <c r="L98" s="291" t="str">
        <f ca="1">IFERROR(__xludf.DUMMYFUNCTION("""COMPUTED_VALUE"""),"=0,667")</f>
        <v>=0,667</v>
      </c>
      <c r="M98" s="291" t="str">
        <f ca="1">IFERROR(__xludf.DUMMYFUNCTION("""COMPUTED_VALUE"""),"=0,667")</f>
        <v>=0,667</v>
      </c>
      <c r="N98" s="292" t="str">
        <f ca="1">IFERROR(__xludf.DUMMYFUNCTION("""COMPUTED_VALUE"""),"=2%")</f>
        <v>=2%</v>
      </c>
      <c r="O98" s="287" t="str">
        <f ca="1">IFERROR(__xludf.DUMMYFUNCTION("""COMPUTED_VALUE"""),"=36")</f>
        <v>=36</v>
      </c>
      <c r="P98" s="287" t="str">
        <f ca="1">IFERROR(__xludf.DUMMYFUNCTION("""COMPUTED_VALUE"""),"=4,95")</f>
        <v>=4,95</v>
      </c>
      <c r="Q98" s="288" t="str">
        <f ca="1">IFERROR(__xludf.DUMMYFUNCTION("""COMPUTED_VALUE"""),"=32")</f>
        <v>=32</v>
      </c>
      <c r="R98" s="289" t="str">
        <f ca="1">IFERROR(__xludf.DUMMYFUNCTION("""COMPUTED_VALUE"""),"=2,05")</f>
        <v>=2,05</v>
      </c>
      <c r="S98" s="287" t="str">
        <f ca="1">IFERROR(__xludf.DUMMYFUNCTION("""COMPUTED_VALUE"""),"=335")</f>
        <v>=335</v>
      </c>
      <c r="T98" s="628" t="str">
        <f ca="1">IFERROR(__xludf.DUMMYFUNCTION("""COMPUTED_VALUE"""),"=175")</f>
        <v>=175</v>
      </c>
      <c r="U98" s="295" t="str">
        <f ca="1">IFERROR(__xludf.DUMMYFUNCTION("""COMPUTED_VALUE"""),"=IF(Steroid_Form;(33*P_Q+25+0,5*Self_BoAD+0,7*Self_AP)*MOD_Phys;(48+18*P_Q+1,5*Self_BoAD)*MOD_Phys)")</f>
        <v>=IF(Steroid_Form;(33*P_Q+25+0,5*Self_BoAD+0,7*Self_AP)*MOD_Phys;(48+18*P_Q+1,5*Self_BoAD)*MOD_Phys)</v>
      </c>
      <c r="V98" s="296" t="str">
        <f ca="1">IFERROR(__xludf.DUMMYFUNCTION("""COMPUTED_VALUE"""),"=IF(Steroid_Form;(0,8*Self_BoAD+40+15*P_W)*MOD_Phys;0)")</f>
        <v>=IF(Steroid_Form;(0,8*Self_BoAD+40+15*P_W)*MOD_Phys;0)</v>
      </c>
      <c r="W98" s="296" t="str">
        <f ca="1">IFERROR(__xludf.DUMMYFUNCTION("""COMPUTED_VALUE"""),"=IF(Steroid_Form;0;IF(Steroid_E;(100+10*P_E+1,7*Self_BoAD)*Calc!O10;(50+5*P_E+0,85*Self_BoAD)*MOD_Phys))")</f>
        <v>=IF(Steroid_Form;0;IF(Steroid_E;(100+10*P_E+1,7*Self_BoAD)*Calc!O10;(50+5*P_E+0,85*Self_BoAD)*MOD_Phys))</v>
      </c>
      <c r="X98" s="296" t="str">
        <f ca="1">IFERROR(__xludf.DUMMYFUNCTION("""COMPUTED_VALUE"""),"=(150*P_R-50+1,75*Self_BoAD+(0,15+0,05*P_R)*E_MisHPV)*MOD_Phys")</f>
        <v>=(150*P_R-50+1,75*Self_BoAD+(0,15+0,05*P_R)*E_MisHPV)*MOD_Phys</v>
      </c>
      <c r="Y98" s="297" t="str">
        <f ca="1">IFERROR(__xludf.DUMMYFUNCTION("""COMPUTED_VALUE"""),"=0")</f>
        <v>=0</v>
      </c>
      <c r="Z98" s="281" t="str">
        <f ca="1">IFERROR(__xludf.DUMMYFUNCTION("""COMPUTED_VALUE"""),"=if(Steroid_Form; 12,5; 4,5) - 0,5 * P_Q")</f>
        <v>=if(Steroid_Form; 12,5; 4,5) - 0,5 * P_Q</v>
      </c>
      <c r="AA98" s="282" t="str">
        <f ca="1">IFERROR(__xludf.DUMMYFUNCTION("""COMPUTED_VALUE"""),"=if(Steroid_Form;1;4)")</f>
        <v>=if(Steroid_Form;1;4)</v>
      </c>
      <c r="AB98" s="282" t="str">
        <f ca="1">IFERROR(__xludf.DUMMYFUNCTION("""COMPUTED_VALUE"""),"=if(Steroid_Form;28-2*P_E;12)")</f>
        <v>=if(Steroid_Form;28-2*P_E;12)</v>
      </c>
      <c r="AC98" s="282" t="str">
        <f ca="1">IFERROR(__xludf.DUMMYFUNCTION("""COMPUTED_VALUE"""),"=110 - 10 * P_R")</f>
        <v>=110 - 10 * P_R</v>
      </c>
      <c r="AD98" s="283" t="str">
        <f ca="1">IFERROR(__xludf.DUMMYFUNCTION("""COMPUTED_VALUE"""),"=1")</f>
        <v>=1</v>
      </c>
      <c r="AE98" s="281" t="b">
        <f ca="1">IFERROR(__xludf.DUMMYFUNCTION("""COMPUTED_VALUE"""),TRUE)</f>
        <v>1</v>
      </c>
      <c r="AF98" s="282" t="str">
        <f ca="1">IFERROR(__xludf.DUMMYFUNCTION("""COMPUTED_VALUE"""),"=Image(""https://ddragon.leagueoflegends.com/cdn/11.19.1/img/champion/RekSai.png"")")</f>
        <v>=Image("https://ddragon.leagueoflegends.com/cdn/11.19.1/img/champion/RekSai.png")</v>
      </c>
      <c r="AG98" s="282" t="str">
        <f ca="1">IFERROR(__xludf.DUMMYFUNCTION("""COMPUTED_VALUE"""),"=IF(OR(REGEXMATCH(FORMULATEXT(U98);""HMOD"");NOT(P_Q&gt;0));0;U98)+IF(OR(REGEXMATCH(FORMULATEXT(V98);""HMOD"");NOT(P_W&gt;0));0;V98)+IF(OR(REGEXMATCH(FORMULATEXT(W98);""HMOD"");NOT(P_E&gt;0));0;W98)+IF(OR(REGEXMATCH(FORMULATEXT(X98);""HMOD"");NOT(P_R&gt;0));0;X98)+IF"&amp;"(REGEXMATCH(FORMULATEXT(Y98);""HMOD"");0;Y98)+Self_Proc_Item+Self_Proc_Summ+Self_Proc_Rune+3*Self_DPS")</f>
        <v>=IF(OR(REGEXMATCH(FORMULATEXT(U98);"HMOD");NOT(P_Q&gt;0));0;U98)+IF(OR(REGEXMATCH(FORMULATEXT(V98);"HMOD");NOT(P_W&gt;0));0;V98)+IF(OR(REGEXMATCH(FORMULATEXT(W98);"HMOD");NOT(P_E&gt;0));0;W98)+IF(OR(REGEXMATCH(FORMULATEXT(X98);"HMOD");NOT(P_R&gt;0));0;X98)+IF(REGEXMATCH(FORMULATEXT(Y98);"HMOD");0;Y98)+Self_Proc_Item+Self_Proc_Summ+Self_Proc_Rune+3*Self_DPS</v>
      </c>
      <c r="AH98" s="282" t="str">
        <f ca="1">IFERROR(__xludf.DUMMYFUNCTION("""COMPUTED_VALUE"""),"=0")</f>
        <v>=0</v>
      </c>
      <c r="AI98" s="282" t="b">
        <f ca="1">IFERROR(__xludf.DUMMYFUNCTION("""COMPUTED_VALUE"""),FALSE)</f>
        <v>0</v>
      </c>
      <c r="AJ98" s="283" t="b">
        <f ca="1">IFERROR(__xludf.DUMMYFUNCTION("""COMPUTED_VALUE"""),TRUE)</f>
        <v>1</v>
      </c>
    </row>
    <row r="99" spans="1:36">
      <c r="A99" s="267" t="str">
        <f ca="1">IFERROR(__xludf.DUMMYFUNCTION("""COMPUTED_VALUE"""),"Rell")</f>
        <v>Rell</v>
      </c>
      <c r="B99" s="287" t="str">
        <f ca="1">IFERROR(__xludf.DUMMYFUNCTION("""COMPUTED_VALUE"""),"=610")</f>
        <v>=610</v>
      </c>
      <c r="C99" s="287" t="str">
        <f ca="1">IFERROR(__xludf.DUMMYFUNCTION("""COMPUTED_VALUE"""),"=104")</f>
        <v>=104</v>
      </c>
      <c r="D99" s="288" t="str">
        <f ca="1">IFERROR(__xludf.DUMMYFUNCTION("""COMPUTED_VALUE"""),"=8,5")</f>
        <v>=8,5</v>
      </c>
      <c r="E99" s="289" t="str">
        <f ca="1">IFERROR(__xludf.DUMMYFUNCTION("""COMPUTED_VALUE"""),"=0,85")</f>
        <v>=0,85</v>
      </c>
      <c r="F99" s="288" t="str">
        <f ca="1">IFERROR(__xludf.DUMMYFUNCTION("""COMPUTED_VALUE"""),"=300")</f>
        <v>=300</v>
      </c>
      <c r="G99" s="288" t="str">
        <f ca="1">IFERROR(__xludf.DUMMYFUNCTION("""COMPUTED_VALUE"""),"=45")</f>
        <v>=45</v>
      </c>
      <c r="H99" s="288" t="str">
        <f ca="1">IFERROR(__xludf.DUMMYFUNCTION("""COMPUTED_VALUE"""),"=7")</f>
        <v>=7</v>
      </c>
      <c r="I99" s="289" t="str">
        <f ca="1">IFERROR(__xludf.DUMMYFUNCTION("""COMPUTED_VALUE"""),"=0,55")</f>
        <v>=0,55</v>
      </c>
      <c r="J99" s="290" t="str">
        <f ca="1">IFERROR(__xludf.DUMMYFUNCTION("""COMPUTED_VALUE"""),"=55")</f>
        <v>=55</v>
      </c>
      <c r="K99" s="288" t="str">
        <f ca="1">IFERROR(__xludf.DUMMYFUNCTION("""COMPUTED_VALUE"""),"=3")</f>
        <v>=3</v>
      </c>
      <c r="L99" s="291" t="str">
        <f ca="1">IFERROR(__xludf.DUMMYFUNCTION("""COMPUTED_VALUE"""),"=0,625")</f>
        <v>=0,625</v>
      </c>
      <c r="M99" s="291" t="str">
        <f ca="1">IFERROR(__xludf.DUMMYFUNCTION("""COMPUTED_VALUE"""),"=0,625")</f>
        <v>=0,625</v>
      </c>
      <c r="N99" s="292" t="str">
        <f ca="1">IFERROR(__xludf.DUMMYFUNCTION("""COMPUTED_VALUE"""),"=1,5%")</f>
        <v>=1,5%</v>
      </c>
      <c r="O99" s="287" t="str">
        <f ca="1">IFERROR(__xludf.DUMMYFUNCTION("""COMPUTED_VALUE"""),"=39")</f>
        <v>=39</v>
      </c>
      <c r="P99" s="287" t="str">
        <f ca="1">IFERROR(__xludf.DUMMYFUNCTION("""COMPUTED_VALUE"""),"=4,2")</f>
        <v>=4,2</v>
      </c>
      <c r="Q99" s="288" t="str">
        <f ca="1">IFERROR(__xludf.DUMMYFUNCTION("""COMPUTED_VALUE"""),"=32")</f>
        <v>=32</v>
      </c>
      <c r="R99" s="289" t="str">
        <f ca="1">IFERROR(__xludf.DUMMYFUNCTION("""COMPUTED_VALUE"""),"=2,05")</f>
        <v>=2,05</v>
      </c>
      <c r="S99" s="287" t="str">
        <f ca="1">IFERROR(__xludf.DUMMYFUNCTION("""COMPUTED_VALUE"""),"=330")</f>
        <v>=330</v>
      </c>
      <c r="T99" s="628" t="str">
        <f ca="1">IFERROR(__xludf.DUMMYFUNCTION("""COMPUTED_VALUE"""),"=175 + IF(Steroid_Form; 75; 0)")</f>
        <v>=175 + IF(Steroid_Form; 75; 0)</v>
      </c>
      <c r="U99" s="298" t="str">
        <f ca="1">IFERROR(__xludf.DUMMYFUNCTION("""COMPUTED_VALUE"""),"=(20 + 40 * P_Q + 0,6 * Self_AP) * MOD_Magic")</f>
        <v>=(20 + 40 * P_Q + 0,6 * Self_AP) * MOD_Magic</v>
      </c>
      <c r="V99" s="299" t="str">
        <f ca="1">IFERROR(__xludf.DUMMYFUNCTION("""COMPUTED_VALUE"""),"=(30 + 30 * P_W + 0,6 * Self_AP) * MOD_Magic")</f>
        <v>=(30 + 30 * P_W + 0,6 * Self_AP) * MOD_Magic</v>
      </c>
      <c r="W99" s="299" t="str">
        <f ca="1">IFERROR(__xludf.DUMMYFUNCTION("""COMPUTED_VALUE"""),"=(15 + 10 * P_E + 0,5 * Self_AP + 0,03 * E_MHP)*MOD_Magic")</f>
        <v>=(15 + 10 * P_E + 0,5 * Self_AP + 0,03 * E_MHP)*MOD_Magic</v>
      </c>
      <c r="X99" s="299" t="str">
        <f ca="1">IFERROR(__xludf.DUMMYFUNCTION("""COMPUTED_VALUE"""),"=(40+80*P_R+1,1*Self_AP)*MOD_Magic")</f>
        <v>=(40+80*P_R+1,1*Self_AP)*MOD_Magic</v>
      </c>
      <c r="Y99" s="300" t="str">
        <f ca="1">IFERROR(__xludf.DUMMYFUNCTION("""COMPUTED_VALUE"""),"=0")</f>
        <v>=0</v>
      </c>
      <c r="Z99" s="281" t="str">
        <f ca="1">IFERROR(__xludf.DUMMYFUNCTION("""COMPUTED_VALUE"""),"=11,5-0,5*P_Q")</f>
        <v>=11,5-0,5*P_Q</v>
      </c>
      <c r="AA99" s="282" t="str">
        <f ca="1">IFERROR(__xludf.DUMMYFUNCTION("""COMPUTED_VALUE"""),"=11")</f>
        <v>=11</v>
      </c>
      <c r="AB99" s="282" t="str">
        <f ca="1">IFERROR(__xludf.DUMMYFUNCTION("""COMPUTED_VALUE"""),"=13")</f>
        <v>=13</v>
      </c>
      <c r="AC99" s="282" t="str">
        <f ca="1">IFERROR(__xludf.DUMMYFUNCTION("""COMPUTED_VALUE"""),"=140 - 20 * P_R")</f>
        <v>=140 - 20 * P_R</v>
      </c>
      <c r="AD99" s="283" t="str">
        <f ca="1">IFERROR(__xludf.DUMMYFUNCTION("""COMPUTED_VALUE"""),"=1")</f>
        <v>=1</v>
      </c>
      <c r="AE99" s="281" t="b">
        <f ca="1">IFERROR(__xludf.DUMMYFUNCTION("""COMPUTED_VALUE"""),TRUE)</f>
        <v>1</v>
      </c>
      <c r="AF99" s="282" t="str">
        <f ca="1">IFERROR(__xludf.DUMMYFUNCTION("""COMPUTED_VALUE"""),"=Image(""https://ddragon.leagueoflegends.com/cdn/11.19.1/img/champion/Rell.png"")")</f>
        <v>=Image("https://ddragon.leagueoflegends.com/cdn/11.19.1/img/champion/Rell.png")</v>
      </c>
      <c r="AG99" s="282" t="str">
        <f ca="1">IFERROR(__xludf.DUMMYFUNCTION("""COMPUTED_VALUE"""),"=IF(OR(REGEXMATCH(FORMULATEXT(U99);""HMOD"");NOT(P_Q&gt;0));0;U99)+IF(OR(REGEXMATCH(FORMULATEXT(V99);""HMOD"");NOT(P_W&gt;0));0;V99)+IF(OR(REGEXMATCH(FORMULATEXT(W99);""HMOD"");NOT(P_E&gt;0));0;W99)+IF(OR(REGEXMATCH(FORMULATEXT(X99);""HMOD"");NOT(P_R&gt;0));0;X99)+IF"&amp;"(REGEXMATCH(FORMULATEXT(Y99);""HMOD"");0;Y99)+Self_Proc_Item+Self_Proc_Summ+Self_Proc_Rune+3*Self_DPS")</f>
        <v>=IF(OR(REGEXMATCH(FORMULATEXT(U99);"HMOD");NOT(P_Q&gt;0));0;U99)+IF(OR(REGEXMATCH(FORMULATEXT(V99);"HMOD");NOT(P_W&gt;0));0;V99)+IF(OR(REGEXMATCH(FORMULATEXT(W99);"HMOD");NOT(P_E&gt;0));0;W99)+IF(OR(REGEXMATCH(FORMULATEXT(X99);"HMOD");NOT(P_R&gt;0));0;X99)+IF(REGEXMATCH(FORMULATEXT(Y99);"HMOD");0;Y99)+Self_Proc_Item+Self_Proc_Summ+Self_Proc_Rune+3*Self_DPS</v>
      </c>
      <c r="AH99" s="282" t="str">
        <f ca="1">IFERROR(__xludf.DUMMYFUNCTION("""COMPUTED_VALUE"""),"=0")</f>
        <v>=0</v>
      </c>
      <c r="AI99" s="282" t="b">
        <f ca="1">IFERROR(__xludf.DUMMYFUNCTION("""COMPUTED_VALUE"""),FALSE)</f>
        <v>0</v>
      </c>
      <c r="AJ99" s="283" t="b">
        <f ca="1">IFERROR(__xludf.DUMMYFUNCTION("""COMPUTED_VALUE"""),FALSE)</f>
        <v>0</v>
      </c>
    </row>
    <row r="100" spans="1:36">
      <c r="A100" s="267" t="str">
        <f ca="1">IFERROR(__xludf.DUMMYFUNCTION("""COMPUTED_VALUE"""),"Renekton")</f>
        <v>Renekton</v>
      </c>
      <c r="B100" s="287" t="str">
        <f ca="1">IFERROR(__xludf.DUMMYFUNCTION("""COMPUTED_VALUE"""),"=660")</f>
        <v>=660</v>
      </c>
      <c r="C100" s="287" t="str">
        <f ca="1">IFERROR(__xludf.DUMMYFUNCTION("""COMPUTED_VALUE"""),"=111")</f>
        <v>=111</v>
      </c>
      <c r="D100" s="288" t="str">
        <f ca="1">IFERROR(__xludf.DUMMYFUNCTION("""COMPUTED_VALUE"""),"=8")</f>
        <v>=8</v>
      </c>
      <c r="E100" s="289" t="str">
        <f ca="1">IFERROR(__xludf.DUMMYFUNCTION("""COMPUTED_VALUE"""),"=0,75")</f>
        <v>=0,75</v>
      </c>
      <c r="F100" s="288" t="str">
        <f ca="1">IFERROR(__xludf.DUMMYFUNCTION("""COMPUTED_VALUE"""),"=100")</f>
        <v>=100</v>
      </c>
      <c r="G100" s="288" t="str">
        <f ca="1">IFERROR(__xludf.DUMMYFUNCTION("""COMPUTED_VALUE"""),"=0")</f>
        <v>=0</v>
      </c>
      <c r="H100" s="288" t="str">
        <f ca="1">IFERROR(__xludf.DUMMYFUNCTION("""COMPUTED_VALUE"""),"=0")</f>
        <v>=0</v>
      </c>
      <c r="I100" s="289" t="str">
        <f ca="1">IFERROR(__xludf.DUMMYFUNCTION("""COMPUTED_VALUE"""),"=0")</f>
        <v>=0</v>
      </c>
      <c r="J100" s="290" t="str">
        <f ca="1">IFERROR(__xludf.DUMMYFUNCTION("""COMPUTED_VALUE"""),"=66")</f>
        <v>=66</v>
      </c>
      <c r="K100" s="288" t="str">
        <f ca="1">IFERROR(__xludf.DUMMYFUNCTION("""COMPUTED_VALUE"""),"=4,15")</f>
        <v>=4,15</v>
      </c>
      <c r="L100" s="291" t="str">
        <f ca="1">IFERROR(__xludf.DUMMYFUNCTION("""COMPUTED_VALUE"""),"=0,665")</f>
        <v>=0,665</v>
      </c>
      <c r="M100" s="291" t="str">
        <f ca="1">IFERROR(__xludf.DUMMYFUNCTION("""COMPUTED_VALUE"""),"=0,665")</f>
        <v>=0,665</v>
      </c>
      <c r="N100" s="292" t="str">
        <f ca="1">IFERROR(__xludf.DUMMYFUNCTION("""COMPUTED_VALUE"""),"=2,75%")</f>
        <v>=2,75%</v>
      </c>
      <c r="O100" s="287" t="str">
        <f ca="1">IFERROR(__xludf.DUMMYFUNCTION("""COMPUTED_VALUE"""),"=35")</f>
        <v>=35</v>
      </c>
      <c r="P100" s="287" t="str">
        <f ca="1">IFERROR(__xludf.DUMMYFUNCTION("""COMPUTED_VALUE"""),"=5,2")</f>
        <v>=5,2</v>
      </c>
      <c r="Q100" s="288" t="str">
        <f ca="1">IFERROR(__xludf.DUMMYFUNCTION("""COMPUTED_VALUE"""),"=32")</f>
        <v>=32</v>
      </c>
      <c r="R100" s="289" t="str">
        <f ca="1">IFERROR(__xludf.DUMMYFUNCTION("""COMPUTED_VALUE"""),"=2,05")</f>
        <v>=2,05</v>
      </c>
      <c r="S100" s="287" t="str">
        <f ca="1">IFERROR(__xludf.DUMMYFUNCTION("""COMPUTED_VALUE"""),"=345")</f>
        <v>=345</v>
      </c>
      <c r="T100" s="628" t="str">
        <f ca="1">IFERROR(__xludf.DUMMYFUNCTION("""COMPUTED_VALUE"""),"=125")</f>
        <v>=125</v>
      </c>
      <c r="U100" s="295" t="str">
        <f ca="1">IFERROR(__xludf.DUMMYFUNCTION("""COMPUTED_VALUE"""),"=IF(Steroid_Q;1,4 * Self_BoAD + 45 * P_Q + 45; Self_BoAD + 30 * P_Q + 30)*MOD_Phys")</f>
        <v>=IF(Steroid_Q;1,4 * Self_BoAD + 45 * P_Q + 45; Self_BoAD + 30 * P_Q + 30)*MOD_Phys</v>
      </c>
      <c r="V100" s="296" t="str">
        <f ca="1">IFERROR(__xludf.DUMMYFUNCTION("""COMPUTED_VALUE"""),"=IF(Steroid_W;(2,25*Self_AD+45*P_W-30)*MOD_Phys+3*(OH_Phys+OH_Magic);(1,5*Self_AD+30*P_W-20)*MOD_Phys+2*(OH_Phys+OH_Magic))")</f>
        <v>=IF(Steroid_W;(2,25*Self_AD+45*P_W-30)*MOD_Phys+3*(OH_Phys+OH_Magic);(1,5*Self_AD+30*P_W-20)*MOD_Phys+2*(OH_Phys+OH_Magic))</v>
      </c>
      <c r="W100" s="296" t="str">
        <f ca="1">IFERROR(__xludf.DUMMYFUNCTION("""COMPUTED_VALUE"""),"=IF(Steroid_E;(20+85*P_E+2,25*Self_BoAD)*MOD_Phys;(20+60*P_E+1,8*Self_BoAD)*MOD_Phys)")</f>
        <v>=IF(Steroid_E;(20+85*P_E+2,25*Self_BoAD)*MOD_Phys;(20+60*P_E+1,8*Self_BoAD)*MOD_Phys)</v>
      </c>
      <c r="X100" s="296" t="str">
        <f ca="1">IFERROR(__xludf.DUMMYFUNCTION("""COMPUTED_VALUE"""),"=(900 * P_R + 3 * Self_AP + 3 * Self_BoAD) * MOD_Magic")</f>
        <v>=(900 * P_R + 3 * Self_AP + 3 * Self_BoAD) * MOD_Magic</v>
      </c>
      <c r="Y100" s="297" t="str">
        <f ca="1">IFERROR(__xludf.DUMMYFUNCTION("""COMPUTED_VALUE"""),"=0")</f>
        <v>=0</v>
      </c>
      <c r="Z100" s="281" t="str">
        <f ca="1">IFERROR(__xludf.DUMMYFUNCTION("""COMPUTED_VALUE"""),"=7")</f>
        <v>=7</v>
      </c>
      <c r="AA100" s="282" t="str">
        <f ca="1">IFERROR(__xludf.DUMMYFUNCTION("""COMPUTED_VALUE"""),"=18 - 2 * P_W")</f>
        <v>=18 - 2 * P_W</v>
      </c>
      <c r="AB100" s="282" t="str">
        <f ca="1">IFERROR(__xludf.DUMMYFUNCTION("""COMPUTED_VALUE"""),"=17 - P_E")</f>
        <v>=17 - P_E</v>
      </c>
      <c r="AC100" s="282" t="str">
        <f ca="1">IFERROR(__xludf.DUMMYFUNCTION("""COMPUTED_VALUE"""),"=140 - 20 * P_R")</f>
        <v>=140 - 20 * P_R</v>
      </c>
      <c r="AD100" s="283" t="str">
        <f ca="1">IFERROR(__xludf.DUMMYFUNCTION("""COMPUTED_VALUE"""),"=1")</f>
        <v>=1</v>
      </c>
      <c r="AE100" s="281" t="b">
        <f ca="1">IFERROR(__xludf.DUMMYFUNCTION("""COMPUTED_VALUE"""),TRUE)</f>
        <v>1</v>
      </c>
      <c r="AF100" s="282" t="str">
        <f ca="1">IFERROR(__xludf.DUMMYFUNCTION("""COMPUTED_VALUE"""),"=Image(""https://ddragon.leagueoflegends.com/cdn/11.19.1/img/champion/Renekton.png"")")</f>
        <v>=Image("https://ddragon.leagueoflegends.com/cdn/11.19.1/img/champion/Renekton.png")</v>
      </c>
      <c r="AG100" s="282" t="str">
        <f ca="1">IFERROR(__xludf.DUMMYFUNCTION("""COMPUTED_VALUE"""),"=IF(OR(REGEXMATCH(FORMULATEXT(U100);""HMOD"");NOT(P_Q&gt;0));0;U100)+IF(OR(REGEXMATCH(FORMULATEXT(V100);""HMOD"");NOT(P_W&gt;0));0;V100)+IF(OR(REGEXMATCH(FORMULATEXT(W100);""HMOD"");NOT(P_E&gt;0));0;W100)+IF(OR(REGEXMATCH(FORMULATEXT(X100);""HMOD"");NOT(P_R&gt;0));0;"&amp;"X100)+IF(REGEXMATCH(FORMULATEXT(Y100);""HMOD"");0;Y100)+Self_Proc_Item+Self_Proc_Summ+Self_Proc_Rune+3*Self_DPS")</f>
        <v>=IF(OR(REGEXMATCH(FORMULATEXT(U100);"HMOD");NOT(P_Q&gt;0));0;U100)+IF(OR(REGEXMATCH(FORMULATEXT(V100);"HMOD");NOT(P_W&gt;0));0;V100)+IF(OR(REGEXMATCH(FORMULATEXT(W100);"HMOD");NOT(P_E&gt;0));0;W100)+IF(OR(REGEXMATCH(FORMULATEXT(X100);"HMOD");NOT(P_R&gt;0));0;X100)+IF(REGEXMATCH(FORMULATEXT(Y100);"HMOD");0;Y100)+Self_Proc_Item+Self_Proc_Summ+Self_Proc_Rune+3*Self_DPS</v>
      </c>
      <c r="AH100" s="282" t="str">
        <f ca="1">IFERROR(__xludf.DUMMYFUNCTION("""COMPUTED_VALUE"""),"=0")</f>
        <v>=0</v>
      </c>
      <c r="AI100" s="282" t="b">
        <f ca="1">IFERROR(__xludf.DUMMYFUNCTION("""COMPUTED_VALUE"""),FALSE)</f>
        <v>0</v>
      </c>
      <c r="AJ100" s="283" t="b">
        <f ca="1">IFERROR(__xludf.DUMMYFUNCTION("""COMPUTED_VALUE"""),TRUE)</f>
        <v>1</v>
      </c>
    </row>
    <row r="101" spans="1:36">
      <c r="A101" s="267" t="str">
        <f ca="1">IFERROR(__xludf.DUMMYFUNCTION("""COMPUTED_VALUE"""),"Rengar")</f>
        <v>Rengar</v>
      </c>
      <c r="B101" s="287" t="str">
        <f ca="1">IFERROR(__xludf.DUMMYFUNCTION("""COMPUTED_VALUE"""),"=620")</f>
        <v>=620</v>
      </c>
      <c r="C101" s="287" t="str">
        <f ca="1">IFERROR(__xludf.DUMMYFUNCTION("""COMPUTED_VALUE"""),"=104")</f>
        <v>=104</v>
      </c>
      <c r="D101" s="288" t="str">
        <f ca="1">IFERROR(__xludf.DUMMYFUNCTION("""COMPUTED_VALUE"""),"=7")</f>
        <v>=7</v>
      </c>
      <c r="E101" s="289" t="str">
        <f ca="1">IFERROR(__xludf.DUMMYFUNCTION("""COMPUTED_VALUE"""),"=0,5")</f>
        <v>=0,5</v>
      </c>
      <c r="F101" s="288" t="str">
        <f ca="1">IFERROR(__xludf.DUMMYFUNCTION("""COMPUTED_VALUE"""),"=4")</f>
        <v>=4</v>
      </c>
      <c r="G101" s="288" t="str">
        <f ca="1">IFERROR(__xludf.DUMMYFUNCTION("""COMPUTED_VALUE"""),"=0")</f>
        <v>=0</v>
      </c>
      <c r="H101" s="288" t="str">
        <f ca="1">IFERROR(__xludf.DUMMYFUNCTION("""COMPUTED_VALUE"""),"=0")</f>
        <v>=0</v>
      </c>
      <c r="I101" s="289" t="str">
        <f ca="1">IFERROR(__xludf.DUMMYFUNCTION("""COMPUTED_VALUE"""),"=0")</f>
        <v>=0</v>
      </c>
      <c r="J101" s="290" t="str">
        <f ca="1">IFERROR(__xludf.DUMMYFUNCTION("""COMPUTED_VALUE"""),"=68")</f>
        <v>=68</v>
      </c>
      <c r="K101" s="288" t="str">
        <f ca="1">IFERROR(__xludf.DUMMYFUNCTION("""COMPUTED_VALUE"""),"=3")</f>
        <v>=3</v>
      </c>
      <c r="L101" s="291" t="str">
        <f ca="1">IFERROR(__xludf.DUMMYFUNCTION("""COMPUTED_VALUE"""),"=0,666")</f>
        <v>=0,666</v>
      </c>
      <c r="M101" s="291" t="str">
        <f ca="1">IFERROR(__xludf.DUMMYFUNCTION("""COMPUTED_VALUE"""),"=0,666")</f>
        <v>=0,666</v>
      </c>
      <c r="N101" s="292" t="str">
        <f ca="1">IFERROR(__xludf.DUMMYFUNCTION("""COMPUTED_VALUE"""),"=3%")</f>
        <v>=3%</v>
      </c>
      <c r="O101" s="287" t="str">
        <f ca="1">IFERROR(__xludf.DUMMYFUNCTION("""COMPUTED_VALUE"""),"=34")</f>
        <v>=34</v>
      </c>
      <c r="P101" s="287" t="str">
        <f ca="1">IFERROR(__xludf.DUMMYFUNCTION("""COMPUTED_VALUE"""),"=4,2")</f>
        <v>=4,2</v>
      </c>
      <c r="Q101" s="288" t="str">
        <f ca="1">IFERROR(__xludf.DUMMYFUNCTION("""COMPUTED_VALUE"""),"=32")</f>
        <v>=32</v>
      </c>
      <c r="R101" s="289" t="str">
        <f ca="1">IFERROR(__xludf.DUMMYFUNCTION("""COMPUTED_VALUE"""),"=2,05")</f>
        <v>=2,05</v>
      </c>
      <c r="S101" s="287" t="str">
        <f ca="1">IFERROR(__xludf.DUMMYFUNCTION("""COMPUTED_VALUE"""),"=345")</f>
        <v>=345</v>
      </c>
      <c r="T101" s="628" t="str">
        <f ca="1">IFERROR(__xludf.DUMMYFUNCTION("""COMPUTED_VALUE"""),"=125")</f>
        <v>=125</v>
      </c>
      <c r="U101" s="298" t="str">
        <f ca="1">IFERROR(__xludf.DUMMYFUNCTION("""COMPUTED_VALUE"""),"=IF(Steroid_Q;(1,4*Self_AD+15+15*Self_Level-IF(Self_Level&gt;9;5*(Self_Level-9);0))*MOD_Phys;(15+15*P_Q+(0,95+0,05*P_Q)*Self_AD)*MOD_Phys) * (1 + IF(IT_CDMG &gt; 0; 0,99; 0,66) * Self_Crit)")</f>
        <v>=IF(Steroid_Q;(1,4*Self_AD+15+15*Self_Level-IF(Self_Level&gt;9;5*(Self_Level-9);0))*MOD_Phys;(15+15*P_Q+(0,95+0,05*P_Q)*Self_AD)*MOD_Phys) * (1 + IF(IT_CDMG &gt; 0; 0,99; 0,66) * Self_Crit)</v>
      </c>
      <c r="V101" s="299" t="str">
        <f ca="1">IFERROR(__xludf.DUMMYFUNCTION("""COMPUTED_VALUE"""),"=IF(Steroid_W;(40+10*Self_Level+0,8*Self_AP)*MOD_Magic;(30*P_W+20+0,8*Self_AP)*MOD_Magic)")</f>
        <v>=IF(Steroid_W;(40+10*Self_Level+0,8*Self_AP)*MOD_Magic;(30*P_W+20+0,8*Self_AP)*MOD_Magic)</v>
      </c>
      <c r="W101" s="299" t="str">
        <f ca="1">IFERROR(__xludf.DUMMYFUNCTION("""COMPUTED_VALUE"""),"=IF(Steroid_E;(35+15*Self_Level+0,8*Self_BoAD)*MOD_Phys;(10+45*P_E+0,8*Self_BoAD)*MOD_Phys)")</f>
        <v>=IF(Steroid_E;(35+15*Self_Level+0,8*Self_BoAD)*MOD_Phys;(10+45*P_E+0,8*Self_BoAD)*MOD_Phys)</v>
      </c>
      <c r="X101" s="299" t="str">
        <f ca="1">IFERROR(__xludf.DUMMYFUNCTION("""COMPUTED_VALUE"""),"=(1,5*Self_AD)*MOD_Phys")</f>
        <v>=(1,5*Self_AD)*MOD_Phys</v>
      </c>
      <c r="Y101" s="300" t="str">
        <f ca="1">IFERROR(__xludf.DUMMYFUNCTION("""COMPUTED_VALUE"""),"=0")</f>
        <v>=0</v>
      </c>
      <c r="Z101" s="281" t="str">
        <f ca="1">IFERROR(__xludf.DUMMYFUNCTION("""COMPUTED_VALUE"""),"=6,5 - 0,5 * P_Q")</f>
        <v>=6,5 - 0,5 * P_Q</v>
      </c>
      <c r="AA101" s="282" t="str">
        <f ca="1">IFERROR(__xludf.DUMMYFUNCTION("""COMPUTED_VALUE"""),"=17,5-1,5*P_W")</f>
        <v>=17,5-1,5*P_W</v>
      </c>
      <c r="AB101" s="282" t="str">
        <f ca="1">IFERROR(__xludf.DUMMYFUNCTION("""COMPUTED_VALUE"""),"=10")</f>
        <v>=10</v>
      </c>
      <c r="AC101" s="282" t="str">
        <f ca="1">IFERROR(__xludf.DUMMYFUNCTION("""COMPUTED_VALUE"""),"=120-10*P_R")</f>
        <v>=120-10*P_R</v>
      </c>
      <c r="AD101" s="283" t="str">
        <f ca="1">IFERROR(__xludf.DUMMYFUNCTION("""COMPUTED_VALUE"""),"=1")</f>
        <v>=1</v>
      </c>
      <c r="AE101" s="281" t="b">
        <f ca="1">IFERROR(__xludf.DUMMYFUNCTION("""COMPUTED_VALUE"""),TRUE)</f>
        <v>1</v>
      </c>
      <c r="AF101" s="282" t="str">
        <f ca="1">IFERROR(__xludf.DUMMYFUNCTION("""COMPUTED_VALUE"""),"=Image(""https://ddragon.leagueoflegends.com/cdn/11.19.1/img/champion/Rengar.png"")")</f>
        <v>=Image("https://ddragon.leagueoflegends.com/cdn/11.19.1/img/champion/Rengar.png")</v>
      </c>
      <c r="AG101" s="282" t="str">
        <f ca="1">IFERROR(__xludf.DUMMYFUNCTION("""COMPUTED_VALUE"""),"=IF(OR(REGEXMATCH(FORMULATEXT(U101);""HMOD"");NOT(P_Q&gt;0));0;U101)+IF(OR(REGEXMATCH(FORMULATEXT(V101);""HMOD"");NOT(P_W&gt;0));0;V101)+IF(OR(REGEXMATCH(FORMULATEXT(W101);""HMOD"");NOT(P_E&gt;0));0;W101)+IF(OR(REGEXMATCH(FORMULATEXT(X101);""HMOD"");NOT(P_R&gt;0));0;"&amp;"X101)+IF(REGEXMATCH(FORMULATEXT(Y101);""HMOD"");0;Y101)+Self_Proc_Item+Self_Proc_Summ+Self_Proc_Rune+3*Self_DPS")</f>
        <v>=IF(OR(REGEXMATCH(FORMULATEXT(U101);"HMOD");NOT(P_Q&gt;0));0;U101)+IF(OR(REGEXMATCH(FORMULATEXT(V101);"HMOD");NOT(P_W&gt;0));0;V101)+IF(OR(REGEXMATCH(FORMULATEXT(W101);"HMOD");NOT(P_E&gt;0));0;W101)+IF(OR(REGEXMATCH(FORMULATEXT(X101);"HMOD");NOT(P_R&gt;0));0;X101)+IF(REGEXMATCH(FORMULATEXT(Y101);"HMOD");0;Y101)+Self_Proc_Item+Self_Proc_Summ+Self_Proc_Rune+3*Self_DPS</v>
      </c>
      <c r="AH101" s="282" t="str">
        <f ca="1">IFERROR(__xludf.DUMMYFUNCTION("""COMPUTED_VALUE"""),"=0")</f>
        <v>=0</v>
      </c>
      <c r="AI101" s="282" t="b">
        <f ca="1">IFERROR(__xludf.DUMMYFUNCTION("""COMPUTED_VALUE"""),FALSE)</f>
        <v>0</v>
      </c>
      <c r="AJ101" s="283" t="b">
        <f ca="1">IFERROR(__xludf.DUMMYFUNCTION("""COMPUTED_VALUE"""),TRUE)</f>
        <v>1</v>
      </c>
    </row>
    <row r="102" spans="1:36">
      <c r="A102" s="301" t="str">
        <f ca="1">IFERROR(__xludf.DUMMYFUNCTION("""COMPUTED_VALUE"""),"Riven")</f>
        <v>Riven</v>
      </c>
      <c r="B102" s="282" t="str">
        <f ca="1">IFERROR(__xludf.DUMMYFUNCTION("""COMPUTED_VALUE"""),"=630")</f>
        <v>=630</v>
      </c>
      <c r="C102" s="282" t="str">
        <f ca="1">IFERROR(__xludf.DUMMYFUNCTION("""COMPUTED_VALUE"""),"=100")</f>
        <v>=100</v>
      </c>
      <c r="D102" s="282" t="str">
        <f ca="1">IFERROR(__xludf.DUMMYFUNCTION("""COMPUTED_VALUE"""),"=8,5")</f>
        <v>=8,5</v>
      </c>
      <c r="E102" s="302" t="str">
        <f ca="1">IFERROR(__xludf.DUMMYFUNCTION("""COMPUTED_VALUE"""),"=0,5")</f>
        <v>=0,5</v>
      </c>
      <c r="F102" s="282" t="str">
        <f ca="1">IFERROR(__xludf.DUMMYFUNCTION("""COMPUTED_VALUE"""),"=0")</f>
        <v>=0</v>
      </c>
      <c r="G102" s="282" t="str">
        <f ca="1">IFERROR(__xludf.DUMMYFUNCTION("""COMPUTED_VALUE"""),"=0")</f>
        <v>=0</v>
      </c>
      <c r="H102" s="282" t="str">
        <f ca="1">IFERROR(__xludf.DUMMYFUNCTION("""COMPUTED_VALUE"""),"=0")</f>
        <v>=0</v>
      </c>
      <c r="I102" s="302" t="str">
        <f ca="1">IFERROR(__xludf.DUMMYFUNCTION("""COMPUTED_VALUE"""),"=0")</f>
        <v>=0</v>
      </c>
      <c r="J102" s="303" t="str">
        <f ca="1">IFERROR(__xludf.DUMMYFUNCTION("""COMPUTED_VALUE"""),"=64")</f>
        <v>=64</v>
      </c>
      <c r="K102" s="282" t="str">
        <f ca="1">IFERROR(__xludf.DUMMYFUNCTION("""COMPUTED_VALUE"""),"=3")</f>
        <v>=3</v>
      </c>
      <c r="L102" s="304" t="str">
        <f ca="1">IFERROR(__xludf.DUMMYFUNCTION("""COMPUTED_VALUE"""),"=0,625")</f>
        <v>=0,625</v>
      </c>
      <c r="M102" s="304" t="str">
        <f ca="1">IFERROR(__xludf.DUMMYFUNCTION("""COMPUTED_VALUE"""),"=0,625")</f>
        <v>=0,625</v>
      </c>
      <c r="N102" s="305" t="str">
        <f ca="1">IFERROR(__xludf.DUMMYFUNCTION("""COMPUTED_VALUE"""),"=3,5%")</f>
        <v>=3,5%</v>
      </c>
      <c r="O102" s="282" t="str">
        <f ca="1">IFERROR(__xludf.DUMMYFUNCTION("""COMPUTED_VALUE"""),"=33")</f>
        <v>=33</v>
      </c>
      <c r="P102" s="282" t="str">
        <f ca="1">IFERROR(__xludf.DUMMYFUNCTION("""COMPUTED_VALUE"""),"=4,4")</f>
        <v>=4,4</v>
      </c>
      <c r="Q102" s="282" t="str">
        <f ca="1">IFERROR(__xludf.DUMMYFUNCTION("""COMPUTED_VALUE"""),"=32")</f>
        <v>=32</v>
      </c>
      <c r="R102" s="302" t="str">
        <f ca="1">IFERROR(__xludf.DUMMYFUNCTION("""COMPUTED_VALUE"""),"=2,05")</f>
        <v>=2,05</v>
      </c>
      <c r="S102" s="282" t="str">
        <f ca="1">IFERROR(__xludf.DUMMYFUNCTION("""COMPUTED_VALUE"""),"=340")</f>
        <v>=340</v>
      </c>
      <c r="T102" s="283" t="str">
        <f ca="1">IFERROR(__xludf.DUMMYFUNCTION("""COMPUTED_VALUE"""),"=125")</f>
        <v>=125</v>
      </c>
      <c r="U102" s="295" t="str">
        <f ca="1">IFERROR(__xludf.DUMMYFUNCTION("""COMPUTED_VALUE"""),"=((1,2+0,15*P_Q)*Self_AD+60*P_Q-15)*MOD_Phys")</f>
        <v>=((1,2+0,15*P_Q)*Self_AD+60*P_Q-15)*MOD_Phys</v>
      </c>
      <c r="V102" s="296" t="str">
        <f ca="1">IFERROR(__xludf.DUMMYFUNCTION("""COMPUTED_VALUE"""),"=(Self_BoAD + 30 * P_W + 35) * MOD_Phys")</f>
        <v>=(Self_BoAD + 30 * P_W + 35) * MOD_Phys</v>
      </c>
      <c r="W102" s="296" t="str">
        <f ca="1">IFERROR(__xludf.DUMMYFUNCTION("""COMPUTED_VALUE"""),"=(35 * P_E + 45 + 1,1 * Self_BoAD) * MOD_Heal")</f>
        <v>=(35 * P_E + 45 + 1,1 * Self_BoAD) * MOD_Heal</v>
      </c>
      <c r="X102" s="296" t="str">
        <f ca="1">IFERROR(__xludf.DUMMYFUNCTION("""COMPUTED_VALUE"""),"=(50+50*P_R+0,6*Self_BoAD)*(1+(2*(1-(IF(E_CHP&lt;25;25;E_CHP)-25)/75)))")</f>
        <v>=(50+50*P_R+0,6*Self_BoAD)*(1+(2*(1-(IF(E_CHP&lt;25;25;E_CHP)-25)/75)))</v>
      </c>
      <c r="Y102" s="297" t="str">
        <f ca="1">IFERROR(__xludf.DUMMYFUNCTION("""COMPUTED_VALUE"""),"=(0,3 + 0,3 * Sc_Lin) * Self_AD * MOD_Phys")</f>
        <v>=(0,3 + 0,3 * Sc_Lin) * Self_AD * MOD_Phys</v>
      </c>
      <c r="Z102" s="281" t="str">
        <f ca="1">IFERROR(__xludf.DUMMYFUNCTION("""COMPUTED_VALUE"""),"=13")</f>
        <v>=13</v>
      </c>
      <c r="AA102" s="282" t="str">
        <f ca="1">IFERROR(__xludf.DUMMYFUNCTION("""COMPUTED_VALUE"""),"=12-P_W")</f>
        <v>=12-P_W</v>
      </c>
      <c r="AB102" s="282" t="str">
        <f ca="1">IFERROR(__xludf.DUMMYFUNCTION("""COMPUTED_VALUE"""),"=11-P_E")</f>
        <v>=11-P_E</v>
      </c>
      <c r="AC102" s="282" t="str">
        <f ca="1">IFERROR(__xludf.DUMMYFUNCTION("""COMPUTED_VALUE"""),"=150-30*P_R")</f>
        <v>=150-30*P_R</v>
      </c>
      <c r="AD102" s="283" t="str">
        <f ca="1">IFERROR(__xludf.DUMMYFUNCTION("""COMPUTED_VALUE"""),"=1")</f>
        <v>=1</v>
      </c>
      <c r="AE102" s="281" t="b">
        <f ca="1">IFERROR(__xludf.DUMMYFUNCTION("""COMPUTED_VALUE"""),TRUE)</f>
        <v>1</v>
      </c>
      <c r="AF102" s="282" t="str">
        <f ca="1">IFERROR(__xludf.DUMMYFUNCTION("""COMPUTED_VALUE"""),"=Image(""https://ddragon.leagueoflegends.com/cdn/11.19.1/img/champion/Riven.png"")")</f>
        <v>=Image("https://ddragon.leagueoflegends.com/cdn/11.19.1/img/champion/Riven.png")</v>
      </c>
      <c r="AG102" s="282" t="str">
        <f ca="1">IFERROR(__xludf.DUMMYFUNCTION("""COMPUTED_VALUE"""),"=IF(OR(REGEXMATCH(FORMULATEXT(U102);""HMOD"");NOT(P_Q&gt;0));0;U102)+IF(OR(REGEXMATCH(FORMULATEXT(V102);""HMOD"");NOT(P_W&gt;0));0;V102)+IF(OR(REGEXMATCH(FORMULATEXT(W102);""HMOD"");NOT(P_E&gt;0));0;W102)+IF(OR(REGEXMATCH(FORMULATEXT(X102);""HMOD"");NOT(P_R&gt;0));0;"&amp;"X102)+IF(REGEXMATCH(FORMULATEXT(Y102);""HMOD"");0;Y102)+Self_Proc_Item+Self_Proc_Summ+Self_Proc_Rune+3*Self_DPS")</f>
        <v>=IF(OR(REGEXMATCH(FORMULATEXT(U102);"HMOD");NOT(P_Q&gt;0));0;U102)+IF(OR(REGEXMATCH(FORMULATEXT(V102);"HMOD");NOT(P_W&gt;0));0;V102)+IF(OR(REGEXMATCH(FORMULATEXT(W102);"HMOD");NOT(P_E&gt;0));0;W102)+IF(OR(REGEXMATCH(FORMULATEXT(X102);"HMOD");NOT(P_R&gt;0));0;X102)+IF(REGEXMATCH(FORMULATEXT(Y102);"HMOD");0;Y102)+Self_Proc_Item+Self_Proc_Summ+Self_Proc_Rune+3*Self_DPS</v>
      </c>
      <c r="AH102" s="282" t="str">
        <f ca="1">IFERROR(__xludf.DUMMYFUNCTION("""COMPUTED_VALUE"""),"=0")</f>
        <v>=0</v>
      </c>
      <c r="AI102" s="282" t="b">
        <f ca="1">IFERROR(__xludf.DUMMYFUNCTION("""COMPUTED_VALUE"""),FALSE)</f>
        <v>0</v>
      </c>
      <c r="AJ102" s="283" t="b">
        <f ca="1">IFERROR(__xludf.DUMMYFUNCTION("""COMPUTED_VALUE"""),TRUE)</f>
        <v>1</v>
      </c>
    </row>
    <row r="103" spans="1:36">
      <c r="A103" s="267" t="str">
        <f ca="1">IFERROR(__xludf.DUMMYFUNCTION("""COMPUTED_VALUE"""),"Rumble")</f>
        <v>Rumble</v>
      </c>
      <c r="B103" s="287" t="str">
        <f ca="1">IFERROR(__xludf.DUMMYFUNCTION("""COMPUTED_VALUE"""),"=625")</f>
        <v>=625</v>
      </c>
      <c r="C103" s="287" t="str">
        <f ca="1">IFERROR(__xludf.DUMMYFUNCTION("""COMPUTED_VALUE"""),"=105")</f>
        <v>=105</v>
      </c>
      <c r="D103" s="288" t="str">
        <f ca="1">IFERROR(__xludf.DUMMYFUNCTION("""COMPUTED_VALUE"""),"=7")</f>
        <v>=7</v>
      </c>
      <c r="E103" s="289" t="str">
        <f ca="1">IFERROR(__xludf.DUMMYFUNCTION("""COMPUTED_VALUE"""),"=0,6")</f>
        <v>=0,6</v>
      </c>
      <c r="F103" s="288" t="str">
        <f ca="1">IFERROR(__xludf.DUMMYFUNCTION("""COMPUTED_VALUE"""),"=150")</f>
        <v>=150</v>
      </c>
      <c r="G103" s="288" t="str">
        <f ca="1">IFERROR(__xludf.DUMMYFUNCTION("""COMPUTED_VALUE"""),"=0")</f>
        <v>=0</v>
      </c>
      <c r="H103" s="288" t="str">
        <f ca="1">IFERROR(__xludf.DUMMYFUNCTION("""COMPUTED_VALUE"""),"=0")</f>
        <v>=0</v>
      </c>
      <c r="I103" s="289" t="str">
        <f ca="1">IFERROR(__xludf.DUMMYFUNCTION("""COMPUTED_VALUE"""),"=0")</f>
        <v>=0</v>
      </c>
      <c r="J103" s="290" t="str">
        <f ca="1">IFERROR(__xludf.DUMMYFUNCTION("""COMPUTED_VALUE"""),"=61")</f>
        <v>=61</v>
      </c>
      <c r="K103" s="288" t="str">
        <f ca="1">IFERROR(__xludf.DUMMYFUNCTION("""COMPUTED_VALUE"""),"=3,2")</f>
        <v>=3,2</v>
      </c>
      <c r="L103" s="291" t="str">
        <f ca="1">IFERROR(__xludf.DUMMYFUNCTION("""COMPUTED_VALUE"""),"=0,644")</f>
        <v>=0,644</v>
      </c>
      <c r="M103" s="291" t="str">
        <f ca="1">IFERROR(__xludf.DUMMYFUNCTION("""COMPUTED_VALUE"""),"=0,644")</f>
        <v>=0,644</v>
      </c>
      <c r="N103" s="292" t="str">
        <f ca="1">IFERROR(__xludf.DUMMYFUNCTION("""COMPUTED_VALUE"""),"=1,85%")</f>
        <v>=1,85%</v>
      </c>
      <c r="O103" s="287" t="str">
        <f ca="1">IFERROR(__xludf.DUMMYFUNCTION("""COMPUTED_VALUE"""),"=36")</f>
        <v>=36</v>
      </c>
      <c r="P103" s="287" t="str">
        <f ca="1">IFERROR(__xludf.DUMMYFUNCTION("""COMPUTED_VALUE"""),"=4,7")</f>
        <v>=4,7</v>
      </c>
      <c r="Q103" s="288" t="str">
        <f ca="1">IFERROR(__xludf.DUMMYFUNCTION("""COMPUTED_VALUE"""),"=28")</f>
        <v>=28</v>
      </c>
      <c r="R103" s="289" t="str">
        <f ca="1">IFERROR(__xludf.DUMMYFUNCTION("""COMPUTED_VALUE"""),"=1,55")</f>
        <v>=1,55</v>
      </c>
      <c r="S103" s="287" t="str">
        <f ca="1">IFERROR(__xludf.DUMMYFUNCTION("""COMPUTED_VALUE"""),"=345")</f>
        <v>=345</v>
      </c>
      <c r="T103" s="628" t="str">
        <f ca="1">IFERROR(__xludf.DUMMYFUNCTION("""COMPUTED_VALUE"""),"=125")</f>
        <v>=125</v>
      </c>
      <c r="U103" s="298" t="str">
        <f ca="1">IFERROR(__xludf.DUMMYFUNCTION("""COMPUTED_VALUE"""),"=IF(Steroid_Q; 1,5; 1) * (120 + 15 * P_Q + (0,05 + 0,01 * P_Q) * E_MHP + 1,1 * Self_AP) * MOD_Magic")</f>
        <v>=IF(Steroid_Q; 1,5; 1) * (120 + 15 * P_Q + (0,05 + 0,01 * P_Q) * E_MHP + 1,1 * Self_AP) * MOD_Magic</v>
      </c>
      <c r="V103" s="299" t="str">
        <f ca="1">IFERROR(__xludf.DUMMYFUNCTION("""COMPUTED_VALUE"""),"=IF(Steroid_W; 1,5; 1) * (-5 + 30 * P_W + 0,25 * Self_AP + 0,04 * Self_MHP) * MOD_Heal")</f>
        <v>=IF(Steroid_W; 1,5; 1) * (-5 + 30 * P_W + 0,25 * Self_AP + 0,04 * Self_MHP) * MOD_Heal</v>
      </c>
      <c r="W103" s="299" t="str">
        <f ca="1">IFERROR(__xludf.DUMMYFUNCTION("""COMPUTED_VALUE"""),"=IF(Steroid_E;1,5;1)*(70+50*P_E+0,8*Self_AP)*MOD_Magic")</f>
        <v>=IF(Steroid_E;1,5;1)*(70+50*P_E+0,8*Self_AP)*MOD_Magic</v>
      </c>
      <c r="X103" s="299" t="str">
        <f ca="1">IFERROR(__xludf.DUMMYFUNCTION("""COMPUTED_VALUE"""),"=(1,75 * Self_AP + 350 * P_R + 350) * MOD_Magic")</f>
        <v>=(1,75 * Self_AP + 350 * P_R + 350) * MOD_Magic</v>
      </c>
      <c r="Y103" s="300" t="str">
        <f ca="1">IFERROR(__xludf.DUMMYFUNCTION("""COMPUTED_VALUE"""),"=(5 + 35 * Sc_Lin + 0,25 * Self_AP + 0,06 * E_MHP) * MOD_Magic * IF(Steroid_P; 1; 0)")</f>
        <v>=(5 + 35 * Sc_Lin + 0,25 * Self_AP + 0,06 * E_MHP) * MOD_Magic * IF(Steroid_P; 1; 0)</v>
      </c>
      <c r="Z103" s="281" t="str">
        <f ca="1">IFERROR(__xludf.DUMMYFUNCTION("""COMPUTED_VALUE"""),"=11-P_Q")</f>
        <v>=11-P_Q</v>
      </c>
      <c r="AA103" s="282" t="str">
        <f ca="1">IFERROR(__xludf.DUMMYFUNCTION("""COMPUTED_VALUE"""),"=6")</f>
        <v>=6</v>
      </c>
      <c r="AB103" s="282" t="str">
        <f ca="1">IFERROR(__xludf.DUMMYFUNCTION("""COMPUTED_VALUE"""),"=6")</f>
        <v>=6</v>
      </c>
      <c r="AC103" s="282" t="str">
        <f ca="1">IFERROR(__xludf.DUMMYFUNCTION("""COMPUTED_VALUE"""),"=155 - 25 * P_R")</f>
        <v>=155 - 25 * P_R</v>
      </c>
      <c r="AD103" s="283" t="str">
        <f ca="1">IFERROR(__xludf.DUMMYFUNCTION("""COMPUTED_VALUE"""),"=1")</f>
        <v>=1</v>
      </c>
      <c r="AE103" s="281" t="b">
        <f ca="1">IFERROR(__xludf.DUMMYFUNCTION("""COMPUTED_VALUE"""),TRUE)</f>
        <v>1</v>
      </c>
      <c r="AF103" s="282" t="str">
        <f ca="1">IFERROR(__xludf.DUMMYFUNCTION("""COMPUTED_VALUE"""),"=Image(""https://ddragon.leagueoflegends.com/cdn/11.19.1/img/champion/Rumble.png"")")</f>
        <v>=Image("https://ddragon.leagueoflegends.com/cdn/11.19.1/img/champion/Rumble.png")</v>
      </c>
      <c r="AG103" s="282" t="str">
        <f ca="1">IFERROR(__xludf.DUMMYFUNCTION("""COMPUTED_VALUE"""),"=IF(OR(REGEXMATCH(FORMULATEXT(U103);""HMOD"");NOT(P_Q&gt;0));0;U103)+IF(OR(REGEXMATCH(FORMULATEXT(V103);""HMOD"");NOT(P_W&gt;0));0;V103)+IF(OR(REGEXMATCH(FORMULATEXT(W103);""HMOD"");NOT(P_E&gt;0));0;W103)+IF(OR(REGEXMATCH(FORMULATEXT(X103);""HMOD"");NOT(P_R&gt;0));0;"&amp;"X103)+IF(REGEXMATCH(FORMULATEXT(Y103);""HMOD"");0;Y103)+Self_Proc_Item+Self_Proc_Summ+Self_Proc_Rune+3*Self_DPS")</f>
        <v>=IF(OR(REGEXMATCH(FORMULATEXT(U103);"HMOD");NOT(P_Q&gt;0));0;U103)+IF(OR(REGEXMATCH(FORMULATEXT(V103);"HMOD");NOT(P_W&gt;0));0;V103)+IF(OR(REGEXMATCH(FORMULATEXT(W103);"HMOD");NOT(P_E&gt;0));0;W103)+IF(OR(REGEXMATCH(FORMULATEXT(X103);"HMOD");NOT(P_R&gt;0));0;X103)+IF(REGEXMATCH(FORMULATEXT(Y103);"HMOD");0;Y103)+Self_Proc_Item+Self_Proc_Summ+Self_Proc_Rune+3*Self_DPS</v>
      </c>
      <c r="AH103" s="282" t="str">
        <f ca="1">IFERROR(__xludf.DUMMYFUNCTION("""COMPUTED_VALUE"""),"=0")</f>
        <v>=0</v>
      </c>
      <c r="AI103" s="282" t="b">
        <f ca="1">IFERROR(__xludf.DUMMYFUNCTION("""COMPUTED_VALUE"""),FALSE)</f>
        <v>0</v>
      </c>
      <c r="AJ103" s="283" t="b">
        <f ca="1">IFERROR(__xludf.DUMMYFUNCTION("""COMPUTED_VALUE"""),TRUE)</f>
        <v>1</v>
      </c>
    </row>
    <row r="104" spans="1:36">
      <c r="A104" s="301" t="str">
        <f ca="1">IFERROR(__xludf.DUMMYFUNCTION("""COMPUTED_VALUE"""),"Ryze")</f>
        <v>Ryze</v>
      </c>
      <c r="B104" s="282" t="str">
        <f ca="1">IFERROR(__xludf.DUMMYFUNCTION("""COMPUTED_VALUE"""),"=645")</f>
        <v>=645</v>
      </c>
      <c r="C104" s="282" t="str">
        <f ca="1">IFERROR(__xludf.DUMMYFUNCTION("""COMPUTED_VALUE"""),"=124")</f>
        <v>=124</v>
      </c>
      <c r="D104" s="282" t="str">
        <f ca="1">IFERROR(__xludf.DUMMYFUNCTION("""COMPUTED_VALUE"""),"=8")</f>
        <v>=8</v>
      </c>
      <c r="E104" s="302" t="str">
        <f ca="1">IFERROR(__xludf.DUMMYFUNCTION("""COMPUTED_VALUE"""),"=1")</f>
        <v>=1</v>
      </c>
      <c r="F104" s="282" t="str">
        <f ca="1">IFERROR(__xludf.DUMMYFUNCTION("""COMPUTED_VALUE"""),"=300")</f>
        <v>=300</v>
      </c>
      <c r="G104" s="282" t="str">
        <f ca="1">IFERROR(__xludf.DUMMYFUNCTION("""COMPUTED_VALUE"""),"=70")</f>
        <v>=70</v>
      </c>
      <c r="H104" s="282" t="str">
        <f ca="1">IFERROR(__xludf.DUMMYFUNCTION("""COMPUTED_VALUE"""),"=8")</f>
        <v>=8</v>
      </c>
      <c r="I104" s="302" t="str">
        <f ca="1">IFERROR(__xludf.DUMMYFUNCTION("""COMPUTED_VALUE"""),"=0,8")</f>
        <v>=0,8</v>
      </c>
      <c r="J104" s="303" t="str">
        <f ca="1">IFERROR(__xludf.DUMMYFUNCTION("""COMPUTED_VALUE"""),"=58")</f>
        <v>=58</v>
      </c>
      <c r="K104" s="282" t="str">
        <f ca="1">IFERROR(__xludf.DUMMYFUNCTION("""COMPUTED_VALUE"""),"=3")</f>
        <v>=3</v>
      </c>
      <c r="L104" s="304" t="str">
        <f ca="1">IFERROR(__xludf.DUMMYFUNCTION("""COMPUTED_VALUE"""),"=0,625")</f>
        <v>=0,625</v>
      </c>
      <c r="M104" s="304" t="str">
        <f ca="1">IFERROR(__xludf.DUMMYFUNCTION("""COMPUTED_VALUE"""),"=0,625")</f>
        <v>=0,625</v>
      </c>
      <c r="N104" s="305" t="str">
        <f ca="1">IFERROR(__xludf.DUMMYFUNCTION("""COMPUTED_VALUE"""),"=2,112%")</f>
        <v>=2,112%</v>
      </c>
      <c r="O104" s="282" t="str">
        <f ca="1">IFERROR(__xludf.DUMMYFUNCTION("""COMPUTED_VALUE"""),"=22")</f>
        <v>=22</v>
      </c>
      <c r="P104" s="282" t="str">
        <f ca="1">IFERROR(__xludf.DUMMYFUNCTION("""COMPUTED_VALUE"""),"=4,2")</f>
        <v>=4,2</v>
      </c>
      <c r="Q104" s="282" t="str">
        <f ca="1">IFERROR(__xludf.DUMMYFUNCTION("""COMPUTED_VALUE"""),"=32")</f>
        <v>=32</v>
      </c>
      <c r="R104" s="302" t="str">
        <f ca="1">IFERROR(__xludf.DUMMYFUNCTION("""COMPUTED_VALUE"""),"=1,3")</f>
        <v>=1,3</v>
      </c>
      <c r="S104" s="282" t="str">
        <f ca="1">IFERROR(__xludf.DUMMYFUNCTION("""COMPUTED_VALUE"""),"=340")</f>
        <v>=340</v>
      </c>
      <c r="T104" s="283" t="str">
        <f ca="1">IFERROR(__xludf.DUMMYFUNCTION("""COMPUTED_VALUE"""),"=550")</f>
        <v>=550</v>
      </c>
      <c r="U104" s="295" t="str">
        <f ca="1">IFERROR(__xludf.DUMMYFUNCTION("""COMPUTED_VALUE"""),"=(20 * P_Q + 50 + 0,55 * Self_AP + 0,02 * Self_BoMP) * MOD_Magic * IF(Steroid_Q;1,1 + 0,3 * P_R; 1)")</f>
        <v>=(20 * P_Q + 50 + 0,55 * Self_AP + 0,02 * Self_BoMP) * MOD_Magic * IF(Steroid_Q;1,1 + 0,3 * P_R; 1)</v>
      </c>
      <c r="V104" s="296" t="str">
        <f ca="1">IFERROR(__xludf.DUMMYFUNCTION("""COMPUTED_VALUE"""),"=(30 * P_W + 50 + 0,7 * Self_AP + 0,04 * Self_BoMP) * MOD_Magic")</f>
        <v>=(30 * P_W + 50 + 0,7 * Self_AP + 0,04 * Self_BoMP) * MOD_Magic</v>
      </c>
      <c r="W104" s="296" t="str">
        <f ca="1">IFERROR(__xludf.DUMMYFUNCTION("""COMPUTED_VALUE"""),"=(30 * P_E + 30 + 0,5 * Self_AP + 0,02 * Self_BoMP) * MOD_Magic")</f>
        <v>=(30 * P_E + 30 + 0,5 * Self_AP + 0,02 * Self_BoMP) * MOD_Magic</v>
      </c>
      <c r="X104" s="296" t="str">
        <f ca="1">IFERROR(__xludf.DUMMYFUNCTION("""COMPUTED_VALUE"""),"=0")</f>
        <v>=0</v>
      </c>
      <c r="Y104" s="297" t="str">
        <f ca="1">IFERROR(__xludf.DUMMYFUNCTION("""COMPUTED_VALUE"""),"=Calc!I7")</f>
        <v>=Calc!I7</v>
      </c>
      <c r="Z104" s="281" t="str">
        <f ca="1">IFERROR(__xludf.DUMMYFUNCTION("""COMPUTED_VALUE"""),"=5")</f>
        <v>=5</v>
      </c>
      <c r="AA104" s="282" t="str">
        <f ca="1">IFERROR(__xludf.DUMMYFUNCTION("""COMPUTED_VALUE"""),"=14-P_W")</f>
        <v>=14-P_W</v>
      </c>
      <c r="AB104" s="282" t="str">
        <f ca="1">IFERROR(__xludf.DUMMYFUNCTION("""COMPUTED_VALUE"""),"=3,75 - 0,25 * P_E")</f>
        <v>=3,75 - 0,25 * P_E</v>
      </c>
      <c r="AC104" s="282" t="str">
        <f ca="1">IFERROR(__xludf.DUMMYFUNCTION("""COMPUTED_VALUE"""),"=240-30*P_R")</f>
        <v>=240-30*P_R</v>
      </c>
      <c r="AD104" s="283" t="str">
        <f ca="1">IFERROR(__xludf.DUMMYFUNCTION("""COMPUTED_VALUE"""),"=1")</f>
        <v>=1</v>
      </c>
      <c r="AE104" s="281" t="b">
        <f ca="1">IFERROR(__xludf.DUMMYFUNCTION("""COMPUTED_VALUE"""),FALSE)</f>
        <v>0</v>
      </c>
      <c r="AF104" s="282" t="str">
        <f ca="1">IFERROR(__xludf.DUMMYFUNCTION("""COMPUTED_VALUE"""),"=Image(""https://ddragon.leagueoflegends.com/cdn/11.19.1/img/champion/Ryze.png"")")</f>
        <v>=Image("https://ddragon.leagueoflegends.com/cdn/11.19.1/img/champion/Ryze.png")</v>
      </c>
      <c r="AG104" s="282" t="str">
        <f ca="1">IFERROR(__xludf.DUMMYFUNCTION("""COMPUTED_VALUE"""),"=IF(OR(REGEXMATCH(FORMULATEXT(U104);""HMOD"");NOT(P_Q&gt;0));0;U104)+IF(OR(REGEXMATCH(FORMULATEXT(V104);""HMOD"");NOT(P_W&gt;0));0;V104)+IF(OR(REGEXMATCH(FORMULATEXT(W104);""HMOD"");NOT(P_E&gt;0));0;W104)+IF(OR(REGEXMATCH(FORMULATEXT(X104);""HMOD"");NOT(P_R&gt;0));0;"&amp;"X104)+IF(REGEXMATCH(FORMULATEXT(Y104);""HMOD"");0;Y104)+Self_Proc_Item+Self_Proc_Summ+Self_Proc_Rune+3*Self_DPS")</f>
        <v>=IF(OR(REGEXMATCH(FORMULATEXT(U104);"HMOD");NOT(P_Q&gt;0));0;U104)+IF(OR(REGEXMATCH(FORMULATEXT(V104);"HMOD");NOT(P_W&gt;0));0;V104)+IF(OR(REGEXMATCH(FORMULATEXT(W104);"HMOD");NOT(P_E&gt;0));0;W104)+IF(OR(REGEXMATCH(FORMULATEXT(X104);"HMOD");NOT(P_R&gt;0));0;X104)+IF(REGEXMATCH(FORMULATEXT(Y104);"HMOD");0;Y104)+Self_Proc_Item+Self_Proc_Summ+Self_Proc_Rune+3*Self_DPS</v>
      </c>
      <c r="AH104" s="282" t="str">
        <f ca="1">IFERROR(__xludf.DUMMYFUNCTION("""COMPUTED_VALUE"""),"=0")</f>
        <v>=0</v>
      </c>
      <c r="AI104" s="282" t="b">
        <f ca="1">IFERROR(__xludf.DUMMYFUNCTION("""COMPUTED_VALUE"""),FALSE)</f>
        <v>0</v>
      </c>
      <c r="AJ104" s="283" t="b">
        <f ca="1">IFERROR(__xludf.DUMMYFUNCTION("""COMPUTED_VALUE"""),FALSE)</f>
        <v>0</v>
      </c>
    </row>
    <row r="105" spans="1:36">
      <c r="A105" s="301" t="str">
        <f ca="1">IFERROR(__xludf.DUMMYFUNCTION("""COMPUTED_VALUE"""),"Samira")</f>
        <v>Samira</v>
      </c>
      <c r="B105" s="282" t="str">
        <f ca="1">IFERROR(__xludf.DUMMYFUNCTION("""COMPUTED_VALUE"""),"=600")</f>
        <v>=600</v>
      </c>
      <c r="C105" s="282" t="str">
        <f ca="1">IFERROR(__xludf.DUMMYFUNCTION("""COMPUTED_VALUE"""),"=108")</f>
        <v>=108</v>
      </c>
      <c r="D105" s="282" t="str">
        <f ca="1">IFERROR(__xludf.DUMMYFUNCTION("""COMPUTED_VALUE"""),"=3,25")</f>
        <v>=3,25</v>
      </c>
      <c r="E105" s="302" t="str">
        <f ca="1">IFERROR(__xludf.DUMMYFUNCTION("""COMPUTED_VALUE"""),"=0,55")</f>
        <v>=0,55</v>
      </c>
      <c r="F105" s="282" t="str">
        <f ca="1">IFERROR(__xludf.DUMMYFUNCTION("""COMPUTED_VALUE"""),"=349")</f>
        <v>=349</v>
      </c>
      <c r="G105" s="282" t="str">
        <f ca="1">IFERROR(__xludf.DUMMYFUNCTION("""COMPUTED_VALUE"""),"=38")</f>
        <v>=38</v>
      </c>
      <c r="H105" s="282" t="str">
        <f ca="1">IFERROR(__xludf.DUMMYFUNCTION("""COMPUTED_VALUE"""),"=8,18")</f>
        <v>=8,18</v>
      </c>
      <c r="I105" s="302" t="str">
        <f ca="1">IFERROR(__xludf.DUMMYFUNCTION("""COMPUTED_VALUE"""),"=0,7")</f>
        <v>=0,7</v>
      </c>
      <c r="J105" s="303" t="str">
        <f ca="1">IFERROR(__xludf.DUMMYFUNCTION("""COMPUTED_VALUE"""),"=57")</f>
        <v>=57</v>
      </c>
      <c r="K105" s="282" t="str">
        <f ca="1">IFERROR(__xludf.DUMMYFUNCTION("""COMPUTED_VALUE"""),"=3,3")</f>
        <v>=3,3</v>
      </c>
      <c r="L105" s="304" t="str">
        <f ca="1">IFERROR(__xludf.DUMMYFUNCTION("""COMPUTED_VALUE"""),"=0,658")</f>
        <v>=0,658</v>
      </c>
      <c r="M105" s="304" t="str">
        <f ca="1">IFERROR(__xludf.DUMMYFUNCTION("""COMPUTED_VALUE"""),"=0,658")</f>
        <v>=0,658</v>
      </c>
      <c r="N105" s="305" t="str">
        <f ca="1">IFERROR(__xludf.DUMMYFUNCTION("""COMPUTED_VALUE"""),"=3,3%")</f>
        <v>=3,3%</v>
      </c>
      <c r="O105" s="282" t="str">
        <f ca="1">IFERROR(__xludf.DUMMYFUNCTION("""COMPUTED_VALUE"""),"=26")</f>
        <v>=26</v>
      </c>
      <c r="P105" s="282" t="str">
        <f ca="1">IFERROR(__xludf.DUMMYFUNCTION("""COMPUTED_VALUE"""),"=4,7")</f>
        <v>=4,7</v>
      </c>
      <c r="Q105" s="282" t="str">
        <f ca="1">IFERROR(__xludf.DUMMYFUNCTION("""COMPUTED_VALUE"""),"=30")</f>
        <v>=30</v>
      </c>
      <c r="R105" s="302" t="str">
        <f ca="1">IFERROR(__xludf.DUMMYFUNCTION("""COMPUTED_VALUE"""),"=1,3")</f>
        <v>=1,3</v>
      </c>
      <c r="S105" s="282" t="str">
        <f ca="1">IFERROR(__xludf.DUMMYFUNCTION("""COMPUTED_VALUE"""),"=335")</f>
        <v>=335</v>
      </c>
      <c r="T105" s="283" t="str">
        <f ca="1">IFERROR(__xludf.DUMMYFUNCTION("""COMPUTED_VALUE"""),"=500")</f>
        <v>=500</v>
      </c>
      <c r="U105" s="298" t="str">
        <f ca="1">IFERROR(__xludf.DUMMYFUNCTION("""COMPUTED_VALUE"""),"=(5*P_Q-5+Self_AD*(0,75+0,1*P_Q))*MOD_Phys*(1+(0,25+IT_CDMG)*Self_Crit)")</f>
        <v>=(5*P_Q-5+Self_AD*(0,75+0,1*P_Q))*MOD_Phys*(1+(0,25+IT_CDMG)*Self_Crit)</v>
      </c>
      <c r="V105" s="299" t="str">
        <f ca="1">IFERROR(__xludf.DUMMYFUNCTION("""COMPUTED_VALUE"""),"=(10+30*P_W+1,6*Self_BoAD)*MOD_Phys")</f>
        <v>=(10+30*P_W+1,6*Self_BoAD)*MOD_Phys</v>
      </c>
      <c r="W105" s="299" t="str">
        <f ca="1">IFERROR(__xludf.DUMMYFUNCTION("""COMPUTED_VALUE"""),"=(40+10*P_E+0,2*Self_BoAD)*MOD_Magic")</f>
        <v>=(40+10*P_E+0,2*Self_BoAD)*MOD_Magic</v>
      </c>
      <c r="X105" s="299" t="str">
        <f ca="1">IFERROR(__xludf.DUMMYFUNCTION("""COMPUTED_VALUE"""),"=(100 * P_R + 5 * Self_AD - 50) * MOD_Phys * (1 + Self_Crit * (Self_CritDMG - 1) )")</f>
        <v>=(100 * P_R + 5 * Self_AD - 50) * MOD_Phys * (1 + Self_Crit * (Self_CritDMG - 1) )</v>
      </c>
      <c r="Y105" s="300" t="str">
        <f ca="1">IFERROR(__xludf.DUMMYFUNCTION("""COMPUTED_VALUE"""),"=(1+Self_Level+(0,035+0,07*Sc_Lin)*Self_BoAD)*MOD_Magic*(1+(1-(E_CHP/100)))")</f>
        <v>=(1+Self_Level+(0,035+0,07*Sc_Lin)*Self_BoAD)*MOD_Magic*(1+(1-(E_CHP/100)))</v>
      </c>
      <c r="Z105" s="281" t="str">
        <f ca="1">IFERROR(__xludf.DUMMYFUNCTION("""COMPUTED_VALUE"""),"=7-P_Q")</f>
        <v>=7-P_Q</v>
      </c>
      <c r="AA105" s="282" t="str">
        <f ca="1">IFERROR(__xludf.DUMMYFUNCTION("""COMPUTED_VALUE"""),"=32-2*P_W")</f>
        <v>=32-2*P_W</v>
      </c>
      <c r="AB105" s="282" t="str">
        <f ca="1">IFERROR(__xludf.DUMMYFUNCTION("""COMPUTED_VALUE"""),"=22-2*P_E")</f>
        <v>=22-2*P_E</v>
      </c>
      <c r="AC105" s="282" t="str">
        <f ca="1">IFERROR(__xludf.DUMMYFUNCTION("""COMPUTED_VALUE"""),"=5")</f>
        <v>=5</v>
      </c>
      <c r="AD105" s="283" t="str">
        <f ca="1">IFERROR(__xludf.DUMMYFUNCTION("""COMPUTED_VALUE"""),"=1")</f>
        <v>=1</v>
      </c>
      <c r="AE105" s="281" t="b">
        <f ca="1">IFERROR(__xludf.DUMMYFUNCTION("""COMPUTED_VALUE"""),FALSE)</f>
        <v>0</v>
      </c>
      <c r="AF105" s="282" t="str">
        <f ca="1">IFERROR(__xludf.DUMMYFUNCTION("""COMPUTED_VALUE"""),"=Image(""https://ddragon.leagueoflegends.com/cdn/11.19.1/img/champion/Samira.png"")")</f>
        <v>=Image("https://ddragon.leagueoflegends.com/cdn/11.19.1/img/champion/Samira.png")</v>
      </c>
      <c r="AG105" s="282" t="str">
        <f ca="1">IFERROR(__xludf.DUMMYFUNCTION("""COMPUTED_VALUE"""),"=IF(OR(REGEXMATCH(FORMULATEXT(U105);""HMOD"");NOT(P_Q&gt;0));0;U105)+IF(OR(REGEXMATCH(FORMULATEXT(V105);""HMOD"");NOT(P_W&gt;0));0;V105)+IF(OR(REGEXMATCH(FORMULATEXT(W105);""HMOD"");NOT(P_E&gt;0));0;W105)+IF(OR(REGEXMATCH(FORMULATEXT(X105);""HMOD"");NOT(P_R&gt;0));0;"&amp;"X105)+IF(REGEXMATCH(FORMULATEXT(Y105);""HMOD"");0;Y105)+Self_Proc_Item+Self_Proc_Summ+Self_Proc_Rune+3*Self_DPS")</f>
        <v>=IF(OR(REGEXMATCH(FORMULATEXT(U105);"HMOD");NOT(P_Q&gt;0));0;U105)+IF(OR(REGEXMATCH(FORMULATEXT(V105);"HMOD");NOT(P_W&gt;0));0;V105)+IF(OR(REGEXMATCH(FORMULATEXT(W105);"HMOD");NOT(P_E&gt;0));0;W105)+IF(OR(REGEXMATCH(FORMULATEXT(X105);"HMOD");NOT(P_R&gt;0));0;X105)+IF(REGEXMATCH(FORMULATEXT(Y105);"HMOD");0;Y105)+Self_Proc_Item+Self_Proc_Summ+Self_Proc_Rune+3*Self_DPS</v>
      </c>
      <c r="AH105" s="282" t="str">
        <f ca="1">IFERROR(__xludf.DUMMYFUNCTION("""COMPUTED_VALUE"""),"=0")</f>
        <v>=0</v>
      </c>
      <c r="AI105" s="282" t="b">
        <f ca="1">IFERROR(__xludf.DUMMYFUNCTION("""COMPUTED_VALUE"""),FALSE)</f>
        <v>0</v>
      </c>
      <c r="AJ105" s="283" t="b">
        <f ca="1">IFERROR(__xludf.DUMMYFUNCTION("""COMPUTED_VALUE"""),FALSE)</f>
        <v>0</v>
      </c>
    </row>
    <row r="106" spans="1:36">
      <c r="A106" s="267" t="str">
        <f ca="1">IFERROR(__xludf.DUMMYFUNCTION("""COMPUTED_VALUE"""),"Sejuani")</f>
        <v>Sejuani</v>
      </c>
      <c r="B106" s="287" t="str">
        <f ca="1">IFERROR(__xludf.DUMMYFUNCTION("""COMPUTED_VALUE"""),"=630")</f>
        <v>=630</v>
      </c>
      <c r="C106" s="287" t="str">
        <f ca="1">IFERROR(__xludf.DUMMYFUNCTION("""COMPUTED_VALUE"""),"=114")</f>
        <v>=114</v>
      </c>
      <c r="D106" s="288" t="str">
        <f ca="1">IFERROR(__xludf.DUMMYFUNCTION("""COMPUTED_VALUE"""),"=8,5")</f>
        <v>=8,5</v>
      </c>
      <c r="E106" s="289" t="str">
        <f ca="1">IFERROR(__xludf.DUMMYFUNCTION("""COMPUTED_VALUE"""),"=1")</f>
        <v>=1</v>
      </c>
      <c r="F106" s="288" t="str">
        <f ca="1">IFERROR(__xludf.DUMMYFUNCTION("""COMPUTED_VALUE"""),"=400")</f>
        <v>=400</v>
      </c>
      <c r="G106" s="288" t="str">
        <f ca="1">IFERROR(__xludf.DUMMYFUNCTION("""COMPUTED_VALUE"""),"=40")</f>
        <v>=40</v>
      </c>
      <c r="H106" s="288" t="str">
        <f ca="1">IFERROR(__xludf.DUMMYFUNCTION("""COMPUTED_VALUE"""),"=7")</f>
        <v>=7</v>
      </c>
      <c r="I106" s="289" t="str">
        <f ca="1">IFERROR(__xludf.DUMMYFUNCTION("""COMPUTED_VALUE"""),"=0,7")</f>
        <v>=0,7</v>
      </c>
      <c r="J106" s="290" t="str">
        <f ca="1">IFERROR(__xludf.DUMMYFUNCTION("""COMPUTED_VALUE"""),"=66")</f>
        <v>=66</v>
      </c>
      <c r="K106" s="288" t="str">
        <f ca="1">IFERROR(__xludf.DUMMYFUNCTION("""COMPUTED_VALUE"""),"=4")</f>
        <v>=4</v>
      </c>
      <c r="L106" s="291" t="str">
        <f ca="1">IFERROR(__xludf.DUMMYFUNCTION("""COMPUTED_VALUE"""),"=0,688")</f>
        <v>=0,688</v>
      </c>
      <c r="M106" s="291" t="str">
        <f ca="1">IFERROR(__xludf.DUMMYFUNCTION("""COMPUTED_VALUE"""),"=0,625")</f>
        <v>=0,625</v>
      </c>
      <c r="N106" s="292" t="str">
        <f ca="1">IFERROR(__xludf.DUMMYFUNCTION("""COMPUTED_VALUE"""),"=3,5%")</f>
        <v>=3,5%</v>
      </c>
      <c r="O106" s="287" t="str">
        <f ca="1">IFERROR(__xludf.DUMMYFUNCTION("""COMPUTED_VALUE"""),"=34")</f>
        <v>=34</v>
      </c>
      <c r="P106" s="287" t="str">
        <f ca="1">IFERROR(__xludf.DUMMYFUNCTION("""COMPUTED_VALUE"""),"=5,45")</f>
        <v>=5,45</v>
      </c>
      <c r="Q106" s="288" t="str">
        <f ca="1">IFERROR(__xludf.DUMMYFUNCTION("""COMPUTED_VALUE"""),"=32")</f>
        <v>=32</v>
      </c>
      <c r="R106" s="289" t="str">
        <f ca="1">IFERROR(__xludf.DUMMYFUNCTION("""COMPUTED_VALUE"""),"=2,05")</f>
        <v>=2,05</v>
      </c>
      <c r="S106" s="287" t="str">
        <f ca="1">IFERROR(__xludf.DUMMYFUNCTION("""COMPUTED_VALUE"""),"=340")</f>
        <v>=340</v>
      </c>
      <c r="T106" s="628" t="str">
        <f ca="1">IFERROR(__xludf.DUMMYFUNCTION("""COMPUTED_VALUE"""),"=150")</f>
        <v>=150</v>
      </c>
      <c r="U106" s="295" t="str">
        <f ca="1">IFERROR(__xludf.DUMMYFUNCTION("""COMPUTED_VALUE"""),"=(40 + 50 * P_Q + 0,6 * Self_AP) * MOD_Magic")</f>
        <v>=(40 + 50 * P_Q + 0,6 * Self_AP) * MOD_Magic</v>
      </c>
      <c r="V106" s="296" t="str">
        <f ca="1">IFERROR(__xludf.DUMMYFUNCTION("""COMPUTED_VALUE"""),"=(0,08*Self_MHP+45*P_W+0,8*Self_AP+5)*MOD_Phys")</f>
        <v>=(0,08*Self_MHP+45*P_W+0,8*Self_AP+5)*MOD_Phys</v>
      </c>
      <c r="W106" s="296" t="str">
        <f ca="1">IFERROR(__xludf.DUMMYFUNCTION("""COMPUTED_VALUE"""),"=(5+50*P_E+0,6*Self_AP)*MOD_Magic+IF(Steroid_E;Y106;0)")</f>
        <v>=(5+50*P_E+0,6*Self_AP)*MOD_Magic+IF(Steroid_E;Y106;0)</v>
      </c>
      <c r="X106" s="296" t="str">
        <f ca="1">IFERROR(__xludf.DUMMYFUNCTION("""COMPUTED_VALUE"""),"=IF(Steroid_R;0,8*Self_AP+100+100*P_R;0,4*Self_AP+100+25*P_R)*MOD_Magic")</f>
        <v>=IF(Steroid_R;0,8*Self_AP+100+100*P_R;0,4*Self_AP+100+25*P_R)*MOD_Magic</v>
      </c>
      <c r="Y106" s="297" t="str">
        <f ca="1">IFERROR(__xludf.DUMMYFUNCTION("""COMPUTED_VALUE"""),"=0,1*E_MHP*MOD_Magic")</f>
        <v>=0,1*E_MHP*MOD_Magic</v>
      </c>
      <c r="Z106" s="281" t="str">
        <f ca="1">IFERROR(__xludf.DUMMYFUNCTION("""COMPUTED_VALUE"""),"=20,5 - 1,5 * P_Q")</f>
        <v>=20,5 - 1,5 * P_Q</v>
      </c>
      <c r="AA106" s="282" t="str">
        <f ca="1">IFERROR(__xludf.DUMMYFUNCTION("""COMPUTED_VALUE"""),"=10-P_W")</f>
        <v>=10-P_W</v>
      </c>
      <c r="AB106" s="282" t="str">
        <f ca="1">IFERROR(__xludf.DUMMYFUNCTION("""COMPUTED_VALUE"""),"=1,5")</f>
        <v>=1,5</v>
      </c>
      <c r="AC106" s="282" t="str">
        <f ca="1">IFERROR(__xludf.DUMMYFUNCTION("""COMPUTED_VALUE"""),"=150-20*P_R")</f>
        <v>=150-20*P_R</v>
      </c>
      <c r="AD106" s="283" t="str">
        <f ca="1">IFERROR(__xludf.DUMMYFUNCTION("""COMPUTED_VALUE"""),"=12 - Sc_Lin")</f>
        <v>=12 - Sc_Lin</v>
      </c>
      <c r="AE106" s="281" t="b">
        <f ca="1">IFERROR(__xludf.DUMMYFUNCTION("""COMPUTED_VALUE"""),TRUE)</f>
        <v>1</v>
      </c>
      <c r="AF106" s="282" t="str">
        <f ca="1">IFERROR(__xludf.DUMMYFUNCTION("""COMPUTED_VALUE"""),"=Image(""https://ddragon.leagueoflegends.com/cdn/11.19.1/img/champion/Sejuani.png"")")</f>
        <v>=Image("https://ddragon.leagueoflegends.com/cdn/11.19.1/img/champion/Sejuani.png")</v>
      </c>
      <c r="AG106" s="282" t="str">
        <f ca="1">IFERROR(__xludf.DUMMYFUNCTION("""COMPUTED_VALUE"""),"=IF(OR(REGEXMATCH(FORMULATEXT(U106);""HMOD"");NOT(P_Q&gt;0));0;U106)+IF(OR(REGEXMATCH(FORMULATEXT(V106);""HMOD"");NOT(P_W&gt;0));0;V106)+IF(OR(REGEXMATCH(FORMULATEXT(W106);""HMOD"");NOT(P_E&gt;0));0;W106)+IF(OR(REGEXMATCH(FORMULATEXT(X106);""HMOD"");NOT(P_R&gt;0));0;"&amp;"X106)+IF(REGEXMATCH(FORMULATEXT(Y106);""HMOD"");0;Y106)+Self_Proc_Item+Self_Proc_Summ+Self_Proc_Rune+3*Self_DPS")</f>
        <v>=IF(OR(REGEXMATCH(FORMULATEXT(U106);"HMOD");NOT(P_Q&gt;0));0;U106)+IF(OR(REGEXMATCH(FORMULATEXT(V106);"HMOD");NOT(P_W&gt;0));0;V106)+IF(OR(REGEXMATCH(FORMULATEXT(W106);"HMOD");NOT(P_E&gt;0));0;W106)+IF(OR(REGEXMATCH(FORMULATEXT(X106);"HMOD");NOT(P_R&gt;0));0;X106)+IF(REGEXMATCH(FORMULATEXT(Y106);"HMOD");0;Y106)+Self_Proc_Item+Self_Proc_Summ+Self_Proc_Rune+3*Self_DPS</v>
      </c>
      <c r="AH106" s="282" t="str">
        <f ca="1">IFERROR(__xludf.DUMMYFUNCTION("""COMPUTED_VALUE"""),"=0")</f>
        <v>=0</v>
      </c>
      <c r="AI106" s="282" t="b">
        <f ca="1">IFERROR(__xludf.DUMMYFUNCTION("""COMPUTED_VALUE"""),FALSE)</f>
        <v>0</v>
      </c>
      <c r="AJ106" s="283" t="b">
        <f ca="1">IFERROR(__xludf.DUMMYFUNCTION("""COMPUTED_VALUE"""),FALSE)</f>
        <v>0</v>
      </c>
    </row>
    <row r="107" spans="1:36">
      <c r="A107" s="267" t="str">
        <f ca="1">IFERROR(__xludf.DUMMYFUNCTION("""COMPUTED_VALUE"""),"Senna")</f>
        <v>Senna</v>
      </c>
      <c r="B107" s="287" t="str">
        <f ca="1">IFERROR(__xludf.DUMMYFUNCTION("""COMPUTED_VALUE"""),"=530")</f>
        <v>=530</v>
      </c>
      <c r="C107" s="287" t="str">
        <f ca="1">IFERROR(__xludf.DUMMYFUNCTION("""COMPUTED_VALUE"""),"=89")</f>
        <v>=89</v>
      </c>
      <c r="D107" s="288" t="str">
        <f ca="1">IFERROR(__xludf.DUMMYFUNCTION("""COMPUTED_VALUE"""),"=3,5")</f>
        <v>=3,5</v>
      </c>
      <c r="E107" s="289" t="str">
        <f ca="1">IFERROR(__xludf.DUMMYFUNCTION("""COMPUTED_VALUE"""),"=0,55")</f>
        <v>=0,55</v>
      </c>
      <c r="F107" s="288" t="str">
        <f ca="1">IFERROR(__xludf.DUMMYFUNCTION("""COMPUTED_VALUE"""),"=350")</f>
        <v>=350</v>
      </c>
      <c r="G107" s="288" t="str">
        <f ca="1">IFERROR(__xludf.DUMMYFUNCTION("""COMPUTED_VALUE"""),"=45")</f>
        <v>=45</v>
      </c>
      <c r="H107" s="288" t="str">
        <f ca="1">IFERROR(__xludf.DUMMYFUNCTION("""COMPUTED_VALUE"""),"=12")</f>
        <v>=12</v>
      </c>
      <c r="I107" s="289" t="str">
        <f ca="1">IFERROR(__xludf.DUMMYFUNCTION("""COMPUTED_VALUE"""),"=0,7")</f>
        <v>=0,7</v>
      </c>
      <c r="J107" s="290" t="str">
        <f ca="1">IFERROR(__xludf.DUMMYFUNCTION("""COMPUTED_VALUE"""),"=50")</f>
        <v>=50</v>
      </c>
      <c r="K107" s="288" t="str">
        <f ca="1">IFERROR(__xludf.DUMMYFUNCTION("""COMPUTED_VALUE"""),"=0")</f>
        <v>=0</v>
      </c>
      <c r="L107" s="291" t="str">
        <f ca="1">IFERROR(__xludf.DUMMYFUNCTION("""COMPUTED_VALUE"""),"=0,625")</f>
        <v>=0,625</v>
      </c>
      <c r="M107" s="291" t="str">
        <f ca="1">IFERROR(__xludf.DUMMYFUNCTION("""COMPUTED_VALUE"""),"=0,4")</f>
        <v>=0,4</v>
      </c>
      <c r="N107" s="292" t="str">
        <f ca="1">IFERROR(__xludf.DUMMYFUNCTION("""COMPUTED_VALUE"""),"=4%")</f>
        <v>=4%</v>
      </c>
      <c r="O107" s="287" t="str">
        <f ca="1">IFERROR(__xludf.DUMMYFUNCTION("""COMPUTED_VALUE"""),"=28")</f>
        <v>=28</v>
      </c>
      <c r="P107" s="287" t="str">
        <f ca="1">IFERROR(__xludf.DUMMYFUNCTION("""COMPUTED_VALUE"""),"=4,7")</f>
        <v>=4,7</v>
      </c>
      <c r="Q107" s="288" t="str">
        <f ca="1">IFERROR(__xludf.DUMMYFUNCTION("""COMPUTED_VALUE"""),"=30")</f>
        <v>=30</v>
      </c>
      <c r="R107" s="289" t="str">
        <f ca="1">IFERROR(__xludf.DUMMYFUNCTION("""COMPUTED_VALUE"""),"=1,3")</f>
        <v>=1,3</v>
      </c>
      <c r="S107" s="287" t="str">
        <f ca="1">IFERROR(__xludf.DUMMYFUNCTION("""COMPUTED_VALUE"""),"=330")</f>
        <v>=330</v>
      </c>
      <c r="T107" s="628" t="str">
        <f ca="1">IFERROR(__xludf.DUMMYFUNCTION("""COMPUTED_VALUE"""),"=600 + 20 * ROUNDDOWN(Minion / 20)")</f>
        <v>=600 + 20 * ROUNDDOWN(Minion / 20)</v>
      </c>
      <c r="U107" s="298" t="str">
        <f ca="1">IFERROR(__xludf.DUMMYFUNCTION("""COMPUTED_VALUE"""),"=(-5 + 35 * P_Q + 0,5 * Self_BoAD) * MOD_Phys + OH_Phys + OH_Magic")</f>
        <v>=(-5 + 35 * P_Q + 0,5 * Self_BoAD) * MOD_Phys + OH_Phys + OH_Magic</v>
      </c>
      <c r="V107" s="299" t="str">
        <f ca="1">IFERROR(__xludf.DUMMYFUNCTION("""COMPUTED_VALUE"""),"=(25+45*P_W+0,7*Self_BoAD)*MOD_Phys")</f>
        <v>=(25+45*P_W+0,7*Self_BoAD)*MOD_Phys</v>
      </c>
      <c r="W107" s="299" t="str">
        <f ca="1">IFERROR(__xludf.DUMMYFUNCTION("""COMPUTED_VALUE"""),"=0")</f>
        <v>=0</v>
      </c>
      <c r="X107" s="299" t="str">
        <f ca="1">IFERROR(__xludf.DUMMYFUNCTION("""COMPUTED_VALUE"""),"=(100 + 150 * P_R + 1,15 * Self_AD + 0,7 * Self_AP) * MOD_Phys")</f>
        <v>=(100 + 150 * P_R + 1,15 * Self_AD + 0,7 * Self_AP) * MOD_Phys</v>
      </c>
      <c r="Y107" s="300" t="str">
        <f ca="1">IFERROR(__xludf.DUMMYFUNCTION("""COMPUTED_VALUE"""),"=IF(Self_Level &gt; 10; 0,1; 0,01*Self_Level + 0,1) * E_CHPV * MOD_Phys")</f>
        <v>=IF(Self_Level &gt; 10; 0,1; 0,01*Self_Level + 0,1) * E_CHPV * MOD_Phys</v>
      </c>
      <c r="Z107" s="281" t="str">
        <f ca="1">IFERROR(__xludf.DUMMYFUNCTION("""COMPUTED_VALUE"""),"=15")</f>
        <v>=15</v>
      </c>
      <c r="AA107" s="282" t="str">
        <f ca="1">IFERROR(__xludf.DUMMYFUNCTION("""COMPUTED_VALUE"""),"=11")</f>
        <v>=11</v>
      </c>
      <c r="AB107" s="282" t="str">
        <f ca="1">IFERROR(__xludf.DUMMYFUNCTION("""COMPUTED_VALUE"""),"=27,5-1,5*P_E")</f>
        <v>=27,5-1,5*P_E</v>
      </c>
      <c r="AC107" s="282" t="str">
        <f ca="1">IFERROR(__xludf.DUMMYFUNCTION("""COMPUTED_VALUE"""),"=160 - 20 * P_R")</f>
        <v>=160 - 20 * P_R</v>
      </c>
      <c r="AD107" s="283" t="str">
        <f ca="1">IFERROR(__xludf.DUMMYFUNCTION("""COMPUTED_VALUE"""),"=4")</f>
        <v>=4</v>
      </c>
      <c r="AE107" s="281" t="b">
        <f ca="1">IFERROR(__xludf.DUMMYFUNCTION("""COMPUTED_VALUE"""),FALSE)</f>
        <v>0</v>
      </c>
      <c r="AF107" s="282" t="str">
        <f ca="1">IFERROR(__xludf.DUMMYFUNCTION("""COMPUTED_VALUE"""),"=Image(""https://ddragon.leagueoflegends.com/cdn/11.19.1/img/champion/Senna.png"")")</f>
        <v>=Image("https://ddragon.leagueoflegends.com/cdn/11.19.1/img/champion/Senna.png")</v>
      </c>
      <c r="AG107" s="282" t="str">
        <f ca="1">IFERROR(__xludf.DUMMYFUNCTION("""COMPUTED_VALUE"""),"=IF(OR(REGEXMATCH(FORMULATEXT(U107);""HMOD"");NOT(P_Q&gt;0));0;U107)+IF(OR(REGEXMATCH(FORMULATEXT(V107);""HMOD"");NOT(P_W&gt;0));0;V107)+IF(OR(REGEXMATCH(FORMULATEXT(W107);""HMOD"");NOT(P_E&gt;0));0;W107)+IF(OR(REGEXMATCH(FORMULATEXT(X107);""HMOD"");NOT(P_R&gt;0));0;"&amp;"X107)+IF(REGEXMATCH(FORMULATEXT(Y107);""HMOD"");0;Y107)+Self_Proc_Item+Self_Proc_Summ+Self_Proc_Rune+3*Self_DPS")</f>
        <v>=IF(OR(REGEXMATCH(FORMULATEXT(U107);"HMOD");NOT(P_Q&gt;0));0;U107)+IF(OR(REGEXMATCH(FORMULATEXT(V107);"HMOD");NOT(P_W&gt;0));0;V107)+IF(OR(REGEXMATCH(FORMULATEXT(W107);"HMOD");NOT(P_E&gt;0));0;W107)+IF(OR(REGEXMATCH(FORMULATEXT(X107);"HMOD");NOT(P_R&gt;0));0;X107)+IF(REGEXMATCH(FORMULATEXT(Y107);"HMOD");0;Y107)+Self_Proc_Item+Self_Proc_Summ+Self_Proc_Rune+3*Self_DPS</v>
      </c>
      <c r="AH107" s="282" t="str">
        <f ca="1">IFERROR(__xludf.DUMMYFUNCTION("""COMPUTED_VALUE"""),"=0")</f>
        <v>=0</v>
      </c>
      <c r="AI107" s="282" t="b">
        <f ca="1">IFERROR(__xludf.DUMMYFUNCTION("""COMPUTED_VALUE"""),FALSE)</f>
        <v>0</v>
      </c>
      <c r="AJ107" s="283" t="b">
        <f ca="1">IFERROR(__xludf.DUMMYFUNCTION("""COMPUTED_VALUE"""),FALSE)</f>
        <v>0</v>
      </c>
    </row>
    <row r="108" spans="1:36">
      <c r="A108" s="267" t="str">
        <f ca="1">IFERROR(__xludf.DUMMYFUNCTION("""COMPUTED_VALUE"""),"Seraphine")</f>
        <v>Seraphine</v>
      </c>
      <c r="B108" s="287" t="str">
        <f ca="1">IFERROR(__xludf.DUMMYFUNCTION("""COMPUTED_VALUE"""),"=570")</f>
        <v>=570</v>
      </c>
      <c r="C108" s="287" t="str">
        <f ca="1">IFERROR(__xludf.DUMMYFUNCTION("""COMPUTED_VALUE"""),"=104")</f>
        <v>=104</v>
      </c>
      <c r="D108" s="288" t="str">
        <f ca="1">IFERROR(__xludf.DUMMYFUNCTION("""COMPUTED_VALUE"""),"=6,5")</f>
        <v>=6,5</v>
      </c>
      <c r="E108" s="289" t="str">
        <f ca="1">IFERROR(__xludf.DUMMYFUNCTION("""COMPUTED_VALUE"""),"=0,6")</f>
        <v>=0,6</v>
      </c>
      <c r="F108" s="288" t="str">
        <f ca="1">IFERROR(__xludf.DUMMYFUNCTION("""COMPUTED_VALUE"""),"=440")</f>
        <v>=440</v>
      </c>
      <c r="G108" s="288" t="str">
        <f ca="1">IFERROR(__xludf.DUMMYFUNCTION("""COMPUTED_VALUE"""),"=40")</f>
        <v>=40</v>
      </c>
      <c r="H108" s="288" t="str">
        <f ca="1">IFERROR(__xludf.DUMMYFUNCTION("""COMPUTED_VALUE"""),"=8")</f>
        <v>=8</v>
      </c>
      <c r="I108" s="289" t="str">
        <f ca="1">IFERROR(__xludf.DUMMYFUNCTION("""COMPUTED_VALUE"""),"=1")</f>
        <v>=1</v>
      </c>
      <c r="J108" s="290" t="str">
        <f ca="1">IFERROR(__xludf.DUMMYFUNCTION("""COMPUTED_VALUE"""),"=50")</f>
        <v>=50</v>
      </c>
      <c r="K108" s="288" t="str">
        <f ca="1">IFERROR(__xludf.DUMMYFUNCTION("""COMPUTED_VALUE"""),"=3")</f>
        <v>=3</v>
      </c>
      <c r="L108" s="291" t="str">
        <f ca="1">IFERROR(__xludf.DUMMYFUNCTION("""COMPUTED_VALUE"""),"=0,669")</f>
        <v>=0,669</v>
      </c>
      <c r="M108" s="291" t="str">
        <f ca="1">IFERROR(__xludf.DUMMYFUNCTION("""COMPUTED_VALUE"""),"=0,625")</f>
        <v>=0,625</v>
      </c>
      <c r="N108" s="292" t="str">
        <f ca="1">IFERROR(__xludf.DUMMYFUNCTION("""COMPUTED_VALUE"""),"=1%")</f>
        <v>=1%</v>
      </c>
      <c r="O108" s="287" t="str">
        <f ca="1">IFERROR(__xludf.DUMMYFUNCTION("""COMPUTED_VALUE"""),"=19")</f>
        <v>=19</v>
      </c>
      <c r="P108" s="287" t="str">
        <f ca="1">IFERROR(__xludf.DUMMYFUNCTION("""COMPUTED_VALUE"""),"=4,2")</f>
        <v>=4,2</v>
      </c>
      <c r="Q108" s="288" t="str">
        <f ca="1">IFERROR(__xludf.DUMMYFUNCTION("""COMPUTED_VALUE"""),"=30")</f>
        <v>=30</v>
      </c>
      <c r="R108" s="289" t="str">
        <f ca="1">IFERROR(__xludf.DUMMYFUNCTION("""COMPUTED_VALUE"""),"=1,3")</f>
        <v>=1,3</v>
      </c>
      <c r="S108" s="287" t="str">
        <f ca="1">IFERROR(__xludf.DUMMYFUNCTION("""COMPUTED_VALUE"""),"=325")</f>
        <v>=325</v>
      </c>
      <c r="T108" s="628" t="str">
        <f ca="1">IFERROR(__xludf.DUMMYFUNCTION("""COMPUTED_VALUE"""),"=525")</f>
        <v>=525</v>
      </c>
      <c r="U108" s="295" t="str">
        <f ca="1">IFERROR(__xludf.DUMMYFUNCTION("""COMPUTED_VALUE"""),"=(40+15*P_Q+(0,4+0,05*P_Q)*Self_AP)*MOD_Magic*IF(Steroid_Q;2;1)*(1+0,5*(1-(IF(E_CHP&lt;25;25;E_CHP)-25)/75))")</f>
        <v>=(40+15*P_Q+(0,4+0,05*P_Q)*Self_AP)*MOD_Magic*IF(Steroid_Q;2;1)*(1+0,5*(1-(IF(E_CHP&lt;25;25;E_CHP)-25)/75))</v>
      </c>
      <c r="V108" s="296" t="str">
        <f ca="1">IFERROR(__xludf.DUMMYFUNCTION("""COMPUTED_VALUE"""),"=(30 + 20 * P_W + 0,25 * Self_AP) * MOD_Heal * IF(Steroid_W; 2; 1) + IF(Steroid_W; ((0,045 + 0,005 * P_W + 0,00004 * Self_AP) * Self_MisHPV) * MOD_Heal; 0)")</f>
        <v>=(30 + 20 * P_W + 0,25 * Self_AP) * MOD_Heal * IF(Steroid_W; 2; 1) + IF(Steroid_W; ((0,045 + 0,005 * P_W + 0,00004 * Self_AP) * Self_MisHPV) * MOD_Heal; 0)</v>
      </c>
      <c r="W108" s="296" t="str">
        <f ca="1">IFERROR(__xludf.DUMMYFUNCTION("""COMPUTED_VALUE"""),"=(40+20*P_E+0,35*Self_AP)*MOD_Magic*IF(Steroid_E;2;1)")</f>
        <v>=(40+20*P_E+0,35*Self_AP)*MOD_Magic*IF(Steroid_E;2;1)</v>
      </c>
      <c r="X108" s="296" t="str">
        <f ca="1">IFERROR(__xludf.DUMMYFUNCTION("""COMPUTED_VALUE"""),"=(100+50*P_R+0,6*Self_AP)*MOD_Magic")</f>
        <v>=(100+50*P_R+0,6*Self_AP)*MOD_Magic</v>
      </c>
      <c r="Y108" s="297" t="str">
        <f ca="1">IFERROR(__xludf.DUMMYFUNCTION("""COMPUTED_VALUE"""),"=(IF(Self_Level &gt;= 16; 24; IF(Self_Level &gt;= 11; 14; IF(Self_Level &gt;= 6; 8; 4))) + (0,07 * Self_AP)) * MOD_Magic * IF(Steroid_P; 6; 1)")</f>
        <v>=(IF(Self_Level &gt;= 16; 24; IF(Self_Level &gt;= 11; 14; IF(Self_Level &gt;= 6; 8; 4))) + (0,07 * Self_AP)) * MOD_Magic * IF(Steroid_P; 6; 1)</v>
      </c>
      <c r="Z108" s="281" t="str">
        <f ca="1">IFERROR(__xludf.DUMMYFUNCTION("""COMPUTED_VALUE"""),"=11,25-1,25*P_Q")</f>
        <v>=11,25-1,25*P_Q</v>
      </c>
      <c r="AA108" s="282" t="str">
        <f ca="1">IFERROR(__xludf.DUMMYFUNCTION("""COMPUTED_VALUE"""),"=30 - 2 * P_W")</f>
        <v>=30 - 2 * P_W</v>
      </c>
      <c r="AB108" s="282" t="str">
        <f ca="1">IFERROR(__xludf.DUMMYFUNCTION("""COMPUTED_VALUE"""),"=10")</f>
        <v>=10</v>
      </c>
      <c r="AC108" s="282" t="str">
        <f ca="1">IFERROR(__xludf.DUMMYFUNCTION("""COMPUTED_VALUE"""),"=190-30*P_R")</f>
        <v>=190-30*P_R</v>
      </c>
      <c r="AD108" s="283" t="str">
        <f ca="1">IFERROR(__xludf.DUMMYFUNCTION("""COMPUTED_VALUE"""),"=1")</f>
        <v>=1</v>
      </c>
      <c r="AE108" s="281" t="b">
        <f ca="1">IFERROR(__xludf.DUMMYFUNCTION("""COMPUTED_VALUE"""),FALSE)</f>
        <v>0</v>
      </c>
      <c r="AF108" s="282" t="str">
        <f ca="1">IFERROR(__xludf.DUMMYFUNCTION("""COMPUTED_VALUE"""),"=Image(""https://ddragon.leagueoflegends.com/cdn/11.19.1/img/champion/Seraphine.png"")")</f>
        <v>=Image("https://ddragon.leagueoflegends.com/cdn/11.19.1/img/champion/Seraphine.png")</v>
      </c>
      <c r="AG108" s="282" t="str">
        <f ca="1">IFERROR(__xludf.DUMMYFUNCTION("""COMPUTED_VALUE"""),"=IF(OR(REGEXMATCH(FORMULATEXT(U108);""HMOD"");NOT(P_Q&gt;0));0;U108)+IF(OR(REGEXMATCH(FORMULATEXT(V108);""HMOD"");NOT(P_W&gt;0));0;V108)+IF(OR(REGEXMATCH(FORMULATEXT(W108);""HMOD"");NOT(P_E&gt;0));0;W108)+IF(OR(REGEXMATCH(FORMULATEXT(X108);""HMOD"");NOT(P_R&gt;0));0;"&amp;"X108)+IF(REGEXMATCH(FORMULATEXT(Y108);""HMOD"");0;Y108)+Self_Proc_Item+Self_Proc_Summ+Self_Proc_Rune+3*Self_DPS")</f>
        <v>=IF(OR(REGEXMATCH(FORMULATEXT(U108);"HMOD");NOT(P_Q&gt;0));0;U108)+IF(OR(REGEXMATCH(FORMULATEXT(V108);"HMOD");NOT(P_W&gt;0));0;V108)+IF(OR(REGEXMATCH(FORMULATEXT(W108);"HMOD");NOT(P_E&gt;0));0;W108)+IF(OR(REGEXMATCH(FORMULATEXT(X108);"HMOD");NOT(P_R&gt;0));0;X108)+IF(REGEXMATCH(FORMULATEXT(Y108);"HMOD");0;Y108)+Self_Proc_Item+Self_Proc_Summ+Self_Proc_Rune+3*Self_DPS</v>
      </c>
      <c r="AH108" s="282" t="str">
        <f ca="1">IFERROR(__xludf.DUMMYFUNCTION("""COMPUTED_VALUE"""),"=0")</f>
        <v>=0</v>
      </c>
      <c r="AI108" s="282" t="b">
        <f ca="1">IFERROR(__xludf.DUMMYFUNCTION("""COMPUTED_VALUE"""),FALSE)</f>
        <v>0</v>
      </c>
      <c r="AJ108" s="283" t="b">
        <f ca="1">IFERROR(__xludf.DUMMYFUNCTION("""COMPUTED_VALUE"""),FALSE)</f>
        <v>0</v>
      </c>
    </row>
    <row r="109" spans="1:36">
      <c r="A109" s="267" t="str">
        <f ca="1">IFERROR(__xludf.DUMMYFUNCTION("""COMPUTED_VALUE"""),"Sett")</f>
        <v>Sett</v>
      </c>
      <c r="B109" s="287" t="str">
        <f ca="1">IFERROR(__xludf.DUMMYFUNCTION("""COMPUTED_VALUE"""),"=670")</f>
        <v>=670</v>
      </c>
      <c r="C109" s="287" t="str">
        <f ca="1">IFERROR(__xludf.DUMMYFUNCTION("""COMPUTED_VALUE"""),"=114")</f>
        <v>=114</v>
      </c>
      <c r="D109" s="288" t="str">
        <f ca="1">IFERROR(__xludf.DUMMYFUNCTION("""COMPUTED_VALUE"""),"=7")</f>
        <v>=7</v>
      </c>
      <c r="E109" s="289" t="str">
        <f ca="1">IFERROR(__xludf.DUMMYFUNCTION("""COMPUTED_VALUE"""),"=0,5")</f>
        <v>=0,5</v>
      </c>
      <c r="F109" s="288" t="str">
        <f ca="1">IFERROR(__xludf.DUMMYFUNCTION("""COMPUTED_VALUE"""),"=0")</f>
        <v>=0</v>
      </c>
      <c r="G109" s="288" t="str">
        <f ca="1">IFERROR(__xludf.DUMMYFUNCTION("""COMPUTED_VALUE"""),"=0")</f>
        <v>=0</v>
      </c>
      <c r="H109" s="288" t="str">
        <f ca="1">IFERROR(__xludf.DUMMYFUNCTION("""COMPUTED_VALUE"""),"=0")</f>
        <v>=0</v>
      </c>
      <c r="I109" s="289" t="str">
        <f ca="1">IFERROR(__xludf.DUMMYFUNCTION("""COMPUTED_VALUE"""),"=0")</f>
        <v>=0</v>
      </c>
      <c r="J109" s="290" t="str">
        <f ca="1">IFERROR(__xludf.DUMMYFUNCTION("""COMPUTED_VALUE"""),"=60")</f>
        <v>=60</v>
      </c>
      <c r="K109" s="288" t="str">
        <f ca="1">IFERROR(__xludf.DUMMYFUNCTION("""COMPUTED_VALUE"""),"=4")</f>
        <v>=4</v>
      </c>
      <c r="L109" s="291" t="str">
        <f ca="1">IFERROR(__xludf.DUMMYFUNCTION("""COMPUTED_VALUE"""),"=0,625")</f>
        <v>=0,625</v>
      </c>
      <c r="M109" s="291" t="str">
        <f ca="1">IFERROR(__xludf.DUMMYFUNCTION("""COMPUTED_VALUE"""),"=0,625")</f>
        <v>=0,625</v>
      </c>
      <c r="N109" s="292" t="str">
        <f ca="1">IFERROR(__xludf.DUMMYFUNCTION("""COMPUTED_VALUE"""),"=1,75%")</f>
        <v>=1,75%</v>
      </c>
      <c r="O109" s="287" t="str">
        <f ca="1">IFERROR(__xludf.DUMMYFUNCTION("""COMPUTED_VALUE"""),"=33")</f>
        <v>=33</v>
      </c>
      <c r="P109" s="287" t="str">
        <f ca="1">IFERROR(__xludf.DUMMYFUNCTION("""COMPUTED_VALUE"""),"=5,2")</f>
        <v>=5,2</v>
      </c>
      <c r="Q109" s="288" t="str">
        <f ca="1">IFERROR(__xludf.DUMMYFUNCTION("""COMPUTED_VALUE"""),"=28")</f>
        <v>=28</v>
      </c>
      <c r="R109" s="289" t="str">
        <f ca="1">IFERROR(__xludf.DUMMYFUNCTION("""COMPUTED_VALUE"""),"=2,05")</f>
        <v>=2,05</v>
      </c>
      <c r="S109" s="287" t="str">
        <f ca="1">IFERROR(__xludf.DUMMYFUNCTION("""COMPUTED_VALUE"""),"=340")</f>
        <v>=340</v>
      </c>
      <c r="T109" s="628" t="str">
        <f ca="1">IFERROR(__xludf.DUMMYFUNCTION("""COMPUTED_VALUE"""),"=125")</f>
        <v>=125</v>
      </c>
      <c r="U109" s="298" t="str">
        <f ca="1">IFERROR(__xludf.DUMMYFUNCTION("""COMPUTED_VALUE"""),"=(20*P_Q+2*Self_AD+(0,02+(P_Q*0,0001+0,0001)*Self_AD)*E_MHP)*MOD_Phys")</f>
        <v>=(20*P_Q+2*Self_AD+(0,02+(P_Q*0,0001+0,0001)*Self_AD)*E_MHP)*MOD_Phys</v>
      </c>
      <c r="V109" s="299" t="str">
        <f ca="1">IFERROR(__xludf.DUMMYFUNCTION("""COMPUTED_VALUE"""),"=(20 * P_W + 60 + IF(Steroid_W; (0,0025 * Self_BoAD + 0,25) * 0,5 * Self_MHP; 0)) * Calc!O10")</f>
        <v>=(20 * P_W + 60 + IF(Steroid_W; (0,0025 * Self_BoAD + 0,25) * 0,5 * Self_MHP; 0)) * Calc!O10</v>
      </c>
      <c r="W109" s="299" t="str">
        <f ca="1">IFERROR(__xludf.DUMMYFUNCTION("""COMPUTED_VALUE"""),"=(20*P_E+30+0,6*Self_AD)*MOD_Phys")</f>
        <v>=(20*P_E+30+0,6*Self_AD)*MOD_Phys</v>
      </c>
      <c r="X109" s="299" t="str">
        <f ca="1">IFERROR(__xludf.DUMMYFUNCTION("""COMPUTED_VALUE"""),"=(100 + 100 * P_R + 1,2 * Self_BoAD + (0,3 + 0,1 * P_R) * E_BoHp) * MOD_Phys")</f>
        <v>=(100 + 100 * P_R + 1,2 * Self_BoAD + (0,3 + 0,1 * P_R) * E_BoHp) * MOD_Phys</v>
      </c>
      <c r="Y109" s="300" t="str">
        <f ca="1">IFERROR(__xludf.DUMMYFUNCTION("""COMPUTED_VALUE"""),"=(5*Self_Level+0,55*Self_BoAD)*MOD_Phys")</f>
        <v>=(5*Self_Level+0,55*Self_BoAD)*MOD_Phys</v>
      </c>
      <c r="Z109" s="281" t="str">
        <f ca="1">IFERROR(__xludf.DUMMYFUNCTION("""COMPUTED_VALUE"""),"=10 - P_Q")</f>
        <v>=10 - P_Q</v>
      </c>
      <c r="AA109" s="282" t="str">
        <f ca="1">IFERROR(__xludf.DUMMYFUNCTION("""COMPUTED_VALUE"""),"=19,5-1,5*P_W")</f>
        <v>=19,5-1,5*P_W</v>
      </c>
      <c r="AB109" s="282" t="str">
        <f ca="1">IFERROR(__xludf.DUMMYFUNCTION("""COMPUTED_VALUE"""),"=17,5-1,5*P_E")</f>
        <v>=17,5-1,5*P_E</v>
      </c>
      <c r="AC109" s="282" t="str">
        <f ca="1">IFERROR(__xludf.DUMMYFUNCTION("""COMPUTED_VALUE"""),"=140 - 20 * P_R")</f>
        <v>=140 - 20 * P_R</v>
      </c>
      <c r="AD109" s="283" t="str">
        <f ca="1">IFERROR(__xludf.DUMMYFUNCTION("""COMPUTED_VALUE"""),"=1")</f>
        <v>=1</v>
      </c>
      <c r="AE109" s="281" t="b">
        <f ca="1">IFERROR(__xludf.DUMMYFUNCTION("""COMPUTED_VALUE"""),TRUE)</f>
        <v>1</v>
      </c>
      <c r="AF109" s="282" t="str">
        <f ca="1">IFERROR(__xludf.DUMMYFUNCTION("""COMPUTED_VALUE"""),"=Image(""https://ddragon.leagueoflegends.com/cdn/11.19.1/img/champion/Sett.png"")")</f>
        <v>=Image("https://ddragon.leagueoflegends.com/cdn/11.19.1/img/champion/Sett.png")</v>
      </c>
      <c r="AG109" s="282" t="str">
        <f ca="1">IFERROR(__xludf.DUMMYFUNCTION("""COMPUTED_VALUE"""),"=IF(OR(REGEXMATCH(FORMULATEXT(U109);""HMOD"");NOT(P_Q&gt;0));0;U109)+IF(OR(REGEXMATCH(FORMULATEXT(V109);""HMOD"");NOT(P_W&gt;0));0;V109)+IF(OR(REGEXMATCH(FORMULATEXT(W109);""HMOD"");NOT(P_E&gt;0));0;W109)+IF(OR(REGEXMATCH(FORMULATEXT(X109);""HMOD"");NOT(P_R&gt;0));0;"&amp;"X109)+IF(REGEXMATCH(FORMULATEXT(Y109);""HMOD"");0;Y109)+Self_Proc_Item+Self_Proc_Summ+Self_Proc_Rune+3*Self_DPS")</f>
        <v>=IF(OR(REGEXMATCH(FORMULATEXT(U109);"HMOD");NOT(P_Q&gt;0));0;U109)+IF(OR(REGEXMATCH(FORMULATEXT(V109);"HMOD");NOT(P_W&gt;0));0;V109)+IF(OR(REGEXMATCH(FORMULATEXT(W109);"HMOD");NOT(P_E&gt;0));0;W109)+IF(OR(REGEXMATCH(FORMULATEXT(X109);"HMOD");NOT(P_R&gt;0));0;X109)+IF(REGEXMATCH(FORMULATEXT(Y109);"HMOD");0;Y109)+Self_Proc_Item+Self_Proc_Summ+Self_Proc_Rune+3*Self_DPS</v>
      </c>
      <c r="AH109" s="282" t="str">
        <f ca="1">IFERROR(__xludf.DUMMYFUNCTION("""COMPUTED_VALUE"""),"=0")</f>
        <v>=0</v>
      </c>
      <c r="AI109" s="282" t="b">
        <f ca="1">IFERROR(__xludf.DUMMYFUNCTION("""COMPUTED_VALUE"""),FALSE)</f>
        <v>0</v>
      </c>
      <c r="AJ109" s="283" t="b">
        <f ca="1">IFERROR(__xludf.DUMMYFUNCTION("""COMPUTED_VALUE"""),TRUE)</f>
        <v>1</v>
      </c>
    </row>
    <row r="110" spans="1:36">
      <c r="A110" s="267" t="str">
        <f ca="1">IFERROR(__xludf.DUMMYFUNCTION("""COMPUTED_VALUE"""),"Shaco")</f>
        <v>Shaco</v>
      </c>
      <c r="B110" s="287" t="str">
        <f ca="1">IFERROR(__xludf.DUMMYFUNCTION("""COMPUTED_VALUE"""),"=630")</f>
        <v>=630</v>
      </c>
      <c r="C110" s="287" t="str">
        <f ca="1">IFERROR(__xludf.DUMMYFUNCTION("""COMPUTED_VALUE"""),"=99")</f>
        <v>=99</v>
      </c>
      <c r="D110" s="288" t="str">
        <f ca="1">IFERROR(__xludf.DUMMYFUNCTION("""COMPUTED_VALUE"""),"=8,5")</f>
        <v>=8,5</v>
      </c>
      <c r="E110" s="289" t="str">
        <f ca="1">IFERROR(__xludf.DUMMYFUNCTION("""COMPUTED_VALUE"""),"=0,55")</f>
        <v>=0,55</v>
      </c>
      <c r="F110" s="288" t="str">
        <f ca="1">IFERROR(__xludf.DUMMYFUNCTION("""COMPUTED_VALUE"""),"=297")</f>
        <v>=297</v>
      </c>
      <c r="G110" s="288" t="str">
        <f ca="1">IFERROR(__xludf.DUMMYFUNCTION("""COMPUTED_VALUE"""),"=40")</f>
        <v>=40</v>
      </c>
      <c r="H110" s="288" t="str">
        <f ca="1">IFERROR(__xludf.DUMMYFUNCTION("""COMPUTED_VALUE"""),"=7,2")</f>
        <v>=7,2</v>
      </c>
      <c r="I110" s="289" t="str">
        <f ca="1">IFERROR(__xludf.DUMMYFUNCTION("""COMPUTED_VALUE"""),"=0,45")</f>
        <v>=0,45</v>
      </c>
      <c r="J110" s="290" t="str">
        <f ca="1">IFERROR(__xludf.DUMMYFUNCTION("""COMPUTED_VALUE"""),"=63")</f>
        <v>=63</v>
      </c>
      <c r="K110" s="288" t="str">
        <f ca="1">IFERROR(__xludf.DUMMYFUNCTION("""COMPUTED_VALUE"""),"=3")</f>
        <v>=3</v>
      </c>
      <c r="L110" s="291" t="str">
        <f ca="1">IFERROR(__xludf.DUMMYFUNCTION("""COMPUTED_VALUE"""),"=0,694")</f>
        <v>=0,694</v>
      </c>
      <c r="M110" s="291" t="str">
        <f ca="1">IFERROR(__xludf.DUMMYFUNCTION("""COMPUTED_VALUE"""),"=0,694")</f>
        <v>=0,694</v>
      </c>
      <c r="N110" s="292" t="str">
        <f ca="1">IFERROR(__xludf.DUMMYFUNCTION("""COMPUTED_VALUE"""),"=3%")</f>
        <v>=3%</v>
      </c>
      <c r="O110" s="287" t="str">
        <f ca="1">IFERROR(__xludf.DUMMYFUNCTION("""COMPUTED_VALUE"""),"=30")</f>
        <v>=30</v>
      </c>
      <c r="P110" s="287" t="str">
        <f ca="1">IFERROR(__xludf.DUMMYFUNCTION("""COMPUTED_VALUE"""),"=4")</f>
        <v>=4</v>
      </c>
      <c r="Q110" s="288" t="str">
        <f ca="1">IFERROR(__xludf.DUMMYFUNCTION("""COMPUTED_VALUE"""),"=32")</f>
        <v>=32</v>
      </c>
      <c r="R110" s="289" t="str">
        <f ca="1">IFERROR(__xludf.DUMMYFUNCTION("""COMPUTED_VALUE"""),"=2,05")</f>
        <v>=2,05</v>
      </c>
      <c r="S110" s="287" t="str">
        <f ca="1">IFERROR(__xludf.DUMMYFUNCTION("""COMPUTED_VALUE"""),"=345")</f>
        <v>=345</v>
      </c>
      <c r="T110" s="628" t="str">
        <f ca="1">IFERROR(__xludf.DUMMYFUNCTION("""COMPUTED_VALUE"""),"=125")</f>
        <v>=125</v>
      </c>
      <c r="U110" s="295" t="str">
        <f ca="1">IFERROR(__xludf.DUMMYFUNCTION("""COMPUTED_VALUE"""),"=(10 * P_Q + 15 + 0,5 * Self_BoAD + IF(Steroid_Q; (0,15 * Self_BoAD + 10 + Sc_Lin * 15); 0)) * MOD_Phys * IF(Steroid_Q; IF(1 + Self_Crit * (Self_CritDMG - 1) &gt; 1,4; 1 + Self_Crit * (Self_CritDMG - 1); 1,4 + IT_CDMG); 1)")</f>
        <v>=(10 * P_Q + 15 + 0,5 * Self_BoAD + IF(Steroid_Q; (0,15 * Self_BoAD + 10 + Sc_Lin * 15); 0)) * MOD_Phys * IF(Steroid_Q; IF(1 + Self_Crit * (Self_CritDMG - 1) &gt; 1,4; 1 + Self_Crit * (Self_CritDMG - 1); 1,4 + IT_CDMG); 1)</v>
      </c>
      <c r="V110" s="296" t="str">
        <f ca="1">IFERROR(__xludf.DUMMYFUNCTION("""COMPUTED_VALUE"""),"=(0,24 * Self_AP+15*P_W+10)*MOD_Magic*IF(Steroid_W;10;1)")</f>
        <v>=(0,24 * Self_AP+15*P_W+10)*MOD_Magic*IF(Steroid_W;10;1)</v>
      </c>
      <c r="W110" s="296" t="str">
        <f ca="1">IFERROR(__xludf.DUMMYFUNCTION("""COMPUTED_VALUE"""),"=(25 * P_E + 45 + 0,6 * Self_AP + 0,8 * Self_BoAD + IF(Steroid_E; 15 + Sc_Lin * 35 + 0,1 * Self_AP)) * MOD_Magic * IF(E_CHP &lt;= 30; 1,5; 1)")</f>
        <v>=(25 * P_E + 45 + 0,6 * Self_AP + 0,8 * Self_BoAD + IF(Steroid_E; 15 + Sc_Lin * 35 + 0,1 * Self_AP)) * MOD_Magic * IF(E_CHP &lt;= 30; 1,5; 1)</v>
      </c>
      <c r="X110" s="296" t="str">
        <f ca="1">IFERROR(__xludf.DUMMYFUNCTION("""COMPUTED_VALUE"""),"=(0,7*Self_AP+75+75*P_R)*MOD_Magic")</f>
        <v>=(0,7*Self_AP+75+75*P_R)*MOD_Magic</v>
      </c>
      <c r="Y110" s="297" t="str">
        <f ca="1">IFERROR(__xludf.DUMMYFUNCTION("""COMPUTED_VALUE"""),"=(0,25 * Self_BoAD + 20 + Sc_Lin * 15)*MOD_Phys")</f>
        <v>=(0,25 * Self_BoAD + 20 + Sc_Lin * 15)*MOD_Phys</v>
      </c>
      <c r="Z110" s="281" t="str">
        <f ca="1">IFERROR(__xludf.DUMMYFUNCTION("""COMPUTED_VALUE"""),"=12,5-0,5*P_Q")</f>
        <v>=12,5-0,5*P_Q</v>
      </c>
      <c r="AA110" s="282" t="str">
        <f ca="1">IFERROR(__xludf.DUMMYFUNCTION("""COMPUTED_VALUE"""),"=15")</f>
        <v>=15</v>
      </c>
      <c r="AB110" s="282" t="str">
        <f ca="1">IFERROR(__xludf.DUMMYFUNCTION("""COMPUTED_VALUE"""),"=8")</f>
        <v>=8</v>
      </c>
      <c r="AC110" s="282" t="str">
        <f ca="1">IFERROR(__xludf.DUMMYFUNCTION("""COMPUTED_VALUE"""),"=110 - 10 * P_R")</f>
        <v>=110 - 10 * P_R</v>
      </c>
      <c r="AD110" s="283" t="str">
        <f ca="1">IFERROR(__xludf.DUMMYFUNCTION("""COMPUTED_VALUE"""),"=3")</f>
        <v>=3</v>
      </c>
      <c r="AE110" s="281" t="b">
        <f ca="1">IFERROR(__xludf.DUMMYFUNCTION("""COMPUTED_VALUE"""),TRUE)</f>
        <v>1</v>
      </c>
      <c r="AF110" s="282" t="str">
        <f ca="1">IFERROR(__xludf.DUMMYFUNCTION("""COMPUTED_VALUE"""),"=Image(""https://ddragon.leagueoflegends.com/cdn/11.19.1/img/champion/Shaco.png"")")</f>
        <v>=Image("https://ddragon.leagueoflegends.com/cdn/11.19.1/img/champion/Shaco.png")</v>
      </c>
      <c r="AG110" s="282" t="str">
        <f ca="1">IFERROR(__xludf.DUMMYFUNCTION("""COMPUTED_VALUE"""),"=IF(OR(REGEXMATCH(FORMULATEXT(U110);""HMOD"");NOT(P_Q&gt;0));0;U110)+IF(OR(REGEXMATCH(FORMULATEXT(V110);""HMOD"");NOT(P_W&gt;0));0;V110)+IF(OR(REGEXMATCH(FORMULATEXT(W110);""HMOD"");NOT(P_E&gt;0));0;W110)+IF(OR(REGEXMATCH(FORMULATEXT(X110);""HMOD"");NOT(P_R&gt;0));0;"&amp;"X110)+IF(REGEXMATCH(FORMULATEXT(Y110);""HMOD"");0;Y110)+Self_Proc_Item+Self_Proc_Summ+Self_Proc_Rune+3*Self_DPS")</f>
        <v>=IF(OR(REGEXMATCH(FORMULATEXT(U110);"HMOD");NOT(P_Q&gt;0));0;U110)+IF(OR(REGEXMATCH(FORMULATEXT(V110);"HMOD");NOT(P_W&gt;0));0;V110)+IF(OR(REGEXMATCH(FORMULATEXT(W110);"HMOD");NOT(P_E&gt;0));0;W110)+IF(OR(REGEXMATCH(FORMULATEXT(X110);"HMOD");NOT(P_R&gt;0));0;X110)+IF(REGEXMATCH(FORMULATEXT(Y110);"HMOD");0;Y110)+Self_Proc_Item+Self_Proc_Summ+Self_Proc_Rune+3*Self_DPS</v>
      </c>
      <c r="AH110" s="282" t="str">
        <f ca="1">IFERROR(__xludf.DUMMYFUNCTION("""COMPUTED_VALUE"""),"=0")</f>
        <v>=0</v>
      </c>
      <c r="AI110" s="282" t="b">
        <f ca="1">IFERROR(__xludf.DUMMYFUNCTION("""COMPUTED_VALUE"""),FALSE)</f>
        <v>0</v>
      </c>
      <c r="AJ110" s="283" t="b">
        <f ca="1">IFERROR(__xludf.DUMMYFUNCTION("""COMPUTED_VALUE"""),FALSE)</f>
        <v>0</v>
      </c>
    </row>
    <row r="111" spans="1:36">
      <c r="A111" s="267" t="str">
        <f ca="1">IFERROR(__xludf.DUMMYFUNCTION("""COMPUTED_VALUE"""),"Shen")</f>
        <v>Shen</v>
      </c>
      <c r="B111" s="287" t="str">
        <f ca="1">IFERROR(__xludf.DUMMYFUNCTION("""COMPUTED_VALUE"""),"=610")</f>
        <v>=610</v>
      </c>
      <c r="C111" s="287" t="str">
        <f ca="1">IFERROR(__xludf.DUMMYFUNCTION("""COMPUTED_VALUE"""),"=99")</f>
        <v>=99</v>
      </c>
      <c r="D111" s="288" t="str">
        <f ca="1">IFERROR(__xludf.DUMMYFUNCTION("""COMPUTED_VALUE"""),"=8,5")</f>
        <v>=8,5</v>
      </c>
      <c r="E111" s="289" t="str">
        <f ca="1">IFERROR(__xludf.DUMMYFUNCTION("""COMPUTED_VALUE"""),"=0,75")</f>
        <v>=0,75</v>
      </c>
      <c r="F111" s="288" t="str">
        <f ca="1">IFERROR(__xludf.DUMMYFUNCTION("""COMPUTED_VALUE"""),"=400")</f>
        <v>=400</v>
      </c>
      <c r="G111" s="288" t="str">
        <f ca="1">IFERROR(__xludf.DUMMYFUNCTION("""COMPUTED_VALUE"""),"=0")</f>
        <v>=0</v>
      </c>
      <c r="H111" s="288" t="str">
        <f ca="1">IFERROR(__xludf.DUMMYFUNCTION("""COMPUTED_VALUE"""),"=50")</f>
        <v>=50</v>
      </c>
      <c r="I111" s="289" t="str">
        <f ca="1">IFERROR(__xludf.DUMMYFUNCTION("""COMPUTED_VALUE"""),"=0")</f>
        <v>=0</v>
      </c>
      <c r="J111" s="290" t="str">
        <f ca="1">IFERROR(__xludf.DUMMYFUNCTION("""COMPUTED_VALUE"""),"=60")</f>
        <v>=60</v>
      </c>
      <c r="K111" s="288" t="str">
        <f ca="1">IFERROR(__xludf.DUMMYFUNCTION("""COMPUTED_VALUE"""),"=3")</f>
        <v>=3</v>
      </c>
      <c r="L111" s="291" t="str">
        <f ca="1">IFERROR(__xludf.DUMMYFUNCTION("""COMPUTED_VALUE"""),"=0,751")</f>
        <v>=0,751</v>
      </c>
      <c r="M111" s="291" t="str">
        <f ca="1">IFERROR(__xludf.DUMMYFUNCTION("""COMPUTED_VALUE"""),"=0,651")</f>
        <v>=0,651</v>
      </c>
      <c r="N111" s="292" t="str">
        <f ca="1">IFERROR(__xludf.DUMMYFUNCTION("""COMPUTED_VALUE"""),"=3%")</f>
        <v>=3%</v>
      </c>
      <c r="O111" s="287" t="str">
        <f ca="1">IFERROR(__xludf.DUMMYFUNCTION("""COMPUTED_VALUE"""),"=34")</f>
        <v>=34</v>
      </c>
      <c r="P111" s="287" t="str">
        <f ca="1">IFERROR(__xludf.DUMMYFUNCTION("""COMPUTED_VALUE"""),"=4,2")</f>
        <v>=4,2</v>
      </c>
      <c r="Q111" s="288" t="str">
        <f ca="1">IFERROR(__xludf.DUMMYFUNCTION("""COMPUTED_VALUE"""),"=32")</f>
        <v>=32</v>
      </c>
      <c r="R111" s="289" t="str">
        <f ca="1">IFERROR(__xludf.DUMMYFUNCTION("""COMPUTED_VALUE"""),"=2,05")</f>
        <v>=2,05</v>
      </c>
      <c r="S111" s="287" t="str">
        <f ca="1">IFERROR(__xludf.DUMMYFUNCTION("""COMPUTED_VALUE"""),"=340")</f>
        <v>=340</v>
      </c>
      <c r="T111" s="628" t="str">
        <f ca="1">IFERROR(__xludf.DUMMYFUNCTION("""COMPUTED_VALUE"""),"=125")</f>
        <v>=125</v>
      </c>
      <c r="U111" s="298" t="str">
        <f ca="1">IFERROR(__xludf.DUMMYFUNCTION("""COMPUTED_VALUE"""),"=IF(Steroid_Q;(ROUNDDOWN((Self_Level - 1) / 3) * 18 + 30 + (0,105 + 0,015 * P_Q + 0,0006 * Self_AP) * E_MHP) * MOD_Magic; (ROUNDDOWN((Self_Level - 1) / 3) * 18 + 30 + (0,045 + 0,015 * P_Q + 0,00045 * Self_AP) * E_MHP) * MOD_Magic) + Self_HitDmg * 3")</f>
        <v>=IF(Steroid_Q;(ROUNDDOWN((Self_Level - 1) / 3) * 18 + 30 + (0,105 + 0,015 * P_Q + 0,0006 * Self_AP) * E_MHP) * MOD_Magic; (ROUNDDOWN((Self_Level - 1) / 3) * 18 + 30 + (0,045 + 0,015 * P_Q + 0,00045 * Self_AP) * E_MHP) * MOD_Magic) + Self_HitDmg * 3</v>
      </c>
      <c r="V111" s="299" t="str">
        <f ca="1">IFERROR(__xludf.DUMMYFUNCTION("""COMPUTED_VALUE"""),"=0")</f>
        <v>=0</v>
      </c>
      <c r="W111" s="299" t="str">
        <f ca="1">IFERROR(__xludf.DUMMYFUNCTION("""COMPUTED_VALUE"""),"=(35+25*P_E+0,15*Self_BoHP)*MOD_Phys")</f>
        <v>=(35+25*P_E+0,15*Self_BoHP)*MOD_Phys</v>
      </c>
      <c r="X111" s="299" t="str">
        <f ca="1">IFERROR(__xludf.DUMMYFUNCTION("""COMPUTED_VALUE"""),"=(160 * P_R + 1,35 * Self_AP + 0,16 * Self_BoHP - 30) * MOD_Heal * IF(Steroid_R; 1,6; 1)")</f>
        <v>=(160 * P_R + 1,35 * Self_AP + 0,16 * Self_BoHP - 30) * MOD_Heal * IF(Steroid_R; 1,6; 1)</v>
      </c>
      <c r="Y111" s="300" t="str">
        <f ca="1">IFERROR(__xludf.DUMMYFUNCTION("""COMPUTED_VALUE"""),"=(47+3*Self_Level+0,12*Self_BoHP)*MOD_SelfHeal")</f>
        <v>=(47+3*Self_Level+0,12*Self_BoHP)*MOD_SelfHeal</v>
      </c>
      <c r="Z111" s="281" t="str">
        <f ca="1">IFERROR(__xludf.DUMMYFUNCTION("""COMPUTED_VALUE"""),"=8,75-0,75*P_Q")</f>
        <v>=8,75-0,75*P_Q</v>
      </c>
      <c r="AA111" s="282" t="str">
        <f ca="1">IFERROR(__xludf.DUMMYFUNCTION("""COMPUTED_VALUE"""),"=19,5-1,5*P_W")</f>
        <v>=19,5-1,5*P_W</v>
      </c>
      <c r="AB111" s="282" t="str">
        <f ca="1">IFERROR(__xludf.DUMMYFUNCTION("""COMPUTED_VALUE"""),"=20-2*P_E")</f>
        <v>=20-2*P_E</v>
      </c>
      <c r="AC111" s="282" t="str">
        <f ca="1">IFERROR(__xludf.DUMMYFUNCTION("""COMPUTED_VALUE"""),"=220-20*P_R")</f>
        <v>=220-20*P_R</v>
      </c>
      <c r="AD111" s="283" t="str">
        <f ca="1">IFERROR(__xludf.DUMMYFUNCTION("""COMPUTED_VALUE"""),"=10")</f>
        <v>=10</v>
      </c>
      <c r="AE111" s="281" t="b">
        <f ca="1">IFERROR(__xludf.DUMMYFUNCTION("""COMPUTED_VALUE"""),TRUE)</f>
        <v>1</v>
      </c>
      <c r="AF111" s="282" t="str">
        <f ca="1">IFERROR(__xludf.DUMMYFUNCTION("""COMPUTED_VALUE"""),"=Image(""https://ddragon.leagueoflegends.com/cdn/11.19.1/img/champion/Shen.png"")")</f>
        <v>=Image("https://ddragon.leagueoflegends.com/cdn/11.19.1/img/champion/Shen.png")</v>
      </c>
      <c r="AG111" s="282" t="str">
        <f ca="1">IFERROR(__xludf.DUMMYFUNCTION("""COMPUTED_VALUE"""),"=IF(OR(REGEXMATCH(FORMULATEXT(U111);""HMOD"");NOT(P_Q&gt;0));0;U111)+IF(OR(REGEXMATCH(FORMULATEXT(V111);""HMOD"");NOT(P_W&gt;0));0;V111)+IF(OR(REGEXMATCH(FORMULATEXT(W111);""HMOD"");NOT(P_E&gt;0));0;W111)+IF(OR(REGEXMATCH(FORMULATEXT(X111);""HMOD"");NOT(P_R&gt;0));0;"&amp;"X111)+IF(REGEXMATCH(FORMULATEXT(Y111);""HMOD"");0;Y111)+Self_Proc_Item+Self_Proc_Summ+Self_Proc_Rune+3*Self_DPS")</f>
        <v>=IF(OR(REGEXMATCH(FORMULATEXT(U111);"HMOD");NOT(P_Q&gt;0));0;U111)+IF(OR(REGEXMATCH(FORMULATEXT(V111);"HMOD");NOT(P_W&gt;0));0;V111)+IF(OR(REGEXMATCH(FORMULATEXT(W111);"HMOD");NOT(P_E&gt;0));0;W111)+IF(OR(REGEXMATCH(FORMULATEXT(X111);"HMOD");NOT(P_R&gt;0));0;X111)+IF(REGEXMATCH(FORMULATEXT(Y111);"HMOD");0;Y111)+Self_Proc_Item+Self_Proc_Summ+Self_Proc_Rune+3*Self_DPS</v>
      </c>
      <c r="AH111" s="282" t="str">
        <f ca="1">IFERROR(__xludf.DUMMYFUNCTION("""COMPUTED_VALUE"""),"=0")</f>
        <v>=0</v>
      </c>
      <c r="AI111" s="282" t="b">
        <f ca="1">IFERROR(__xludf.DUMMYFUNCTION("""COMPUTED_VALUE"""),TRUE)</f>
        <v>1</v>
      </c>
      <c r="AJ111" s="283" t="b">
        <f ca="1">IFERROR(__xludf.DUMMYFUNCTION("""COMPUTED_VALUE"""),FALSE)</f>
        <v>0</v>
      </c>
    </row>
    <row r="112" spans="1:36">
      <c r="A112" s="267" t="str">
        <f ca="1">IFERROR(__xludf.DUMMYFUNCTION("""COMPUTED_VALUE"""),"Shyvana")</f>
        <v>Shyvana</v>
      </c>
      <c r="B112" s="287" t="str">
        <f ca="1">IFERROR(__xludf.DUMMYFUNCTION("""COMPUTED_VALUE"""),"=665")</f>
        <v>=665</v>
      </c>
      <c r="C112" s="287" t="str">
        <f ca="1">IFERROR(__xludf.DUMMYFUNCTION("""COMPUTED_VALUE"""),"=109")</f>
        <v>=109</v>
      </c>
      <c r="D112" s="288" t="str">
        <f ca="1">IFERROR(__xludf.DUMMYFUNCTION("""COMPUTED_VALUE"""),"=8,5")</f>
        <v>=8,5</v>
      </c>
      <c r="E112" s="289" t="str">
        <f ca="1">IFERROR(__xludf.DUMMYFUNCTION("""COMPUTED_VALUE"""),"=0,8")</f>
        <v>=0,8</v>
      </c>
      <c r="F112" s="288" t="str">
        <f ca="1">IFERROR(__xludf.DUMMYFUNCTION("""COMPUTED_VALUE"""),"=100")</f>
        <v>=100</v>
      </c>
      <c r="G112" s="288" t="str">
        <f ca="1">IFERROR(__xludf.DUMMYFUNCTION("""COMPUTED_VALUE"""),"=0")</f>
        <v>=0</v>
      </c>
      <c r="H112" s="288" t="str">
        <f ca="1">IFERROR(__xludf.DUMMYFUNCTION("""COMPUTED_VALUE"""),"=0")</f>
        <v>=0</v>
      </c>
      <c r="I112" s="289" t="str">
        <f ca="1">IFERROR(__xludf.DUMMYFUNCTION("""COMPUTED_VALUE"""),"=0")</f>
        <v>=0</v>
      </c>
      <c r="J112" s="290" t="str">
        <f ca="1">IFERROR(__xludf.DUMMYFUNCTION("""COMPUTED_VALUE"""),"=66")</f>
        <v>=66</v>
      </c>
      <c r="K112" s="288" t="str">
        <f ca="1">IFERROR(__xludf.DUMMYFUNCTION("""COMPUTED_VALUE"""),"=3,4")</f>
        <v>=3,4</v>
      </c>
      <c r="L112" s="291" t="str">
        <f ca="1">IFERROR(__xludf.DUMMYFUNCTION("""COMPUTED_VALUE"""),"=0,658")</f>
        <v>=0,658</v>
      </c>
      <c r="M112" s="291" t="str">
        <f ca="1">IFERROR(__xludf.DUMMYFUNCTION("""COMPUTED_VALUE"""),"=0,658")</f>
        <v>=0,658</v>
      </c>
      <c r="N112" s="292" t="str">
        <f ca="1">IFERROR(__xludf.DUMMYFUNCTION("""COMPUTED_VALUE"""),"=2,5%")</f>
        <v>=2,5%</v>
      </c>
      <c r="O112" s="287" t="str">
        <f ca="1">IFERROR(__xludf.DUMMYFUNCTION("""COMPUTED_VALUE"""),"=38")</f>
        <v>=38</v>
      </c>
      <c r="P112" s="287" t="str">
        <f ca="1">IFERROR(__xludf.DUMMYFUNCTION("""COMPUTED_VALUE"""),"=4,55")</f>
        <v>=4,55</v>
      </c>
      <c r="Q112" s="288" t="str">
        <f ca="1">IFERROR(__xludf.DUMMYFUNCTION("""COMPUTED_VALUE"""),"=32")</f>
        <v>=32</v>
      </c>
      <c r="R112" s="289" t="str">
        <f ca="1">IFERROR(__xludf.DUMMYFUNCTION("""COMPUTED_VALUE"""),"=2,05")</f>
        <v>=2,05</v>
      </c>
      <c r="S112" s="287" t="str">
        <f ca="1">IFERROR(__xludf.DUMMYFUNCTION("""COMPUTED_VALUE"""),"=350")</f>
        <v>=350</v>
      </c>
      <c r="T112" s="628" t="str">
        <f ca="1">IFERROR(__xludf.DUMMYFUNCTION("""COMPUTED_VALUE"""),"=125")</f>
        <v>=125</v>
      </c>
      <c r="U112" s="295" t="str">
        <f ca="1">IFERROR(__xludf.DUMMYFUNCTION("""COMPUTED_VALUE"""),"=((1,05 + 0,15 * P_Q) * Self_AD + 0,6 * Self_AP) * MOD_Phys")</f>
        <v>=((1,05 + 0,15 * P_Q) * Self_AD + 0,6 * Self_AP) * MOD_Phys</v>
      </c>
      <c r="V112" s="296" t="str">
        <f ca="1">IFERROR(__xludf.DUMMYFUNCTION("""COMPUTED_VALUE"""),"=(7,5 + 12,5 * P_W + 0,3 * Self_BoAD) * MOD_Magic")</f>
        <v>=(7,5 + 12,5 * P_W + 0,3 * Self_BoAD) * MOD_Magic</v>
      </c>
      <c r="W112" s="296" t="str">
        <f ca="1">IFERROR(__xludf.DUMMYFUNCTION("""COMPUTED_VALUE"""),"=(20 + 40 * P_E + 0,4 * Self_AD + 0,9 * Self_AP + IF(Steroid_Form;(315 + IF(Self_Level &gt; 6; 25 * Self_Level; 0) + 0,3 * Self_AD + 0,3 * Self_AP); 0)) * MOD_Magic")</f>
        <v>=(20 + 40 * P_E + 0,4 * Self_AD + 0,9 * Self_AP + IF(Steroid_Form;(315 + IF(Self_Level &gt; 6; 25 * Self_Level; 0) + 0,3 * Self_AD + 0,3 * Self_AP); 0)) * MOD_Magic</v>
      </c>
      <c r="X112" s="296" t="str">
        <f ca="1">IFERROR(__xludf.DUMMYFUNCTION("""COMPUTED_VALUE"""),"=IF(Steroid_Form;0;(50+100+1,3*Self_AP)*MOD_Magic)")</f>
        <v>=IF(Steroid_Form;0;(50+100+1,3*Self_AP)*MOD_Magic)</v>
      </c>
      <c r="Y112" s="297" t="str">
        <f ca="1">IFERROR(__xludf.DUMMYFUNCTION("""COMPUTED_VALUE"""),"=0")</f>
        <v>=0</v>
      </c>
      <c r="Z112" s="281" t="str">
        <f ca="1">IFERROR(__xludf.DUMMYFUNCTION("""COMPUTED_VALUE"""),"=7,5-0,5*P_Q")</f>
        <v>=7,5-0,5*P_Q</v>
      </c>
      <c r="AA112" s="282" t="str">
        <f ca="1">IFERROR(__xludf.DUMMYFUNCTION("""COMPUTED_VALUE"""),"=12")</f>
        <v>=12</v>
      </c>
      <c r="AB112" s="282" t="str">
        <f ca="1">IFERROR(__xludf.DUMMYFUNCTION("""COMPUTED_VALUE"""),"=13-P_E")</f>
        <v>=13-P_E</v>
      </c>
      <c r="AC112" s="282" t="str">
        <f ca="1">IFERROR(__xludf.DUMMYFUNCTION("""COMPUTED_VALUE"""),"=1")</f>
        <v>=1</v>
      </c>
      <c r="AD112" s="283" t="str">
        <f ca="1">IFERROR(__xludf.DUMMYFUNCTION("""COMPUTED_VALUE"""),"=1")</f>
        <v>=1</v>
      </c>
      <c r="AE112" s="281" t="b">
        <f ca="1">IFERROR(__xludf.DUMMYFUNCTION("""COMPUTED_VALUE"""),TRUE)</f>
        <v>1</v>
      </c>
      <c r="AF112" s="282" t="str">
        <f ca="1">IFERROR(__xludf.DUMMYFUNCTION("""COMPUTED_VALUE"""),"=Image(""https://ddragon.leagueoflegends.com/cdn/11.19.1/img/champion/Shyvana.png"")")</f>
        <v>=Image("https://ddragon.leagueoflegends.com/cdn/11.19.1/img/champion/Shyvana.png")</v>
      </c>
      <c r="AG112" s="282" t="str">
        <f ca="1">IFERROR(__xludf.DUMMYFUNCTION("""COMPUTED_VALUE"""),"=IF(OR(REGEXMATCH(FORMULATEXT(U112);""HMOD"");NOT(P_Q&gt;0));0;U112)+IF(OR(REGEXMATCH(FORMULATEXT(V112);""HMOD"");NOT(P_W&gt;0));0;V112)+IF(OR(REGEXMATCH(FORMULATEXT(W112);""HMOD"");NOT(P_E&gt;0));0;W112)+IF(OR(REGEXMATCH(FORMULATEXT(X112);""HMOD"");NOT(P_R&gt;0));0;"&amp;"X112)+IF(REGEXMATCH(FORMULATEXT(Y112);""HMOD"");0;Y112)+Self_Proc_Item+Self_Proc_Summ+Self_Proc_Rune+3*Self_DPS")</f>
        <v>=IF(OR(REGEXMATCH(FORMULATEXT(U112);"HMOD");NOT(P_Q&gt;0));0;U112)+IF(OR(REGEXMATCH(FORMULATEXT(V112);"HMOD");NOT(P_W&gt;0));0;V112)+IF(OR(REGEXMATCH(FORMULATEXT(W112);"HMOD");NOT(P_E&gt;0));0;W112)+IF(OR(REGEXMATCH(FORMULATEXT(X112);"HMOD");NOT(P_R&gt;0));0;X112)+IF(REGEXMATCH(FORMULATEXT(Y112);"HMOD");0;Y112)+Self_Proc_Item+Self_Proc_Summ+Self_Proc_Rune+3*Self_DPS</v>
      </c>
      <c r="AH112" s="282" t="str">
        <f ca="1">IFERROR(__xludf.DUMMYFUNCTION("""COMPUTED_VALUE"""),"=0")</f>
        <v>=0</v>
      </c>
      <c r="AI112" s="282" t="b">
        <f ca="1">IFERROR(__xludf.DUMMYFUNCTION("""COMPUTED_VALUE"""),FALSE)</f>
        <v>0</v>
      </c>
      <c r="AJ112" s="283" t="b">
        <f ca="1">IFERROR(__xludf.DUMMYFUNCTION("""COMPUTED_VALUE"""),TRUE)</f>
        <v>1</v>
      </c>
    </row>
    <row r="113" spans="1:36">
      <c r="A113" s="267" t="str">
        <f ca="1">IFERROR(__xludf.DUMMYFUNCTION("""COMPUTED_VALUE"""),"Singed")</f>
        <v>Singed</v>
      </c>
      <c r="B113" s="287" t="str">
        <f ca="1">IFERROR(__xludf.DUMMYFUNCTION("""COMPUTED_VALUE"""),"=650")</f>
        <v>=650</v>
      </c>
      <c r="C113" s="287" t="str">
        <f ca="1">IFERROR(__xludf.DUMMYFUNCTION("""COMPUTED_VALUE"""),"=99")</f>
        <v>=99</v>
      </c>
      <c r="D113" s="288" t="str">
        <f ca="1">IFERROR(__xludf.DUMMYFUNCTION("""COMPUTED_VALUE"""),"=9,5")</f>
        <v>=9,5</v>
      </c>
      <c r="E113" s="289" t="str">
        <f ca="1">IFERROR(__xludf.DUMMYFUNCTION("""COMPUTED_VALUE"""),"=0,55")</f>
        <v>=0,55</v>
      </c>
      <c r="F113" s="288" t="str">
        <f ca="1">IFERROR(__xludf.DUMMYFUNCTION("""COMPUTED_VALUE"""),"=330")</f>
        <v>=330</v>
      </c>
      <c r="G113" s="288" t="str">
        <f ca="1">IFERROR(__xludf.DUMMYFUNCTION("""COMPUTED_VALUE"""),"=45")</f>
        <v>=45</v>
      </c>
      <c r="H113" s="288" t="str">
        <f ca="1">IFERROR(__xludf.DUMMYFUNCTION("""COMPUTED_VALUE"""),"=7,5")</f>
        <v>=7,5</v>
      </c>
      <c r="I113" s="289" t="str">
        <f ca="1">IFERROR(__xludf.DUMMYFUNCTION("""COMPUTED_VALUE"""),"=0,55")</f>
        <v>=0,55</v>
      </c>
      <c r="J113" s="290" t="str">
        <f ca="1">IFERROR(__xludf.DUMMYFUNCTION("""COMPUTED_VALUE"""),"=63")</f>
        <v>=63</v>
      </c>
      <c r="K113" s="288" t="str">
        <f ca="1">IFERROR(__xludf.DUMMYFUNCTION("""COMPUTED_VALUE"""),"=3,38")</f>
        <v>=3,38</v>
      </c>
      <c r="L113" s="291" t="str">
        <f ca="1">IFERROR(__xludf.DUMMYFUNCTION("""COMPUTED_VALUE"""),"=0,613")</f>
        <v>=0,613</v>
      </c>
      <c r="M113" s="291" t="str">
        <f ca="1">IFERROR(__xludf.DUMMYFUNCTION("""COMPUTED_VALUE"""),"=0,613")</f>
        <v>=0,613</v>
      </c>
      <c r="N113" s="292" t="str">
        <f ca="1">IFERROR(__xludf.DUMMYFUNCTION("""COMPUTED_VALUE"""),"=1,9%")</f>
        <v>=1,9%</v>
      </c>
      <c r="O113" s="287" t="str">
        <f ca="1">IFERROR(__xludf.DUMMYFUNCTION("""COMPUTED_VALUE"""),"=34")</f>
        <v>=34</v>
      </c>
      <c r="P113" s="287" t="str">
        <f ca="1">IFERROR(__xludf.DUMMYFUNCTION("""COMPUTED_VALUE"""),"=4,7")</f>
        <v>=4,7</v>
      </c>
      <c r="Q113" s="288" t="str">
        <f ca="1">IFERROR(__xludf.DUMMYFUNCTION("""COMPUTED_VALUE"""),"=32")</f>
        <v>=32</v>
      </c>
      <c r="R113" s="289" t="str">
        <f ca="1">IFERROR(__xludf.DUMMYFUNCTION("""COMPUTED_VALUE"""),"=2,05")</f>
        <v>=2,05</v>
      </c>
      <c r="S113" s="287" t="str">
        <f ca="1">IFERROR(__xludf.DUMMYFUNCTION("""COMPUTED_VALUE"""),"=345")</f>
        <v>=345</v>
      </c>
      <c r="T113" s="628" t="str">
        <f ca="1">IFERROR(__xludf.DUMMYFUNCTION("""COMPUTED_VALUE"""),"=125")</f>
        <v>=125</v>
      </c>
      <c r="U113" s="298" t="str">
        <f ca="1">IFERROR(__xludf.DUMMYFUNCTION("""COMPUTED_VALUE"""),"=(0,9*Self_AP+20*P_Q+20)*MOD_Magic")</f>
        <v>=(0,9*Self_AP+20*P_Q+20)*MOD_Magic</v>
      </c>
      <c r="V113" s="299" t="str">
        <f ca="1">IFERROR(__xludf.DUMMYFUNCTION("""COMPUTED_VALUE"""),"=0")</f>
        <v>=0</v>
      </c>
      <c r="W113" s="299" t="str">
        <f ca="1">IFERROR(__xludf.DUMMYFUNCTION("""COMPUTED_VALUE"""),"=(0,6 * Self_AP + (0,055 + 0,005 * P_E) * E_MHP + 10 * P_E + 40) * MOD_Magic")</f>
        <v>=(0,6 * Self_AP + (0,055 + 0,005 * P_E) * E_MHP + 10 * P_E + 40) * MOD_Magic</v>
      </c>
      <c r="X113" s="299" t="str">
        <f ca="1">IFERROR(__xludf.DUMMYFUNCTION("""COMPUTED_VALUE"""),"=0")</f>
        <v>=0</v>
      </c>
      <c r="Y113" s="300" t="str">
        <f ca="1">IFERROR(__xludf.DUMMYFUNCTION("""COMPUTED_VALUE"""),"=0")</f>
        <v>=0</v>
      </c>
      <c r="Z113" s="281" t="str">
        <f ca="1">IFERROR(__xludf.DUMMYFUNCTION("""COMPUTED_VALUE"""),"=1")</f>
        <v>=1</v>
      </c>
      <c r="AA113" s="282" t="str">
        <f ca="1">IFERROR(__xludf.DUMMYFUNCTION("""COMPUTED_VALUE"""),"=18 - P_W")</f>
        <v>=18 - P_W</v>
      </c>
      <c r="AB113" s="282" t="str">
        <f ca="1">IFERROR(__xludf.DUMMYFUNCTION("""COMPUTED_VALUE"""),"=10,5-0,5*P_E")</f>
        <v>=10,5-0,5*P_E</v>
      </c>
      <c r="AC113" s="282" t="str">
        <f ca="1">IFERROR(__xludf.DUMMYFUNCTION("""COMPUTED_VALUE"""),"=130 - 10 * P_R")</f>
        <v>=130 - 10 * P_R</v>
      </c>
      <c r="AD113" s="283" t="str">
        <f ca="1">IFERROR(__xludf.DUMMYFUNCTION("""COMPUTED_VALUE"""),"=8")</f>
        <v>=8</v>
      </c>
      <c r="AE113" s="281" t="b">
        <f ca="1">IFERROR(__xludf.DUMMYFUNCTION("""COMPUTED_VALUE"""),TRUE)</f>
        <v>1</v>
      </c>
      <c r="AF113" s="282" t="str">
        <f ca="1">IFERROR(__xludf.DUMMYFUNCTION("""COMPUTED_VALUE"""),"=Image(""https://ddragon.leagueoflegends.com/cdn/11.19.1/img/champion/Singed.png"")")</f>
        <v>=Image("https://ddragon.leagueoflegends.com/cdn/11.19.1/img/champion/Singed.png")</v>
      </c>
      <c r="AG113" s="282" t="str">
        <f ca="1">IFERROR(__xludf.DUMMYFUNCTION("""COMPUTED_VALUE"""),"=IF(OR(REGEXMATCH(FORMULATEXT(U113);""HMOD"");NOT(P_Q&gt;0));0;U113)+IF(OR(REGEXMATCH(FORMULATEXT(V113);""HMOD"");NOT(P_W&gt;0));0;V113)+IF(OR(REGEXMATCH(FORMULATEXT(W113);""HMOD"");NOT(P_E&gt;0));0;W113)+IF(OR(REGEXMATCH(FORMULATEXT(X113);""HMOD"");NOT(P_R&gt;0));0;"&amp;"X113)+IF(REGEXMATCH(FORMULATEXT(Y113);""HMOD"");0;Y113)+Self_Proc_Item+Self_Proc_Summ+Self_Proc_Rune+3*Self_DPS")</f>
        <v>=IF(OR(REGEXMATCH(FORMULATEXT(U113);"HMOD");NOT(P_Q&gt;0));0;U113)+IF(OR(REGEXMATCH(FORMULATEXT(V113);"HMOD");NOT(P_W&gt;0));0;V113)+IF(OR(REGEXMATCH(FORMULATEXT(W113);"HMOD");NOT(P_E&gt;0));0;W113)+IF(OR(REGEXMATCH(FORMULATEXT(X113);"HMOD");NOT(P_R&gt;0));0;X113)+IF(REGEXMATCH(FORMULATEXT(Y113);"HMOD");0;Y113)+Self_Proc_Item+Self_Proc_Summ+Self_Proc_Rune+3*Self_DPS</v>
      </c>
      <c r="AH113" s="282" t="str">
        <f ca="1">IFERROR(__xludf.DUMMYFUNCTION("""COMPUTED_VALUE"""),"=0")</f>
        <v>=0</v>
      </c>
      <c r="AI113" s="282" t="b">
        <f ca="1">IFERROR(__xludf.DUMMYFUNCTION("""COMPUTED_VALUE"""),FALSE)</f>
        <v>0</v>
      </c>
      <c r="AJ113" s="283" t="b">
        <f ca="1">IFERROR(__xludf.DUMMYFUNCTION("""COMPUTED_VALUE"""),FALSE)</f>
        <v>0</v>
      </c>
    </row>
    <row r="114" spans="1:36">
      <c r="A114" s="267" t="str">
        <f ca="1">IFERROR(__xludf.DUMMYFUNCTION("""COMPUTED_VALUE"""),"Sion")</f>
        <v>Sion</v>
      </c>
      <c r="B114" s="287" t="str">
        <f ca="1">IFERROR(__xludf.DUMMYFUNCTION("""COMPUTED_VALUE"""),"=655")</f>
        <v>=655</v>
      </c>
      <c r="C114" s="287" t="str">
        <f ca="1">IFERROR(__xludf.DUMMYFUNCTION("""COMPUTED_VALUE"""),"=87")</f>
        <v>=87</v>
      </c>
      <c r="D114" s="288" t="str">
        <f ca="1">IFERROR(__xludf.DUMMYFUNCTION("""COMPUTED_VALUE"""),"=7,5")</f>
        <v>=7,5</v>
      </c>
      <c r="E114" s="289" t="str">
        <f ca="1">IFERROR(__xludf.DUMMYFUNCTION("""COMPUTED_VALUE"""),"=0,8")</f>
        <v>=0,8</v>
      </c>
      <c r="F114" s="288" t="str">
        <f ca="1">IFERROR(__xludf.DUMMYFUNCTION("""COMPUTED_VALUE"""),"=400")</f>
        <v>=400</v>
      </c>
      <c r="G114" s="288" t="str">
        <f ca="1">IFERROR(__xludf.DUMMYFUNCTION("""COMPUTED_VALUE"""),"=52")</f>
        <v>=52</v>
      </c>
      <c r="H114" s="288" t="str">
        <f ca="1">IFERROR(__xludf.DUMMYFUNCTION("""COMPUTED_VALUE"""),"=8")</f>
        <v>=8</v>
      </c>
      <c r="I114" s="289" t="str">
        <f ca="1">IFERROR(__xludf.DUMMYFUNCTION("""COMPUTED_VALUE"""),"=0,6")</f>
        <v>=0,6</v>
      </c>
      <c r="J114" s="290" t="str">
        <f ca="1">IFERROR(__xludf.DUMMYFUNCTION("""COMPUTED_VALUE"""),"=68")</f>
        <v>=68</v>
      </c>
      <c r="K114" s="288" t="str">
        <f ca="1">IFERROR(__xludf.DUMMYFUNCTION("""COMPUTED_VALUE"""),"=4")</f>
        <v>=4</v>
      </c>
      <c r="L114" s="291" t="str">
        <f ca="1">IFERROR(__xludf.DUMMYFUNCTION("""COMPUTED_VALUE"""),"=0,679")</f>
        <v>=0,679</v>
      </c>
      <c r="M114" s="291" t="str">
        <f ca="1">IFERROR(__xludf.DUMMYFUNCTION("""COMPUTED_VALUE"""),"=0,679")</f>
        <v>=0,679</v>
      </c>
      <c r="N114" s="292" t="str">
        <f ca="1">IFERROR(__xludf.DUMMYFUNCTION("""COMPUTED_VALUE"""),"=1,3%")</f>
        <v>=1,3%</v>
      </c>
      <c r="O114" s="287" t="str">
        <f ca="1">IFERROR(__xludf.DUMMYFUNCTION("""COMPUTED_VALUE"""),"=32")</f>
        <v>=32</v>
      </c>
      <c r="P114" s="287" t="str">
        <f ca="1">IFERROR(__xludf.DUMMYFUNCTION("""COMPUTED_VALUE"""),"=4,2")</f>
        <v>=4,2</v>
      </c>
      <c r="Q114" s="288" t="str">
        <f ca="1">IFERROR(__xludf.DUMMYFUNCTION("""COMPUTED_VALUE"""),"=32")</f>
        <v>=32</v>
      </c>
      <c r="R114" s="289" t="str">
        <f ca="1">IFERROR(__xludf.DUMMYFUNCTION("""COMPUTED_VALUE"""),"=2,05")</f>
        <v>=2,05</v>
      </c>
      <c r="S114" s="287" t="str">
        <f ca="1">IFERROR(__xludf.DUMMYFUNCTION("""COMPUTED_VALUE"""),"=345")</f>
        <v>=345</v>
      </c>
      <c r="T114" s="628" t="str">
        <f ca="1">IFERROR(__xludf.DUMMYFUNCTION("""COMPUTED_VALUE"""),"=175")</f>
        <v>=175</v>
      </c>
      <c r="U114" s="295" t="str">
        <f ca="1">IFERROR(__xludf.DUMMYFUNCTION("""COMPUTED_VALUE"""),"=IF(Steroid_Q;25 + 65 * P_Q + (1,125 + 0,225 * P_Q) * Self_AD;20 + 20 * P_Q + (0,375 + 0,075 * P_Q) * Self_AD) * MOD_Phys")</f>
        <v>=IF(Steroid_Q;25 + 65 * P_Q + (1,125 + 0,225 * P_Q) * Self_AD;20 + 20 * P_Q + (0,375 + 0,075 * P_Q) * Self_AD) * MOD_Phys</v>
      </c>
      <c r="V114" s="296" t="str">
        <f ca="1">IFERROR(__xludf.DUMMYFUNCTION("""COMPUTED_VALUE"""),"=(0,4 * Self_AP + 25 * P_W + 15 + (0,09 + 0,01 * P_E) * E_MHP) * MOD_Magic")</f>
        <v>=(0,4 * Self_AP + 25 * P_W + 15 + (0,09 + 0,01 * P_E) * E_MHP) * MOD_Magic</v>
      </c>
      <c r="W114" s="296" t="str">
        <f ca="1">IFERROR(__xludf.DUMMYFUNCTION("""COMPUTED_VALUE"""),"=(30+35*P_E+0,55*Self_AP)*MOD_Magic")</f>
        <v>=(30+35*P_E+0,55*Self_AP)*MOD_Magic</v>
      </c>
      <c r="X114" s="296" t="str">
        <f ca="1">IFERROR(__xludf.DUMMYFUNCTION("""COMPUTED_VALUE"""),"=(IF(Steroid_R;2;1)*0,4*Self_BoAD+IF(Steroid_R;2,667;1)*(150*P_R))*MOD_Phys")</f>
        <v>=(IF(Steroid_R;2;1)*0,4*Self_BoAD+IF(Steroid_R;2,667;1)*(150*P_R))*MOD_Phys</v>
      </c>
      <c r="Y114" s="297" t="str">
        <f ca="1">IFERROR(__xludf.DUMMYFUNCTION("""COMPUTED_VALUE"""),"=0,1*E_MHP*MOD_Phys")</f>
        <v>=0,1*E_MHP*MOD_Phys</v>
      </c>
      <c r="Z114" s="281" t="str">
        <f ca="1">IFERROR(__xludf.DUMMYFUNCTION("""COMPUTED_VALUE"""),"=11-P_Q")</f>
        <v>=11-P_Q</v>
      </c>
      <c r="AA114" s="282" t="str">
        <f ca="1">IFERROR(__xludf.DUMMYFUNCTION("""COMPUTED_VALUE"""),"=16-P_W")</f>
        <v>=16-P_W</v>
      </c>
      <c r="AB114" s="282" t="str">
        <f ca="1">IFERROR(__xludf.DUMMYFUNCTION("""COMPUTED_VALUE"""),"=13-P_E")</f>
        <v>=13-P_E</v>
      </c>
      <c r="AC114" s="282" t="str">
        <f ca="1">IFERROR(__xludf.DUMMYFUNCTION("""COMPUTED_VALUE"""),"=180-40*P_R")</f>
        <v>=180-40*P_R</v>
      </c>
      <c r="AD114" s="283" t="str">
        <f ca="1">IFERROR(__xludf.DUMMYFUNCTION("""COMPUTED_VALUE"""),"=1")</f>
        <v>=1</v>
      </c>
      <c r="AE114" s="281" t="b">
        <f ca="1">IFERROR(__xludf.DUMMYFUNCTION("""COMPUTED_VALUE"""),TRUE)</f>
        <v>1</v>
      </c>
      <c r="AF114" s="282" t="str">
        <f ca="1">IFERROR(__xludf.DUMMYFUNCTION("""COMPUTED_VALUE"""),"=Image(""https://ddragon.leagueoflegends.com/cdn/11.19.1/img/champion/Sion.png"")")</f>
        <v>=Image("https://ddragon.leagueoflegends.com/cdn/11.19.1/img/champion/Sion.png")</v>
      </c>
      <c r="AG114" s="282" t="str">
        <f ca="1">IFERROR(__xludf.DUMMYFUNCTION("""COMPUTED_VALUE"""),"=IF(OR(REGEXMATCH(FORMULATEXT(U114);""HMOD"");NOT(P_Q&gt;0));0;U114)+IF(OR(REGEXMATCH(FORMULATEXT(V114);""HMOD"");NOT(P_W&gt;0));0;V114)+IF(OR(REGEXMATCH(FORMULATEXT(W114);""HMOD"");NOT(P_E&gt;0));0;W114)+IF(OR(REGEXMATCH(FORMULATEXT(X114);""HMOD"");NOT(P_R&gt;0));0;"&amp;"X114)+IF(REGEXMATCH(FORMULATEXT(Y114);""HMOD"");0;Y114)+Self_Proc_Item+Self_Proc_Summ+Self_Proc_Rune+3*Self_DPS")</f>
        <v>=IF(OR(REGEXMATCH(FORMULATEXT(U114);"HMOD");NOT(P_Q&gt;0));0;U114)+IF(OR(REGEXMATCH(FORMULATEXT(V114);"HMOD");NOT(P_W&gt;0));0;V114)+IF(OR(REGEXMATCH(FORMULATEXT(W114);"HMOD");NOT(P_E&gt;0));0;W114)+IF(OR(REGEXMATCH(FORMULATEXT(X114);"HMOD");NOT(P_R&gt;0));0;X114)+IF(REGEXMATCH(FORMULATEXT(Y114);"HMOD");0;Y114)+Self_Proc_Item+Self_Proc_Summ+Self_Proc_Rune+3*Self_DPS</v>
      </c>
      <c r="AH114" s="282" t="str">
        <f ca="1">IFERROR(__xludf.DUMMYFUNCTION("""COMPUTED_VALUE"""),"=0")</f>
        <v>=0</v>
      </c>
      <c r="AI114" s="282" t="b">
        <f ca="1">IFERROR(__xludf.DUMMYFUNCTION("""COMPUTED_VALUE"""),FALSE)</f>
        <v>0</v>
      </c>
      <c r="AJ114" s="283" t="b">
        <f ca="1">IFERROR(__xludf.DUMMYFUNCTION("""COMPUTED_VALUE"""),FALSE)</f>
        <v>0</v>
      </c>
    </row>
    <row r="115" spans="1:36">
      <c r="A115" s="267" t="str">
        <f ca="1">IFERROR(__xludf.DUMMYFUNCTION("""COMPUTED_VALUE"""),"Sivir")</f>
        <v>Sivir</v>
      </c>
      <c r="B115" s="287" t="str">
        <f ca="1">IFERROR(__xludf.DUMMYFUNCTION("""COMPUTED_VALUE"""),"=600")</f>
        <v>=600</v>
      </c>
      <c r="C115" s="287" t="str">
        <f ca="1">IFERROR(__xludf.DUMMYFUNCTION("""COMPUTED_VALUE"""),"=104")</f>
        <v>=104</v>
      </c>
      <c r="D115" s="288" t="str">
        <f ca="1">IFERROR(__xludf.DUMMYFUNCTION("""COMPUTED_VALUE"""),"=3,25")</f>
        <v>=3,25</v>
      </c>
      <c r="E115" s="289" t="str">
        <f ca="1">IFERROR(__xludf.DUMMYFUNCTION("""COMPUTED_VALUE"""),"=0,55")</f>
        <v>=0,55</v>
      </c>
      <c r="F115" s="288" t="str">
        <f ca="1">IFERROR(__xludf.DUMMYFUNCTION("""COMPUTED_VALUE"""),"=340")</f>
        <v>=340</v>
      </c>
      <c r="G115" s="288" t="str">
        <f ca="1">IFERROR(__xludf.DUMMYFUNCTION("""COMPUTED_VALUE"""),"=45")</f>
        <v>=45</v>
      </c>
      <c r="H115" s="288" t="str">
        <f ca="1">IFERROR(__xludf.DUMMYFUNCTION("""COMPUTED_VALUE"""),"=6")</f>
        <v>=6</v>
      </c>
      <c r="I115" s="289" t="str">
        <f ca="1">IFERROR(__xludf.DUMMYFUNCTION("""COMPUTED_VALUE"""),"=0,8")</f>
        <v>=0,8</v>
      </c>
      <c r="J115" s="290" t="str">
        <f ca="1">IFERROR(__xludf.DUMMYFUNCTION("""COMPUTED_VALUE"""),"=58")</f>
        <v>=58</v>
      </c>
      <c r="K115" s="288" t="str">
        <f ca="1">IFERROR(__xludf.DUMMYFUNCTION("""COMPUTED_VALUE"""),"=2,5")</f>
        <v>=2,5</v>
      </c>
      <c r="L115" s="291" t="str">
        <f ca="1">IFERROR(__xludf.DUMMYFUNCTION("""COMPUTED_VALUE"""),"=0,625")</f>
        <v>=0,625</v>
      </c>
      <c r="M115" s="291" t="str">
        <f ca="1">IFERROR(__xludf.DUMMYFUNCTION("""COMPUTED_VALUE"""),"=0,625")</f>
        <v>=0,625</v>
      </c>
      <c r="N115" s="292" t="str">
        <f ca="1">IFERROR(__xludf.DUMMYFUNCTION("""COMPUTED_VALUE"""),"=2%")</f>
        <v>=2%</v>
      </c>
      <c r="O115" s="287" t="str">
        <f ca="1">IFERROR(__xludf.DUMMYFUNCTION("""COMPUTED_VALUE"""),"=26")</f>
        <v>=26</v>
      </c>
      <c r="P115" s="287" t="str">
        <f ca="1">IFERROR(__xludf.DUMMYFUNCTION("""COMPUTED_VALUE"""),"=4,45")</f>
        <v>=4,45</v>
      </c>
      <c r="Q115" s="288" t="str">
        <f ca="1">IFERROR(__xludf.DUMMYFUNCTION("""COMPUTED_VALUE"""),"=30")</f>
        <v>=30</v>
      </c>
      <c r="R115" s="289" t="str">
        <f ca="1">IFERROR(__xludf.DUMMYFUNCTION("""COMPUTED_VALUE"""),"=1,3")</f>
        <v>=1,3</v>
      </c>
      <c r="S115" s="287" t="str">
        <f ca="1">IFERROR(__xludf.DUMMYFUNCTION("""COMPUTED_VALUE"""),"=335")</f>
        <v>=335</v>
      </c>
      <c r="T115" s="628" t="str">
        <f ca="1">IFERROR(__xludf.DUMMYFUNCTION("""COMPUTED_VALUE"""),"=500")</f>
        <v>=500</v>
      </c>
      <c r="U115" s="298" t="str">
        <f ca="1">IFERROR(__xludf.DUMMYFUNCTION("""COMPUTED_VALUE"""),"=(15 * P_Q + (0,75 + 0,05 * P_Q) * Self_AD + 0,6 * Self_AP) * MOD_Phys * IF(Steroid_Q;2;1) * (1 + 0,5 * Self_Crit)")</f>
        <v>=(15 * P_Q + (0,75 + 0,05 * P_Q) * Self_AD + 0,6 * Self_AP) * MOD_Phys * IF(Steroid_Q;2;1) * (1 + 0,5 * Self_Crit)</v>
      </c>
      <c r="V115" s="299" t="str">
        <f ca="1">IFERROR(__xludf.DUMMYFUNCTION("""COMPUTED_VALUE"""),"=((0,25 + 0,05 * P_W) * Self_AD) * MOD_Hit")</f>
        <v>=((0,25 + 0,05 * P_W) * Self_AD) * MOD_Hit</v>
      </c>
      <c r="W115" s="299" t="str">
        <f ca="1">IFERROR(__xludf.DUMMYFUNCTION("""COMPUTED_VALUE"""),"=((0,55 + 0,05 * P_E) * Self_AD + 0,5 * Self_AP) * MOD_SelfHeal")</f>
        <v>=((0,55 + 0,05 * P_E) * Self_AD + 0,5 * Self_AP) * MOD_SelfHeal</v>
      </c>
      <c r="X115" s="299" t="str">
        <f ca="1">IFERROR(__xludf.DUMMYFUNCTION("""COMPUTED_VALUE"""),"=0")</f>
        <v>=0</v>
      </c>
      <c r="Y115" s="300" t="str">
        <f ca="1">IFERROR(__xludf.DUMMYFUNCTION("""COMPUTED_VALUE"""),"=0")</f>
        <v>=0</v>
      </c>
      <c r="Z115" s="281" t="str">
        <f ca="1">IFERROR(__xludf.DUMMYFUNCTION("""COMPUTED_VALUE"""),"=10,5-0,5*P_Q")</f>
        <v>=10,5-0,5*P_Q</v>
      </c>
      <c r="AA115" s="282" t="str">
        <f ca="1">IFERROR(__xludf.DUMMYFUNCTION("""COMPUTED_VALUE"""),"=12")</f>
        <v>=12</v>
      </c>
      <c r="AB115" s="282" t="str">
        <f ca="1">IFERROR(__xludf.DUMMYFUNCTION("""COMPUTED_VALUE"""),"=25,5-1,5*P_E")</f>
        <v>=25,5-1,5*P_E</v>
      </c>
      <c r="AC115" s="282" t="str">
        <f ca="1">IFERROR(__xludf.DUMMYFUNCTION("""COMPUTED_VALUE"""),"=140 - 20 * P_R")</f>
        <v>=140 - 20 * P_R</v>
      </c>
      <c r="AD115" s="283" t="str">
        <f ca="1">IFERROR(__xludf.DUMMYFUNCTION("""COMPUTED_VALUE"""),"=1")</f>
        <v>=1</v>
      </c>
      <c r="AE115" s="281" t="b">
        <f ca="1">IFERROR(__xludf.DUMMYFUNCTION("""COMPUTED_VALUE"""),FALSE)</f>
        <v>0</v>
      </c>
      <c r="AF115" s="282" t="str">
        <f ca="1">IFERROR(__xludf.DUMMYFUNCTION("""COMPUTED_VALUE"""),"=Image(""https://ddragon.leagueoflegends.com/cdn/11.19.1/img/champion/Sivir.png"")")</f>
        <v>=Image("https://ddragon.leagueoflegends.com/cdn/11.19.1/img/champion/Sivir.png")</v>
      </c>
      <c r="AG115" s="282" t="str">
        <f ca="1">IFERROR(__xludf.DUMMYFUNCTION("""COMPUTED_VALUE"""),"=IF(OR(REGEXMATCH(FORMULATEXT(U115);""HMOD"");NOT(P_Q&gt;0));0;U115)+IF(OR(REGEXMATCH(FORMULATEXT(V115);""HMOD"");NOT(P_W&gt;0));0;V115)+IF(OR(REGEXMATCH(FORMULATEXT(W115);""HMOD"");NOT(P_E&gt;0));0;W115)+IF(OR(REGEXMATCH(FORMULATEXT(X115);""HMOD"");NOT(P_R&gt;0));0;"&amp;"X115)+IF(REGEXMATCH(FORMULATEXT(Y115);""HMOD"");0;Y115)+Self_Proc_Item+Self_Proc_Summ+Self_Proc_Rune+3*Self_DPS")</f>
        <v>=IF(OR(REGEXMATCH(FORMULATEXT(U115);"HMOD");NOT(P_Q&gt;0));0;U115)+IF(OR(REGEXMATCH(FORMULATEXT(V115);"HMOD");NOT(P_W&gt;0));0;V115)+IF(OR(REGEXMATCH(FORMULATEXT(W115);"HMOD");NOT(P_E&gt;0));0;W115)+IF(OR(REGEXMATCH(FORMULATEXT(X115);"HMOD");NOT(P_R&gt;0));0;X115)+IF(REGEXMATCH(FORMULATEXT(Y115);"HMOD");0;Y115)+Self_Proc_Item+Self_Proc_Summ+Self_Proc_Rune+3*Self_DPS</v>
      </c>
      <c r="AH115" s="282" t="str">
        <f ca="1">IFERROR(__xludf.DUMMYFUNCTION("""COMPUTED_VALUE"""),"=0")</f>
        <v>=0</v>
      </c>
      <c r="AI115" s="282" t="b">
        <f ca="1">IFERROR(__xludf.DUMMYFUNCTION("""COMPUTED_VALUE"""),FALSE)</f>
        <v>0</v>
      </c>
      <c r="AJ115" s="283" t="b">
        <f ca="1">IFERROR(__xludf.DUMMYFUNCTION("""COMPUTED_VALUE"""),FALSE)</f>
        <v>0</v>
      </c>
    </row>
    <row r="116" spans="1:36">
      <c r="A116" s="301" t="str">
        <f ca="1">IFERROR(__xludf.DUMMYFUNCTION("""COMPUTED_VALUE"""),"Skarner")</f>
        <v>Skarner</v>
      </c>
      <c r="B116" s="282" t="str">
        <f ca="1">IFERROR(__xludf.DUMMYFUNCTION("""COMPUTED_VALUE"""),"=650")</f>
        <v>=650</v>
      </c>
      <c r="C116" s="282" t="str">
        <f ca="1">IFERROR(__xludf.DUMMYFUNCTION("""COMPUTED_VALUE"""),"=99")</f>
        <v>=99</v>
      </c>
      <c r="D116" s="282" t="str">
        <f ca="1">IFERROR(__xludf.DUMMYFUNCTION("""COMPUTED_VALUE"""),"=9")</f>
        <v>=9</v>
      </c>
      <c r="E116" s="302" t="str">
        <f ca="1">IFERROR(__xludf.DUMMYFUNCTION("""COMPUTED_VALUE"""),"=0,85")</f>
        <v>=0,85</v>
      </c>
      <c r="F116" s="282" t="str">
        <f ca="1">IFERROR(__xludf.DUMMYFUNCTION("""COMPUTED_VALUE"""),"=320")</f>
        <v>=320</v>
      </c>
      <c r="G116" s="282" t="str">
        <f ca="1">IFERROR(__xludf.DUMMYFUNCTION("""COMPUTED_VALUE"""),"=60")</f>
        <v>=60</v>
      </c>
      <c r="H116" s="282" t="str">
        <f ca="1">IFERROR(__xludf.DUMMYFUNCTION("""COMPUTED_VALUE"""),"=7,2")</f>
        <v>=7,2</v>
      </c>
      <c r="I116" s="302" t="str">
        <f ca="1">IFERROR(__xludf.DUMMYFUNCTION("""COMPUTED_VALUE"""),"=0,45")</f>
        <v>=0,45</v>
      </c>
      <c r="J116" s="303" t="str">
        <f ca="1">IFERROR(__xludf.DUMMYFUNCTION("""COMPUTED_VALUE"""),"=65")</f>
        <v>=65</v>
      </c>
      <c r="K116" s="282" t="str">
        <f ca="1">IFERROR(__xludf.DUMMYFUNCTION("""COMPUTED_VALUE"""),"=4,5")</f>
        <v>=4,5</v>
      </c>
      <c r="L116" s="304" t="str">
        <f ca="1">IFERROR(__xludf.DUMMYFUNCTION("""COMPUTED_VALUE"""),"=0,625")</f>
        <v>=0,625</v>
      </c>
      <c r="M116" s="304" t="str">
        <f ca="1">IFERROR(__xludf.DUMMYFUNCTION("""COMPUTED_VALUE"""),"=0,625")</f>
        <v>=0,625</v>
      </c>
      <c r="N116" s="305" t="str">
        <f ca="1">IFERROR(__xludf.DUMMYFUNCTION("""COMPUTED_VALUE"""),"=2,1%")</f>
        <v>=2,1%</v>
      </c>
      <c r="O116" s="282" t="str">
        <f ca="1">IFERROR(__xludf.DUMMYFUNCTION("""COMPUTED_VALUE"""),"=38")</f>
        <v>=38</v>
      </c>
      <c r="P116" s="282" t="str">
        <f ca="1">IFERROR(__xludf.DUMMYFUNCTION("""COMPUTED_VALUE"""),"=5")</f>
        <v>=5</v>
      </c>
      <c r="Q116" s="282" t="str">
        <f ca="1">IFERROR(__xludf.DUMMYFUNCTION("""COMPUTED_VALUE"""),"=32")</f>
        <v>=32</v>
      </c>
      <c r="R116" s="302" t="str">
        <f ca="1">IFERROR(__xludf.DUMMYFUNCTION("""COMPUTED_VALUE"""),"=2,05")</f>
        <v>=2,05</v>
      </c>
      <c r="S116" s="282" t="str">
        <f ca="1">IFERROR(__xludf.DUMMYFUNCTION("""COMPUTED_VALUE"""),"=335")</f>
        <v>=335</v>
      </c>
      <c r="T116" s="283" t="str">
        <f ca="1">IFERROR(__xludf.DUMMYFUNCTION("""COMPUTED_VALUE"""),"=125")</f>
        <v>=125</v>
      </c>
      <c r="U116" s="295" t="str">
        <f ca="1">IFERROR(__xludf.DUMMYFUNCTION("""COMPUTED_VALUE"""),"=((0,005+0,005*P_Q)*E_MHP+0,2*Self_AD)*MOD_Phys+IF(Steroid_Q;((0,005+0,005*P_Q)*E_MHP+0,3*Self_AP+0,2*Self_AD)*MOD_Magic;0)")</f>
        <v>=((0,005+0,005*P_Q)*E_MHP+0,2*Self_AD)*MOD_Phys+IF(Steroid_Q;((0,005+0,005*P_Q)*E_MHP+0,3*Self_AP+0,2*Self_AD)*MOD_Magic;0)</v>
      </c>
      <c r="V116" s="296" t="str">
        <f ca="1">IFERROR(__xludf.DUMMYFUNCTION("""COMPUTED_VALUE"""),"=((0,08+0,01*P_W)*Self_MHP+0,8*Self_AP)*MOD_Heal")</f>
        <v>=((0,08+0,01*P_W)*Self_MHP+0,8*Self_AP)*MOD_Heal</v>
      </c>
      <c r="W116" s="296" t="str">
        <f ca="1">IFERROR(__xludf.DUMMYFUNCTION("""COMPUTED_VALUE"""),"=(0,2*Self_AP+25*P_E+15)*MOD_Magic+(20*P_E+10)*MOD_Phys")</f>
        <v>=(0,2*Self_AP+25*P_E+15)*MOD_Magic+(20*P_E+10)*MOD_Phys</v>
      </c>
      <c r="X116" s="296" t="str">
        <f ca="1">IFERROR(__xludf.DUMMYFUNCTION("""COMPUTED_VALUE"""),"=(Self_AP+80*P_E-40)")</f>
        <v>=(Self_AP+80*P_E-40)</v>
      </c>
      <c r="Y116" s="297" t="str">
        <f ca="1">IFERROR(__xludf.DUMMYFUNCTION("""COMPUTED_VALUE"""),"=0")</f>
        <v>=0</v>
      </c>
      <c r="Z116" s="281" t="str">
        <f ca="1">IFERROR(__xludf.DUMMYFUNCTION("""COMPUTED_VALUE"""),"=3,75-0,25*P_Q")</f>
        <v>=3,75-0,25*P_Q</v>
      </c>
      <c r="AA116" s="282" t="str">
        <f ca="1">IFERROR(__xludf.DUMMYFUNCTION("""COMPUTED_VALUE"""),"=13,5-0,5*P_W")</f>
        <v>=13,5-0,5*P_W</v>
      </c>
      <c r="AB116" s="282" t="str">
        <f ca="1">IFERROR(__xludf.DUMMYFUNCTION("""COMPUTED_VALUE"""),"=14,5 - 0,5 * P_E")</f>
        <v>=14,5 - 0,5 * P_E</v>
      </c>
      <c r="AC116" s="282" t="str">
        <f ca="1">IFERROR(__xludf.DUMMYFUNCTION("""COMPUTED_VALUE"""),"=140 - 20 * P_R")</f>
        <v>=140 - 20 * P_R</v>
      </c>
      <c r="AD116" s="283" t="str">
        <f ca="1">IFERROR(__xludf.DUMMYFUNCTION("""COMPUTED_VALUE"""),"=1")</f>
        <v>=1</v>
      </c>
      <c r="AE116" s="281" t="b">
        <f ca="1">IFERROR(__xludf.DUMMYFUNCTION("""COMPUTED_VALUE"""),TRUE)</f>
        <v>1</v>
      </c>
      <c r="AF116" s="282" t="str">
        <f ca="1">IFERROR(__xludf.DUMMYFUNCTION("""COMPUTED_VALUE"""),"=Image(""https://ddragon.leagueoflegends.com/cdn/11.19.1/img/champion/Skarner.png"")")</f>
        <v>=Image("https://ddragon.leagueoflegends.com/cdn/11.19.1/img/champion/Skarner.png")</v>
      </c>
      <c r="AG116" s="282" t="str">
        <f ca="1">IFERROR(__xludf.DUMMYFUNCTION("""COMPUTED_VALUE"""),"=IF(OR(REGEXMATCH(FORMULATEXT(U116);""HMOD"");NOT(P_Q&gt;0));0;U116)+IF(OR(REGEXMATCH(FORMULATEXT(V116);""HMOD"");NOT(P_W&gt;0));0;V116)+IF(OR(REGEXMATCH(FORMULATEXT(W116);""HMOD"");NOT(P_E&gt;0));0;W116)+IF(OR(REGEXMATCH(FORMULATEXT(X116);""HMOD"");NOT(P_R&gt;0));0;"&amp;"X116)+IF(REGEXMATCH(FORMULATEXT(Y116);""HMOD"");0;Y116)+Self_Proc_Item+Self_Proc_Summ+Self_Proc_Rune+3*Self_DPS")</f>
        <v>=IF(OR(REGEXMATCH(FORMULATEXT(U116);"HMOD");NOT(P_Q&gt;0));0;U116)+IF(OR(REGEXMATCH(FORMULATEXT(V116);"HMOD");NOT(P_W&gt;0));0;V116)+IF(OR(REGEXMATCH(FORMULATEXT(W116);"HMOD");NOT(P_E&gt;0));0;W116)+IF(OR(REGEXMATCH(FORMULATEXT(X116);"HMOD");NOT(P_R&gt;0));0;X116)+IF(REGEXMATCH(FORMULATEXT(Y116);"HMOD");0;Y116)+Self_Proc_Item+Self_Proc_Summ+Self_Proc_Rune+3*Self_DPS</v>
      </c>
      <c r="AH116" s="282" t="str">
        <f ca="1">IFERROR(__xludf.DUMMYFUNCTION("""COMPUTED_VALUE"""),"=0")</f>
        <v>=0</v>
      </c>
      <c r="AI116" s="282" t="b">
        <f ca="1">IFERROR(__xludf.DUMMYFUNCTION("""COMPUTED_VALUE"""),FALSE)</f>
        <v>0</v>
      </c>
      <c r="AJ116" s="283" t="b">
        <f ca="1">IFERROR(__xludf.DUMMYFUNCTION("""COMPUTED_VALUE"""),FALSE)</f>
        <v>0</v>
      </c>
    </row>
    <row r="117" spans="1:36">
      <c r="A117" s="267" t="str">
        <f ca="1">IFERROR(__xludf.DUMMYFUNCTION("""COMPUTED_VALUE"""),"Sona")</f>
        <v>Sona</v>
      </c>
      <c r="B117" s="287" t="str">
        <f ca="1">IFERROR(__xludf.DUMMYFUNCTION("""COMPUTED_VALUE"""),"=550")</f>
        <v>=550</v>
      </c>
      <c r="C117" s="287" t="str">
        <f ca="1">IFERROR(__xludf.DUMMYFUNCTION("""COMPUTED_VALUE"""),"=91")</f>
        <v>=91</v>
      </c>
      <c r="D117" s="288" t="str">
        <f ca="1">IFERROR(__xludf.DUMMYFUNCTION("""COMPUTED_VALUE"""),"=5,5")</f>
        <v>=5,5</v>
      </c>
      <c r="E117" s="289" t="str">
        <f ca="1">IFERROR(__xludf.DUMMYFUNCTION("""COMPUTED_VALUE"""),"=0,55")</f>
        <v>=0,55</v>
      </c>
      <c r="F117" s="288" t="str">
        <f ca="1">IFERROR(__xludf.DUMMYFUNCTION("""COMPUTED_VALUE"""),"=340")</f>
        <v>=340</v>
      </c>
      <c r="G117" s="288" t="str">
        <f ca="1">IFERROR(__xludf.DUMMYFUNCTION("""COMPUTED_VALUE"""),"=45")</f>
        <v>=45</v>
      </c>
      <c r="H117" s="288" t="str">
        <f ca="1">IFERROR(__xludf.DUMMYFUNCTION("""COMPUTED_VALUE"""),"=11,5")</f>
        <v>=11,5</v>
      </c>
      <c r="I117" s="289" t="str">
        <f ca="1">IFERROR(__xludf.DUMMYFUNCTION("""COMPUTED_VALUE"""),"=0,4")</f>
        <v>=0,4</v>
      </c>
      <c r="J117" s="290" t="str">
        <f ca="1">IFERROR(__xludf.DUMMYFUNCTION("""COMPUTED_VALUE"""),"=49")</f>
        <v>=49</v>
      </c>
      <c r="K117" s="288" t="str">
        <f ca="1">IFERROR(__xludf.DUMMYFUNCTION("""COMPUTED_VALUE"""),"=3")</f>
        <v>=3</v>
      </c>
      <c r="L117" s="291" t="str">
        <f ca="1">IFERROR(__xludf.DUMMYFUNCTION("""COMPUTED_VALUE"""),"=0,644")</f>
        <v>=0,644</v>
      </c>
      <c r="M117" s="291" t="str">
        <f ca="1">IFERROR(__xludf.DUMMYFUNCTION("""COMPUTED_VALUE"""),"=0,644")</f>
        <v>=0,644</v>
      </c>
      <c r="N117" s="292" t="str">
        <f ca="1">IFERROR(__xludf.DUMMYFUNCTION("""COMPUTED_VALUE"""),"=2,3%")</f>
        <v>=2,3%</v>
      </c>
      <c r="O117" s="287" t="str">
        <f ca="1">IFERROR(__xludf.DUMMYFUNCTION("""COMPUTED_VALUE"""),"=26")</f>
        <v>=26</v>
      </c>
      <c r="P117" s="287" t="str">
        <f ca="1">IFERROR(__xludf.DUMMYFUNCTION("""COMPUTED_VALUE"""),"=4,2")</f>
        <v>=4,2</v>
      </c>
      <c r="Q117" s="288" t="str">
        <f ca="1">IFERROR(__xludf.DUMMYFUNCTION("""COMPUTED_VALUE"""),"=30")</f>
        <v>=30</v>
      </c>
      <c r="R117" s="289" t="str">
        <f ca="1">IFERROR(__xludf.DUMMYFUNCTION("""COMPUTED_VALUE"""),"=1,3")</f>
        <v>=1,3</v>
      </c>
      <c r="S117" s="287" t="str">
        <f ca="1">IFERROR(__xludf.DUMMYFUNCTION("""COMPUTED_VALUE"""),"=325")</f>
        <v>=325</v>
      </c>
      <c r="T117" s="628" t="str">
        <f ca="1">IFERROR(__xludf.DUMMYFUNCTION("""COMPUTED_VALUE"""),"=550")</f>
        <v>=550</v>
      </c>
      <c r="U117" s="298" t="str">
        <f ca="1">IFERROR(__xludf.DUMMYFUNCTION("""COMPUTED_VALUE"""),"=(40 * P_Q + 10 + 0,6 * Self_AP) * MOD_Magic")</f>
        <v>=(40 * P_Q + 10 + 0,6 * Self_AP) * MOD_Magic</v>
      </c>
      <c r="V117" s="299" t="str">
        <f ca="1">IFERROR(__xludf.DUMMYFUNCTION("""COMPUTED_VALUE"""),"=(35*P_W+20+0,4*Self_AP)*MOD_Heal")</f>
        <v>=(35*P_W+20+0,4*Self_AP)*MOD_Heal</v>
      </c>
      <c r="W117" s="299" t="str">
        <f ca="1">IFERROR(__xludf.DUMMYFUNCTION("""COMPUTED_VALUE"""),"=0")</f>
        <v>=0</v>
      </c>
      <c r="X117" s="299" t="str">
        <f ca="1">IFERROR(__xludf.DUMMYFUNCTION("""COMPUTED_VALUE"""),"=(Self_AP*0,5+50+100*P_R)*MOD_Magic")</f>
        <v>=(Self_AP*0,5+50+100*P_R)*MOD_Magic</v>
      </c>
      <c r="Y117" s="300" t="str">
        <f ca="1">IFERROR(__xludf.DUMMYFUNCTION("""COMPUTED_VALUE"""),"=(10 + 10 * Self_Level + IF(Self_Level &gt; 8; 5 * (Self_Level - 8); 0) + 0,2 * Self_AP) * IF(Steroid_Q; 1,4; 1) * MOD_Magic")</f>
        <v>=(10 + 10 * Self_Level + IF(Self_Level &gt; 8; 5 * (Self_Level - 8); 0) + 0,2 * Self_AP) * IF(Steroid_Q; 1,4; 1) * MOD_Magic</v>
      </c>
      <c r="Z117" s="281" t="str">
        <f ca="1">IFERROR(__xludf.DUMMYFUNCTION("""COMPUTED_VALUE"""),"=8")</f>
        <v>=8</v>
      </c>
      <c r="AA117" s="282" t="str">
        <f ca="1">IFERROR(__xludf.DUMMYFUNCTION("""COMPUTED_VALUE"""),"=10")</f>
        <v>=10</v>
      </c>
      <c r="AB117" s="282" t="str">
        <f ca="1">IFERROR(__xludf.DUMMYFUNCTION("""COMPUTED_VALUE"""),"=14")</f>
        <v>=14</v>
      </c>
      <c r="AC117" s="282" t="str">
        <f ca="1">IFERROR(__xludf.DUMMYFUNCTION("""COMPUTED_VALUE"""),"=160 - 20 * P_R")</f>
        <v>=160 - 20 * P_R</v>
      </c>
      <c r="AD117" s="283" t="str">
        <f ca="1">IFERROR(__xludf.DUMMYFUNCTION("""COMPUTED_VALUE"""),"=1")</f>
        <v>=1</v>
      </c>
      <c r="AE117" s="281" t="b">
        <f ca="1">IFERROR(__xludf.DUMMYFUNCTION("""COMPUTED_VALUE"""),FALSE)</f>
        <v>0</v>
      </c>
      <c r="AF117" s="282" t="str">
        <f ca="1">IFERROR(__xludf.DUMMYFUNCTION("""COMPUTED_VALUE"""),"=Image(""https://ddragon.leagueoflegends.com/cdn/11.19.1/img/champion/Sona.png"")")</f>
        <v>=Image("https://ddragon.leagueoflegends.com/cdn/11.19.1/img/champion/Sona.png")</v>
      </c>
      <c r="AG117" s="282" t="str">
        <f ca="1">IFERROR(__xludf.DUMMYFUNCTION("""COMPUTED_VALUE"""),"=IF(OR(REGEXMATCH(FORMULATEXT(U117);""HMOD"");NOT(P_Q&gt;0));0;U117)+IF(OR(REGEXMATCH(FORMULATEXT(V117);""HMOD"");NOT(P_W&gt;0));0;V117)+IF(OR(REGEXMATCH(FORMULATEXT(W117);""HMOD"");NOT(P_E&gt;0));0;W117)+IF(OR(REGEXMATCH(FORMULATEXT(X117);""HMOD"");NOT(P_R&gt;0));0;"&amp;"X117)+IF(REGEXMATCH(FORMULATEXT(Y117);""HMOD"");0;Y117)+Self_Proc_Item+Self_Proc_Summ+Self_Proc_Rune+3*Self_DPS")</f>
        <v>=IF(OR(REGEXMATCH(FORMULATEXT(U117);"HMOD");NOT(P_Q&gt;0));0;U117)+IF(OR(REGEXMATCH(FORMULATEXT(V117);"HMOD");NOT(P_W&gt;0));0;V117)+IF(OR(REGEXMATCH(FORMULATEXT(W117);"HMOD");NOT(P_E&gt;0));0;W117)+IF(OR(REGEXMATCH(FORMULATEXT(X117);"HMOD");NOT(P_R&gt;0));0;X117)+IF(REGEXMATCH(FORMULATEXT(Y117);"HMOD");0;Y117)+Self_Proc_Item+Self_Proc_Summ+Self_Proc_Rune+3*Self_DPS</v>
      </c>
      <c r="AH117" s="282" t="str">
        <f ca="1">IFERROR(__xludf.DUMMYFUNCTION("""COMPUTED_VALUE"""),"=0")</f>
        <v>=0</v>
      </c>
      <c r="AI117" s="282" t="b">
        <f ca="1">IFERROR(__xludf.DUMMYFUNCTION("""COMPUTED_VALUE"""),FALSE)</f>
        <v>0</v>
      </c>
      <c r="AJ117" s="283" t="b">
        <f ca="1">IFERROR(__xludf.DUMMYFUNCTION("""COMPUTED_VALUE"""),FALSE)</f>
        <v>0</v>
      </c>
    </row>
    <row r="118" spans="1:36">
      <c r="A118" s="267" t="str">
        <f ca="1">IFERROR(__xludf.DUMMYFUNCTION("""COMPUTED_VALUE"""),"Soraka")</f>
        <v>Soraka</v>
      </c>
      <c r="B118" s="287" t="str">
        <f ca="1">IFERROR(__xludf.DUMMYFUNCTION("""COMPUTED_VALUE"""),"=605")</f>
        <v>=605</v>
      </c>
      <c r="C118" s="287" t="str">
        <f ca="1">IFERROR(__xludf.DUMMYFUNCTION("""COMPUTED_VALUE"""),"=88")</f>
        <v>=88</v>
      </c>
      <c r="D118" s="288" t="str">
        <f ca="1">IFERROR(__xludf.DUMMYFUNCTION("""COMPUTED_VALUE"""),"=2,5")</f>
        <v>=2,5</v>
      </c>
      <c r="E118" s="289" t="str">
        <f ca="1">IFERROR(__xludf.DUMMYFUNCTION("""COMPUTED_VALUE"""),"=0,5")</f>
        <v>=0,5</v>
      </c>
      <c r="F118" s="288" t="str">
        <f ca="1">IFERROR(__xludf.DUMMYFUNCTION("""COMPUTED_VALUE"""),"=425")</f>
        <v>=425</v>
      </c>
      <c r="G118" s="288" t="str">
        <f ca="1">IFERROR(__xludf.DUMMYFUNCTION("""COMPUTED_VALUE"""),"=40")</f>
        <v>=40</v>
      </c>
      <c r="H118" s="288" t="str">
        <f ca="1">IFERROR(__xludf.DUMMYFUNCTION("""COMPUTED_VALUE"""),"=11,5")</f>
        <v>=11,5</v>
      </c>
      <c r="I118" s="289" t="str">
        <f ca="1">IFERROR(__xludf.DUMMYFUNCTION("""COMPUTED_VALUE"""),"=0,4")</f>
        <v>=0,4</v>
      </c>
      <c r="J118" s="290" t="str">
        <f ca="1">IFERROR(__xludf.DUMMYFUNCTION("""COMPUTED_VALUE"""),"=50")</f>
        <v>=50</v>
      </c>
      <c r="K118" s="288" t="str">
        <f ca="1">IFERROR(__xludf.DUMMYFUNCTION("""COMPUTED_VALUE"""),"=3")</f>
        <v>=3</v>
      </c>
      <c r="L118" s="291" t="str">
        <f ca="1">IFERROR(__xludf.DUMMYFUNCTION("""COMPUTED_VALUE"""),"=0,625")</f>
        <v>=0,625</v>
      </c>
      <c r="M118" s="291" t="str">
        <f ca="1">IFERROR(__xludf.DUMMYFUNCTION("""COMPUTED_VALUE"""),"=0,625")</f>
        <v>=0,625</v>
      </c>
      <c r="N118" s="292" t="str">
        <f ca="1">IFERROR(__xludf.DUMMYFUNCTION("""COMPUTED_VALUE"""),"=2,14%")</f>
        <v>=2,14%</v>
      </c>
      <c r="O118" s="287" t="str">
        <f ca="1">IFERROR(__xludf.DUMMYFUNCTION("""COMPUTED_VALUE"""),"=32")</f>
        <v>=32</v>
      </c>
      <c r="P118" s="287" t="str">
        <f ca="1">IFERROR(__xludf.DUMMYFUNCTION("""COMPUTED_VALUE"""),"=5")</f>
        <v>=5</v>
      </c>
      <c r="Q118" s="288" t="str">
        <f ca="1">IFERROR(__xludf.DUMMYFUNCTION("""COMPUTED_VALUE"""),"=30")</f>
        <v>=30</v>
      </c>
      <c r="R118" s="289" t="str">
        <f ca="1">IFERROR(__xludf.DUMMYFUNCTION("""COMPUTED_VALUE"""),"=1,3")</f>
        <v>=1,3</v>
      </c>
      <c r="S118" s="287" t="str">
        <f ca="1">IFERROR(__xludf.DUMMYFUNCTION("""COMPUTED_VALUE"""),"=325")</f>
        <v>=325</v>
      </c>
      <c r="T118" s="628" t="str">
        <f ca="1">IFERROR(__xludf.DUMMYFUNCTION("""COMPUTED_VALUE"""),"=550")</f>
        <v>=550</v>
      </c>
      <c r="U118" s="295" t="str">
        <f ca="1">IFERROR(__xludf.DUMMYFUNCTION("""COMPUTED_VALUE"""),"=(35*P_Q+50+0,35*Self_AP)*MOD_Magic")</f>
        <v>=(35*P_Q+50+0,35*Self_AP)*MOD_Magic</v>
      </c>
      <c r="V118" s="296" t="str">
        <f ca="1">IFERROR(__xludf.DUMMYFUNCTION("""COMPUTED_VALUE"""),"=(70+20*P_W+0,5*Self_AP)*MOD_Heal")</f>
        <v>=(70+20*P_W+0,5*Self_AP)*MOD_Heal</v>
      </c>
      <c r="W118" s="296" t="str">
        <f ca="1">IFERROR(__xludf.DUMMYFUNCTION("""COMPUTED_VALUE"""),"=(0,8*Self_AP+50*P_E+90)*MOD_Magic")</f>
        <v>=(0,8*Self_AP+50*P_E+90)*MOD_Magic</v>
      </c>
      <c r="X118" s="296" t="str">
        <f ca="1">IFERROR(__xludf.DUMMYFUNCTION("""COMPUTED_VALUE"""),"=(50 + 100 * P_R + 0,5 * Self_AP) * MOD_Heal")</f>
        <v>=(50 + 100 * P_R + 0,5 * Self_AP) * MOD_Heal</v>
      </c>
      <c r="Y118" s="297" t="str">
        <f ca="1">IFERROR(__xludf.DUMMYFUNCTION("""COMPUTED_VALUE"""),"=0")</f>
        <v>=0</v>
      </c>
      <c r="Z118" s="281" t="str">
        <f ca="1">IFERROR(__xludf.DUMMYFUNCTION("""COMPUTED_VALUE"""),"=9-P_Q")</f>
        <v>=9-P_Q</v>
      </c>
      <c r="AA118" s="282" t="str">
        <f ca="1">IFERROR(__xludf.DUMMYFUNCTION("""COMPUTED_VALUE"""),"=7-1*P_W")</f>
        <v>=7-1*P_W</v>
      </c>
      <c r="AB118" s="282" t="str">
        <f ca="1">IFERROR(__xludf.DUMMYFUNCTION("""COMPUTED_VALUE"""),"=26-2*P_E")</f>
        <v>=26-2*P_E</v>
      </c>
      <c r="AC118" s="282" t="str">
        <f ca="1">IFERROR(__xludf.DUMMYFUNCTION("""COMPUTED_VALUE"""),"=175-15*P_R")</f>
        <v>=175-15*P_R</v>
      </c>
      <c r="AD118" s="283" t="str">
        <f ca="1">IFERROR(__xludf.DUMMYFUNCTION("""COMPUTED_VALUE"""),"=1")</f>
        <v>=1</v>
      </c>
      <c r="AE118" s="281" t="b">
        <f ca="1">IFERROR(__xludf.DUMMYFUNCTION("""COMPUTED_VALUE"""),FALSE)</f>
        <v>0</v>
      </c>
      <c r="AF118" s="282" t="str">
        <f ca="1">IFERROR(__xludf.DUMMYFUNCTION("""COMPUTED_VALUE"""),"=Image(""https://ddragon.leagueoflegends.com/cdn/11.19.1/img/champion/Soraka.png"")")</f>
        <v>=Image("https://ddragon.leagueoflegends.com/cdn/11.19.1/img/champion/Soraka.png")</v>
      </c>
      <c r="AG118" s="282" t="str">
        <f ca="1">IFERROR(__xludf.DUMMYFUNCTION("""COMPUTED_VALUE"""),"=IF(OR(REGEXMATCH(FORMULATEXT(U118);""HMOD"");NOT(P_Q&gt;0));0;U118)+IF(OR(REGEXMATCH(FORMULATEXT(V118);""HMOD"");NOT(P_W&gt;0));0;V118)+IF(OR(REGEXMATCH(FORMULATEXT(W118);""HMOD"");NOT(P_E&gt;0));0;W118)+IF(OR(REGEXMATCH(FORMULATEXT(X118);""HMOD"");NOT(P_R&gt;0));0;"&amp;"X118)+IF(REGEXMATCH(FORMULATEXT(Y118);""HMOD"");0;Y118)+Self_Proc_Item+Self_Proc_Summ+Self_Proc_Rune+3*Self_DPS")</f>
        <v>=IF(OR(REGEXMATCH(FORMULATEXT(U118);"HMOD");NOT(P_Q&gt;0));0;U118)+IF(OR(REGEXMATCH(FORMULATEXT(V118);"HMOD");NOT(P_W&gt;0));0;V118)+IF(OR(REGEXMATCH(FORMULATEXT(W118);"HMOD");NOT(P_E&gt;0));0;W118)+IF(OR(REGEXMATCH(FORMULATEXT(X118);"HMOD");NOT(P_R&gt;0));0;X118)+IF(REGEXMATCH(FORMULATEXT(Y118);"HMOD");0;Y118)+Self_Proc_Item+Self_Proc_Summ+Self_Proc_Rune+3*Self_DPS</v>
      </c>
      <c r="AH118" s="282" t="str">
        <f ca="1">IFERROR(__xludf.DUMMYFUNCTION("""COMPUTED_VALUE"""),"=0")</f>
        <v>=0</v>
      </c>
      <c r="AI118" s="282" t="b">
        <f ca="1">IFERROR(__xludf.DUMMYFUNCTION("""COMPUTED_VALUE"""),FALSE)</f>
        <v>0</v>
      </c>
      <c r="AJ118" s="283" t="b">
        <f ca="1">IFERROR(__xludf.DUMMYFUNCTION("""COMPUTED_VALUE"""),FALSE)</f>
        <v>0</v>
      </c>
    </row>
    <row r="119" spans="1:36">
      <c r="A119" s="267" t="str">
        <f ca="1">IFERROR(__xludf.DUMMYFUNCTION("""COMPUTED_VALUE"""),"Swain")</f>
        <v>Swain</v>
      </c>
      <c r="B119" s="287" t="str">
        <f ca="1">IFERROR(__xludf.DUMMYFUNCTION("""COMPUTED_VALUE"""),"=595")</f>
        <v>=595</v>
      </c>
      <c r="C119" s="287" t="str">
        <f ca="1">IFERROR(__xludf.DUMMYFUNCTION("""COMPUTED_VALUE"""),"=99")</f>
        <v>=99</v>
      </c>
      <c r="D119" s="288" t="str">
        <f ca="1">IFERROR(__xludf.DUMMYFUNCTION("""COMPUTED_VALUE"""),"=7")</f>
        <v>=7</v>
      </c>
      <c r="E119" s="289" t="str">
        <f ca="1">IFERROR(__xludf.DUMMYFUNCTION("""COMPUTED_VALUE"""),"=0,65")</f>
        <v>=0,65</v>
      </c>
      <c r="F119" s="288" t="str">
        <f ca="1">IFERROR(__xludf.DUMMYFUNCTION("""COMPUTED_VALUE"""),"=468")</f>
        <v>=468</v>
      </c>
      <c r="G119" s="288" t="str">
        <f ca="1">IFERROR(__xludf.DUMMYFUNCTION("""COMPUTED_VALUE"""),"=28,5")</f>
        <v>=28,5</v>
      </c>
      <c r="H119" s="288" t="str">
        <f ca="1">IFERROR(__xludf.DUMMYFUNCTION("""COMPUTED_VALUE"""),"=8")</f>
        <v>=8</v>
      </c>
      <c r="I119" s="289" t="str">
        <f ca="1">IFERROR(__xludf.DUMMYFUNCTION("""COMPUTED_VALUE"""),"=0,8")</f>
        <v>=0,8</v>
      </c>
      <c r="J119" s="290" t="str">
        <f ca="1">IFERROR(__xludf.DUMMYFUNCTION("""COMPUTED_VALUE"""),"=58")</f>
        <v>=58</v>
      </c>
      <c r="K119" s="288" t="str">
        <f ca="1">IFERROR(__xludf.DUMMYFUNCTION("""COMPUTED_VALUE"""),"=2,7")</f>
        <v>=2,7</v>
      </c>
      <c r="L119" s="291" t="str">
        <f ca="1">IFERROR(__xludf.DUMMYFUNCTION("""COMPUTED_VALUE"""),"=0,625")</f>
        <v>=0,625</v>
      </c>
      <c r="M119" s="291" t="str">
        <f ca="1">IFERROR(__xludf.DUMMYFUNCTION("""COMPUTED_VALUE"""),"=0,625")</f>
        <v>=0,625</v>
      </c>
      <c r="N119" s="292" t="str">
        <f ca="1">IFERROR(__xludf.DUMMYFUNCTION("""COMPUTED_VALUE"""),"=2,11%")</f>
        <v>=2,11%</v>
      </c>
      <c r="O119" s="287" t="str">
        <f ca="1">IFERROR(__xludf.DUMMYFUNCTION("""COMPUTED_VALUE"""),"=26")</f>
        <v>=26</v>
      </c>
      <c r="P119" s="287" t="str">
        <f ca="1">IFERROR(__xludf.DUMMYFUNCTION("""COMPUTED_VALUE"""),"=5,2")</f>
        <v>=5,2</v>
      </c>
      <c r="Q119" s="288" t="str">
        <f ca="1">IFERROR(__xludf.DUMMYFUNCTION("""COMPUTED_VALUE"""),"=30")</f>
        <v>=30</v>
      </c>
      <c r="R119" s="289" t="str">
        <f ca="1">IFERROR(__xludf.DUMMYFUNCTION("""COMPUTED_VALUE"""),"=1,3")</f>
        <v>=1,3</v>
      </c>
      <c r="S119" s="287" t="str">
        <f ca="1">IFERROR(__xludf.DUMMYFUNCTION("""COMPUTED_VALUE"""),"=330")</f>
        <v>=330</v>
      </c>
      <c r="T119" s="628" t="str">
        <f ca="1">IFERROR(__xludf.DUMMYFUNCTION("""COMPUTED_VALUE"""),"=525")</f>
        <v>=525</v>
      </c>
      <c r="U119" s="298" t="str">
        <f ca="1">IFERROR(__xludf.DUMMYFUNCTION("""COMPUTED_VALUE"""),"=IF(Steroid_Q; 65 + 60 * P_Q + 0,8 * Self_AP; 20 * P_Q + 45 + 0,4 * Self_AP) * MOD_Magic")</f>
        <v>=IF(Steroid_Q; 65 + 60 * P_Q + 0,8 * Self_AP; 20 * P_Q + 45 + 0,4 * Self_AP) * MOD_Magic</v>
      </c>
      <c r="V119" s="299" t="str">
        <f ca="1">IFERROR(__xludf.DUMMYFUNCTION("""COMPUTED_VALUE"""),"=(45+35*P_W+0,55*Self_AP)*MOD_Magic")</f>
        <v>=(45+35*P_W+0,55*Self_AP)*MOD_Magic</v>
      </c>
      <c r="W119" s="299" t="str">
        <f ca="1">IFERROR(__xludf.DUMMYFUNCTION("""COMPUTED_VALUE"""),"=(0,5*Self_AP+45*P_E+25)*MOD_Magic")</f>
        <v>=(0,5*Self_AP+45*P_E+25)*MOD_Magic</v>
      </c>
      <c r="X119" s="299" t="str">
        <f ca="1">IFERROR(__xludf.DUMMYFUNCTION("""COMPUTED_VALUE"""),"=(75+Self_AP*0,6+75*P_R)*MOD_Magic")</f>
        <v>=(75+Self_AP*0,6+75*P_R)*MOD_Magic</v>
      </c>
      <c r="Y119" s="300" t="str">
        <f ca="1">IFERROR(__xludf.DUMMYFUNCTION("""COMPUTED_VALUE"""),"=0")</f>
        <v>=0</v>
      </c>
      <c r="Z119" s="281" t="str">
        <f ca="1">IFERROR(__xludf.DUMMYFUNCTION("""COMPUTED_VALUE"""),"=8-P_Q")</f>
        <v>=8-P_Q</v>
      </c>
      <c r="AA119" s="282" t="str">
        <f ca="1">IFERROR(__xludf.DUMMYFUNCTION("""COMPUTED_VALUE"""),"=23-P_W")</f>
        <v>=23-P_W</v>
      </c>
      <c r="AB119" s="282" t="str">
        <f ca="1">IFERROR(__xludf.DUMMYFUNCTION("""COMPUTED_VALUE"""),"=10")</f>
        <v>=10</v>
      </c>
      <c r="AC119" s="282" t="str">
        <f ca="1">IFERROR(__xludf.DUMMYFUNCTION("""COMPUTED_VALUE"""),"=120-20*P_R")</f>
        <v>=120-20*P_R</v>
      </c>
      <c r="AD119" s="283" t="str">
        <f ca="1">IFERROR(__xludf.DUMMYFUNCTION("""COMPUTED_VALUE"""),"=1")</f>
        <v>=1</v>
      </c>
      <c r="AE119" s="281" t="b">
        <f ca="1">IFERROR(__xludf.DUMMYFUNCTION("""COMPUTED_VALUE"""),FALSE)</f>
        <v>0</v>
      </c>
      <c r="AF119" s="282" t="str">
        <f ca="1">IFERROR(__xludf.DUMMYFUNCTION("""COMPUTED_VALUE"""),"=Image(""https://ddragon.leagueoflegends.com/cdn/11.19.1/img/champion/Swain.png"")")</f>
        <v>=Image("https://ddragon.leagueoflegends.com/cdn/11.19.1/img/champion/Swain.png")</v>
      </c>
      <c r="AG119" s="282" t="str">
        <f ca="1">IFERROR(__xludf.DUMMYFUNCTION("""COMPUTED_VALUE"""),"=IF(OR(REGEXMATCH(FORMULATEXT(U119);""HMOD"");NOT(P_Q&gt;0));0;U119)+IF(OR(REGEXMATCH(FORMULATEXT(V119);""HMOD"");NOT(P_W&gt;0));0;V119)+IF(OR(REGEXMATCH(FORMULATEXT(W119);""HMOD"");NOT(P_E&gt;0));0;W119)+IF(OR(REGEXMATCH(FORMULATEXT(X119);""HMOD"");NOT(P_R&gt;0));0;"&amp;"X119)+IF(REGEXMATCH(FORMULATEXT(Y119);""HMOD"");0;Y119)+Self_Proc_Item+Self_Proc_Summ+Self_Proc_Rune+3*Self_DPS")</f>
        <v>=IF(OR(REGEXMATCH(FORMULATEXT(U119);"HMOD");NOT(P_Q&gt;0));0;U119)+IF(OR(REGEXMATCH(FORMULATEXT(V119);"HMOD");NOT(P_W&gt;0));0;V119)+IF(OR(REGEXMATCH(FORMULATEXT(W119);"HMOD");NOT(P_E&gt;0));0;W119)+IF(OR(REGEXMATCH(FORMULATEXT(X119);"HMOD");NOT(P_R&gt;0));0;X119)+IF(REGEXMATCH(FORMULATEXT(Y119);"HMOD");0;Y119)+Self_Proc_Item+Self_Proc_Summ+Self_Proc_Rune+3*Self_DPS</v>
      </c>
      <c r="AH119" s="282" t="str">
        <f ca="1">IFERROR(__xludf.DUMMYFUNCTION("""COMPUTED_VALUE"""),"=0")</f>
        <v>=0</v>
      </c>
      <c r="AI119" s="282" t="b">
        <f ca="1">IFERROR(__xludf.DUMMYFUNCTION("""COMPUTED_VALUE"""),FALSE)</f>
        <v>0</v>
      </c>
      <c r="AJ119" s="283" t="b">
        <f ca="1">IFERROR(__xludf.DUMMYFUNCTION("""COMPUTED_VALUE"""),FALSE)</f>
        <v>0</v>
      </c>
    </row>
    <row r="120" spans="1:36">
      <c r="A120" s="267" t="str">
        <f ca="1">IFERROR(__xludf.DUMMYFUNCTION("""COMPUTED_VALUE"""),"Sylas")</f>
        <v>Sylas</v>
      </c>
      <c r="B120" s="287" t="str">
        <f ca="1">IFERROR(__xludf.DUMMYFUNCTION("""COMPUTED_VALUE"""),"=575")</f>
        <v>=575</v>
      </c>
      <c r="C120" s="287" t="str">
        <f ca="1">IFERROR(__xludf.DUMMYFUNCTION("""COMPUTED_VALUE"""),"=129")</f>
        <v>=129</v>
      </c>
      <c r="D120" s="288" t="str">
        <f ca="1">IFERROR(__xludf.DUMMYFUNCTION("""COMPUTED_VALUE"""),"=9")</f>
        <v>=9</v>
      </c>
      <c r="E120" s="289" t="str">
        <f ca="1">IFERROR(__xludf.DUMMYFUNCTION("""COMPUTED_VALUE"""),"=0,9")</f>
        <v>=0,9</v>
      </c>
      <c r="F120" s="288" t="str">
        <f ca="1">IFERROR(__xludf.DUMMYFUNCTION("""COMPUTED_VALUE"""),"=310")</f>
        <v>=310</v>
      </c>
      <c r="G120" s="288" t="str">
        <f ca="1">IFERROR(__xludf.DUMMYFUNCTION("""COMPUTED_VALUE"""),"=70")</f>
        <v>=70</v>
      </c>
      <c r="H120" s="288" t="str">
        <f ca="1">IFERROR(__xludf.DUMMYFUNCTION("""COMPUTED_VALUE"""),"=8")</f>
        <v>=8</v>
      </c>
      <c r="I120" s="289" t="str">
        <f ca="1">IFERROR(__xludf.DUMMYFUNCTION("""COMPUTED_VALUE"""),"=0,8")</f>
        <v>=0,8</v>
      </c>
      <c r="J120" s="290" t="str">
        <f ca="1">IFERROR(__xludf.DUMMYFUNCTION("""COMPUTED_VALUE"""),"=61")</f>
        <v>=61</v>
      </c>
      <c r="K120" s="288" t="str">
        <f ca="1">IFERROR(__xludf.DUMMYFUNCTION("""COMPUTED_VALUE"""),"=3")</f>
        <v>=3</v>
      </c>
      <c r="L120" s="291" t="str">
        <f ca="1">IFERROR(__xludf.DUMMYFUNCTION("""COMPUTED_VALUE"""),"=0,645")</f>
        <v>=0,645</v>
      </c>
      <c r="M120" s="291" t="str">
        <f ca="1">IFERROR(__xludf.DUMMYFUNCTION("""COMPUTED_VALUE"""),"=0,645")</f>
        <v>=0,645</v>
      </c>
      <c r="N120" s="292" t="str">
        <f ca="1">IFERROR(__xludf.DUMMYFUNCTION("""COMPUTED_VALUE"""),"=3,5%")</f>
        <v>=3,5%</v>
      </c>
      <c r="O120" s="287" t="str">
        <f ca="1">IFERROR(__xludf.DUMMYFUNCTION("""COMPUTED_VALUE"""),"=27")</f>
        <v>=27</v>
      </c>
      <c r="P120" s="287" t="str">
        <f ca="1">IFERROR(__xludf.DUMMYFUNCTION("""COMPUTED_VALUE"""),"=5,2")</f>
        <v>=5,2</v>
      </c>
      <c r="Q120" s="288" t="str">
        <f ca="1">IFERROR(__xludf.DUMMYFUNCTION("""COMPUTED_VALUE"""),"=32")</f>
        <v>=32</v>
      </c>
      <c r="R120" s="289" t="str">
        <f ca="1">IFERROR(__xludf.DUMMYFUNCTION("""COMPUTED_VALUE"""),"=2,55")</f>
        <v>=2,55</v>
      </c>
      <c r="S120" s="287" t="str">
        <f ca="1">IFERROR(__xludf.DUMMYFUNCTION("""COMPUTED_VALUE"""),"=340")</f>
        <v>=340</v>
      </c>
      <c r="T120" s="628" t="str">
        <f ca="1">IFERROR(__xludf.DUMMYFUNCTION("""COMPUTED_VALUE"""),"=175")</f>
        <v>=175</v>
      </c>
      <c r="U120" s="295" t="str">
        <f ca="1">IFERROR(__xludf.DUMMYFUNCTION("""COMPUTED_VALUE"""),"=(35 + 75 * P_Q + 1,3 * Self_AP) * MOD_Magic")</f>
        <v>=(35 + 75 * P_Q + 1,3 * Self_AP) * MOD_Magic</v>
      </c>
      <c r="V120" s="296" t="str">
        <f ca="1">IFERROR(__xludf.DUMMYFUNCTION("""COMPUTED_VALUE"""),"=(35 + 35 * P_W + 0,9 * Self_AP) * MOD_Magic")</f>
        <v>=(35 + 35 * P_W + 0,9 * Self_AP) * MOD_Magic</v>
      </c>
      <c r="W120" s="296" t="str">
        <f ca="1">IFERROR(__xludf.DUMMYFUNCTION("""COMPUTED_VALUE"""),"=(30+50*P_E+Self_AP)*MOD_Magic")</f>
        <v>=(30+50*P_E+Self_AP)*MOD_Magic</v>
      </c>
      <c r="X120" s="296" t="str">
        <f ca="1">IFERROR(__xludf.DUMMYFUNCTION("""COMPUTED_VALUE"""),"=IF(C_SylasUltimate=""Sylas"";0;VLOOKUP(C_SylasUltimate;Champs!A2:X180;24;FALSE))")</f>
        <v>=IF(C_SylasUltimate="Sylas";0;VLOOKUP(C_SylasUltimate;Champs!A2:X180;24;FALSE))</v>
      </c>
      <c r="Y120" s="297" t="str">
        <f ca="1">IFERROR(__xludf.DUMMYFUNCTION("""COMPUTED_VALUE"""),"=Self_AD*1,3*MOD_Phys+(0,25*Self_AP+6+3*Self_Level)*MOD_Magic")</f>
        <v>=Self_AD*1,3*MOD_Phys+(0,25*Self_AP+6+3*Self_Level)*MOD_Magic</v>
      </c>
      <c r="Z120" s="281" t="str">
        <f ca="1">IFERROR(__xludf.DUMMYFUNCTION("""COMPUTED_VALUE"""),"=12-P_Q")</f>
        <v>=12-P_Q</v>
      </c>
      <c r="AA120" s="282" t="str">
        <f ca="1">IFERROR(__xludf.DUMMYFUNCTION("""COMPUTED_VALUE"""),"=14,75-1,75*P_W")</f>
        <v>=14,75-1,75*P_W</v>
      </c>
      <c r="AB120" s="282" t="str">
        <f ca="1">IFERROR(__xludf.DUMMYFUNCTION("""COMPUTED_VALUE"""),"=14-P_E")</f>
        <v>=14-P_E</v>
      </c>
      <c r="AC120" s="282" t="str">
        <f ca="1">IFERROR(__xludf.DUMMYFUNCTION("""COMPUTED_VALUE"""),"=105-25*P_R")</f>
        <v>=105-25*P_R</v>
      </c>
      <c r="AD120" s="283" t="str">
        <f ca="1">IFERROR(__xludf.DUMMYFUNCTION("""COMPUTED_VALUE"""),"=16-rounddown(Self_Level/4)")</f>
        <v>=16-rounddown(Self_Level/4)</v>
      </c>
      <c r="AE120" s="281" t="b">
        <f ca="1">IFERROR(__xludf.DUMMYFUNCTION("""COMPUTED_VALUE"""),TRUE)</f>
        <v>1</v>
      </c>
      <c r="AF120" s="282" t="str">
        <f ca="1">IFERROR(__xludf.DUMMYFUNCTION("""COMPUTED_VALUE"""),"=Image(""https://ddragon.leagueoflegends.com/cdn/11.19.1/img/champion/Sylas.png"")")</f>
        <v>=Image("https://ddragon.leagueoflegends.com/cdn/11.19.1/img/champion/Sylas.png")</v>
      </c>
      <c r="AG120" s="282" t="str">
        <f ca="1">IFERROR(__xludf.DUMMYFUNCTION("""COMPUTED_VALUE"""),"=IF(OR(REGEXMATCH(FORMULATEXT(U120);""HMOD"");NOT(P_Q&gt;0));0;U120)+IF(OR(REGEXMATCH(FORMULATEXT(V120);""HMOD"");NOT(P_W&gt;0));0;V120)+IF(OR(REGEXMATCH(FORMULATEXT(W120);""HMOD"");NOT(P_E&gt;0));0;W120)+IF(OR(REGEXMATCH(FORMULATEXT(X120);""HMOD"");NOT(P_R&gt;0));0;"&amp;"X120)+IF(REGEXMATCH(FORMULATEXT(Y120);""HMOD"");0;Y120)+Self_Proc_Item+Self_Proc_Summ+Self_Proc_Rune+3*Self_DPS")</f>
        <v>=IF(OR(REGEXMATCH(FORMULATEXT(U120);"HMOD");NOT(P_Q&gt;0));0;U120)+IF(OR(REGEXMATCH(FORMULATEXT(V120);"HMOD");NOT(P_W&gt;0));0;V120)+IF(OR(REGEXMATCH(FORMULATEXT(W120);"HMOD");NOT(P_E&gt;0));0;W120)+IF(OR(REGEXMATCH(FORMULATEXT(X120);"HMOD");NOT(P_R&gt;0));0;X120)+IF(REGEXMATCH(FORMULATEXT(Y120);"HMOD");0;Y120)+Self_Proc_Item+Self_Proc_Summ+Self_Proc_Rune+3*Self_DPS</v>
      </c>
      <c r="AH120" s="282" t="str">
        <f ca="1">IFERROR(__xludf.DUMMYFUNCTION("""COMPUTED_VALUE"""),"=0")</f>
        <v>=0</v>
      </c>
      <c r="AI120" s="282" t="b">
        <f ca="1">IFERROR(__xludf.DUMMYFUNCTION("""COMPUTED_VALUE"""),FALSE)</f>
        <v>0</v>
      </c>
      <c r="AJ120" s="283" t="b">
        <f ca="1">IFERROR(__xludf.DUMMYFUNCTION("""COMPUTED_VALUE"""),FALSE)</f>
        <v>0</v>
      </c>
    </row>
    <row r="121" spans="1:36">
      <c r="A121" s="267" t="str">
        <f ca="1">IFERROR(__xludf.DUMMYFUNCTION("""COMPUTED_VALUE"""),"Syndra")</f>
        <v>Syndra</v>
      </c>
      <c r="B121" s="287" t="str">
        <f ca="1">IFERROR(__xludf.DUMMYFUNCTION("""COMPUTED_VALUE"""),"=563")</f>
        <v>=563</v>
      </c>
      <c r="C121" s="287" t="str">
        <f ca="1">IFERROR(__xludf.DUMMYFUNCTION("""COMPUTED_VALUE"""),"=104")</f>
        <v>=104</v>
      </c>
      <c r="D121" s="288" t="str">
        <f ca="1">IFERROR(__xludf.DUMMYFUNCTION("""COMPUTED_VALUE"""),"=6,5")</f>
        <v>=6,5</v>
      </c>
      <c r="E121" s="289" t="str">
        <f ca="1">IFERROR(__xludf.DUMMYFUNCTION("""COMPUTED_VALUE"""),"=0,6")</f>
        <v>=0,6</v>
      </c>
      <c r="F121" s="288" t="str">
        <f ca="1">IFERROR(__xludf.DUMMYFUNCTION("""COMPUTED_VALUE"""),"=480")</f>
        <v>=480</v>
      </c>
      <c r="G121" s="288" t="str">
        <f ca="1">IFERROR(__xludf.DUMMYFUNCTION("""COMPUTED_VALUE"""),"=40")</f>
        <v>=40</v>
      </c>
      <c r="H121" s="288" t="str">
        <f ca="1">IFERROR(__xludf.DUMMYFUNCTION("""COMPUTED_VALUE"""),"=8")</f>
        <v>=8</v>
      </c>
      <c r="I121" s="289" t="str">
        <f ca="1">IFERROR(__xludf.DUMMYFUNCTION("""COMPUTED_VALUE"""),"=0,8")</f>
        <v>=0,8</v>
      </c>
      <c r="J121" s="290" t="str">
        <f ca="1">IFERROR(__xludf.DUMMYFUNCTION("""COMPUTED_VALUE"""),"=54")</f>
        <v>=54</v>
      </c>
      <c r="K121" s="288" t="str">
        <f ca="1">IFERROR(__xludf.DUMMYFUNCTION("""COMPUTED_VALUE"""),"=2,9")</f>
        <v>=2,9</v>
      </c>
      <c r="L121" s="291" t="str">
        <f ca="1">IFERROR(__xludf.DUMMYFUNCTION("""COMPUTED_VALUE"""),"=0,625")</f>
        <v>=0,625</v>
      </c>
      <c r="M121" s="291" t="str">
        <f ca="1">IFERROR(__xludf.DUMMYFUNCTION("""COMPUTED_VALUE"""),"=0,625")</f>
        <v>=0,625</v>
      </c>
      <c r="N121" s="292" t="str">
        <f ca="1">IFERROR(__xludf.DUMMYFUNCTION("""COMPUTED_VALUE"""),"=2%")</f>
        <v>=2%</v>
      </c>
      <c r="O121" s="287" t="str">
        <f ca="1">IFERROR(__xludf.DUMMYFUNCTION("""COMPUTED_VALUE"""),"=25")</f>
        <v>=25</v>
      </c>
      <c r="P121" s="287" t="str">
        <f ca="1">IFERROR(__xludf.DUMMYFUNCTION("""COMPUTED_VALUE"""),"=4,6")</f>
        <v>=4,6</v>
      </c>
      <c r="Q121" s="288" t="str">
        <f ca="1">IFERROR(__xludf.DUMMYFUNCTION("""COMPUTED_VALUE"""),"=30")</f>
        <v>=30</v>
      </c>
      <c r="R121" s="289" t="str">
        <f ca="1">IFERROR(__xludf.DUMMYFUNCTION("""COMPUTED_VALUE"""),"=1,3")</f>
        <v>=1,3</v>
      </c>
      <c r="S121" s="287" t="str">
        <f ca="1">IFERROR(__xludf.DUMMYFUNCTION("""COMPUTED_VALUE"""),"=330")</f>
        <v>=330</v>
      </c>
      <c r="T121" s="628" t="str">
        <f ca="1">IFERROR(__xludf.DUMMYFUNCTION("""COMPUTED_VALUE"""),"=550")</f>
        <v>=550</v>
      </c>
      <c r="U121" s="298" t="str">
        <f ca="1">IFERROR(__xludf.DUMMYFUNCTION("""COMPUTED_VALUE"""),"=(0,7 * Self_AP + 35 * P_Q + 35) * MOD_Magic")</f>
        <v>=(0,7 * Self_AP + 35 * P_Q + 35) * MOD_Magic</v>
      </c>
      <c r="V121" s="299" t="str">
        <f ca="1">IFERROR(__xludf.DUMMYFUNCTION("""COMPUTED_VALUE"""),"=(0,7 * Self_AP + 40 * P_W + 30) * IF(Steroid_W; 0,12 * MOD_True + 0,0002 * Self_AP + MOD_Magic; MOD_Magic)")</f>
        <v>=(0,7 * Self_AP + 40 * P_W + 30) * IF(Steroid_W; 0,12 * MOD_True + 0,0002 * Self_AP + MOD_Magic; MOD_Magic)</v>
      </c>
      <c r="W121" s="299" t="str">
        <f ca="1">IFERROR(__xludf.DUMMYFUNCTION("""COMPUTED_VALUE"""),"=(0,45 * Self_AP + 40 * P_E + 35) * MOD_Magic")</f>
        <v>=(0,45 * Self_AP + 40 * P_E + 35) * MOD_Magic</v>
      </c>
      <c r="X121" s="299" t="str">
        <f ca="1">IFERROR(__xludf.DUMMYFUNCTION("""COMPUTED_VALUE"""),"=IF(Steroid_R; 7; 3) * (0,17 * Self_AP + 40 * P_R + 50) * MOD_Magic")</f>
        <v>=IF(Steroid_R; 7; 3) * (0,17 * Self_AP + 40 * P_R + 50) * MOD_Magic</v>
      </c>
      <c r="Y121" s="300" t="str">
        <f ca="1">IFERROR(__xludf.DUMMYFUNCTION("""COMPUTED_VALUE"""),"=0")</f>
        <v>=0</v>
      </c>
      <c r="Z121" s="281" t="str">
        <f ca="1">IFERROR(__xludf.DUMMYFUNCTION("""COMPUTED_VALUE"""),"=7")</f>
        <v>=7</v>
      </c>
      <c r="AA121" s="282" t="str">
        <f ca="1">IFERROR(__xludf.DUMMYFUNCTION("""COMPUTED_VALUE"""),"=13-P_W")</f>
        <v>=13-P_W</v>
      </c>
      <c r="AB121" s="282" t="str">
        <f ca="1">IFERROR(__xludf.DUMMYFUNCTION("""COMPUTED_VALUE"""),"=17")</f>
        <v>=17</v>
      </c>
      <c r="AC121" s="282" t="str">
        <f ca="1">IFERROR(__xludf.DUMMYFUNCTION("""COMPUTED_VALUE"""),"=140 - 20 * P_R")</f>
        <v>=140 - 20 * P_R</v>
      </c>
      <c r="AD121" s="283" t="str">
        <f ca="1">IFERROR(__xludf.DUMMYFUNCTION("""COMPUTED_VALUE"""),"=1")</f>
        <v>=1</v>
      </c>
      <c r="AE121" s="281" t="b">
        <f ca="1">IFERROR(__xludf.DUMMYFUNCTION("""COMPUTED_VALUE"""),FALSE)</f>
        <v>0</v>
      </c>
      <c r="AF121" s="282" t="str">
        <f ca="1">IFERROR(__xludf.DUMMYFUNCTION("""COMPUTED_VALUE"""),"=Image(""https://ddragon.leagueoflegends.com/cdn/11.19.1/img/champion/Syndra.png"")")</f>
        <v>=Image("https://ddragon.leagueoflegends.com/cdn/11.19.1/img/champion/Syndra.png")</v>
      </c>
      <c r="AG121" s="282" t="str">
        <f ca="1">IFERROR(__xludf.DUMMYFUNCTION("""COMPUTED_VALUE"""),"=IF(OR(REGEXMATCH(FORMULATEXT(U121);""HMOD"");NOT(P_Q&gt;0));0;U121)+IF(OR(REGEXMATCH(FORMULATEXT(V121);""HMOD"");NOT(P_W&gt;0));0;V121)+IF(OR(REGEXMATCH(FORMULATEXT(W121);""HMOD"");NOT(P_E&gt;0));0;W121)+IF(OR(REGEXMATCH(FORMULATEXT(X121);""HMOD"");NOT(P_R&gt;0));0;"&amp;"X121)+IF(REGEXMATCH(FORMULATEXT(Y121);""HMOD"");0;Y121)+Self_Proc_Item+Self_Proc_Summ+Self_Proc_Rune+3*Self_DPS")</f>
        <v>=IF(OR(REGEXMATCH(FORMULATEXT(U121);"HMOD");NOT(P_Q&gt;0));0;U121)+IF(OR(REGEXMATCH(FORMULATEXT(V121);"HMOD");NOT(P_W&gt;0));0;V121)+IF(OR(REGEXMATCH(FORMULATEXT(W121);"HMOD");NOT(P_E&gt;0));0;W121)+IF(OR(REGEXMATCH(FORMULATEXT(X121);"HMOD");NOT(P_R&gt;0));0;X121)+IF(REGEXMATCH(FORMULATEXT(Y121);"HMOD");0;Y121)+Self_Proc_Item+Self_Proc_Summ+Self_Proc_Rune+3*Self_DPS</v>
      </c>
      <c r="AH121" s="282" t="str">
        <f ca="1">IFERROR(__xludf.DUMMYFUNCTION("""COMPUTED_VALUE"""),"=0")</f>
        <v>=0</v>
      </c>
      <c r="AI121" s="282" t="b">
        <f ca="1">IFERROR(__xludf.DUMMYFUNCTION("""COMPUTED_VALUE"""),FALSE)</f>
        <v>0</v>
      </c>
      <c r="AJ121" s="283" t="b">
        <f ca="1">IFERROR(__xludf.DUMMYFUNCTION("""COMPUTED_VALUE"""),FALSE)</f>
        <v>0</v>
      </c>
    </row>
    <row r="122" spans="1:36">
      <c r="A122" s="267" t="str">
        <f ca="1">IFERROR(__xludf.DUMMYFUNCTION("""COMPUTED_VALUE"""),"Tahm Kench")</f>
        <v>Tahm Kench</v>
      </c>
      <c r="B122" s="287" t="str">
        <f ca="1">IFERROR(__xludf.DUMMYFUNCTION("""COMPUTED_VALUE"""),"=640")</f>
        <v>=640</v>
      </c>
      <c r="C122" s="287" t="str">
        <f ca="1">IFERROR(__xludf.DUMMYFUNCTION("""COMPUTED_VALUE"""),"=103")</f>
        <v>=103</v>
      </c>
      <c r="D122" s="288" t="str">
        <f ca="1">IFERROR(__xludf.DUMMYFUNCTION("""COMPUTED_VALUE"""),"=6,5")</f>
        <v>=6,5</v>
      </c>
      <c r="E122" s="289" t="str">
        <f ca="1">IFERROR(__xludf.DUMMYFUNCTION("""COMPUTED_VALUE"""),"=0,55")</f>
        <v>=0,55</v>
      </c>
      <c r="F122" s="288" t="str">
        <f ca="1">IFERROR(__xludf.DUMMYFUNCTION("""COMPUTED_VALUE"""),"=325")</f>
        <v>=325</v>
      </c>
      <c r="G122" s="288" t="str">
        <f ca="1">IFERROR(__xludf.DUMMYFUNCTION("""COMPUTED_VALUE"""),"=50")</f>
        <v>=50</v>
      </c>
      <c r="H122" s="288" t="str">
        <f ca="1">IFERROR(__xludf.DUMMYFUNCTION("""COMPUTED_VALUE"""),"=8")</f>
        <v>=8</v>
      </c>
      <c r="I122" s="289" t="str">
        <f ca="1">IFERROR(__xludf.DUMMYFUNCTION("""COMPUTED_VALUE"""),"=1")</f>
        <v>=1</v>
      </c>
      <c r="J122" s="290" t="str">
        <f ca="1">IFERROR(__xludf.DUMMYFUNCTION("""COMPUTED_VALUE"""),"=56")</f>
        <v>=56</v>
      </c>
      <c r="K122" s="288" t="str">
        <f ca="1">IFERROR(__xludf.DUMMYFUNCTION("""COMPUTED_VALUE"""),"=3,2")</f>
        <v>=3,2</v>
      </c>
      <c r="L122" s="291" t="str">
        <f ca="1">IFERROR(__xludf.DUMMYFUNCTION("""COMPUTED_VALUE"""),"=0,658")</f>
        <v>=0,658</v>
      </c>
      <c r="M122" s="291" t="str">
        <f ca="1">IFERROR(__xludf.DUMMYFUNCTION("""COMPUTED_VALUE"""),"=0,658")</f>
        <v>=0,658</v>
      </c>
      <c r="N122" s="292" t="str">
        <f ca="1">IFERROR(__xludf.DUMMYFUNCTION("""COMPUTED_VALUE"""),"=2,5%")</f>
        <v>=2,5%</v>
      </c>
      <c r="O122" s="287" t="str">
        <f ca="1">IFERROR(__xludf.DUMMYFUNCTION("""COMPUTED_VALUE"""),"=42")</f>
        <v>=42</v>
      </c>
      <c r="P122" s="287" t="str">
        <f ca="1">IFERROR(__xludf.DUMMYFUNCTION("""COMPUTED_VALUE"""),"=4,7")</f>
        <v>=4,7</v>
      </c>
      <c r="Q122" s="288" t="str">
        <f ca="1">IFERROR(__xludf.DUMMYFUNCTION("""COMPUTED_VALUE"""),"=32")</f>
        <v>=32</v>
      </c>
      <c r="R122" s="289" t="str">
        <f ca="1">IFERROR(__xludf.DUMMYFUNCTION("""COMPUTED_VALUE"""),"=2,05")</f>
        <v>=2,05</v>
      </c>
      <c r="S122" s="287" t="str">
        <f ca="1">IFERROR(__xludf.DUMMYFUNCTION("""COMPUTED_VALUE"""),"=335")</f>
        <v>=335</v>
      </c>
      <c r="T122" s="628" t="str">
        <f ca="1">IFERROR(__xludf.DUMMYFUNCTION("""COMPUTED_VALUE"""),"=175")</f>
        <v>=175</v>
      </c>
      <c r="U122" s="295" t="str">
        <f ca="1">IFERROR(__xludf.DUMMYFUNCTION("""COMPUTED_VALUE"""),"=(45 * P_Q + 35 + 1 * Self_AP) * MOD_Magic + Y122")</f>
        <v>=(45 * P_Q + 35 + 1 * Self_AP) * MOD_Magic + Y122</v>
      </c>
      <c r="V122" s="296" t="str">
        <f ca="1">IFERROR(__xludf.DUMMYFUNCTION("""COMPUTED_VALUE"""),"=(1,5 * Self_AP + 35 * P_W + 65)*MOD_Magic")</f>
        <v>=(1,5 * Self_AP + 35 * P_W + 65)*MOD_Magic</v>
      </c>
      <c r="W122" s="296" t="str">
        <f ca="1">IFERROR(__xludf.DUMMYFUNCTION("""COMPUTED_VALUE"""),"=0")</f>
        <v>=0</v>
      </c>
      <c r="X122" s="296" t="str">
        <f ca="1">IFERROR(__xludf.DUMMYFUNCTION("""COMPUTED_VALUE"""),"=((0,0007 * Self_AP + 0,15)*E_MHP - 50 + 150 * P_R)*MOD_Magic")</f>
        <v>=((0,0007 * Self_AP + 0,15)*E_MHP - 50 + 150 * P_R)*MOD_Magic</v>
      </c>
      <c r="Y122" s="297" t="str">
        <f ca="1">IFERROR(__xludf.DUMMYFUNCTION("""COMPUTED_VALUE"""),"=0,03 * Self_BoHP + 8 + 52 * Sc_Lin + 0,0002 * Self_BoHP * Self_AP")</f>
        <v>=0,03 * Self_BoHP + 8 + 52 * Sc_Lin + 0,0002 * Self_BoHP * Self_AP</v>
      </c>
      <c r="Z122" s="281" t="str">
        <f ca="1">IFERROR(__xludf.DUMMYFUNCTION("""COMPUTED_VALUE"""),"=7,5-0,5*P_Q")</f>
        <v>=7,5-0,5*P_Q</v>
      </c>
      <c r="AA122" s="282" t="str">
        <f ca="1">IFERROR(__xludf.DUMMYFUNCTION("""COMPUTED_VALUE"""),"=22 - P_W")</f>
        <v>=22 - P_W</v>
      </c>
      <c r="AB122" s="282" t="str">
        <f ca="1">IFERROR(__xludf.DUMMYFUNCTION("""COMPUTED_VALUE"""),"=6")</f>
        <v>=6</v>
      </c>
      <c r="AC122" s="282" t="str">
        <f ca="1">IFERROR(__xludf.DUMMYFUNCTION("""COMPUTED_VALUE"""),"=150-10*P_R")</f>
        <v>=150-10*P_R</v>
      </c>
      <c r="AD122" s="283" t="str">
        <f ca="1">IFERROR(__xludf.DUMMYFUNCTION("""COMPUTED_VALUE"""),"=1")</f>
        <v>=1</v>
      </c>
      <c r="AE122" s="281" t="b">
        <f ca="1">IFERROR(__xludf.DUMMYFUNCTION("""COMPUTED_VALUE"""),TRUE)</f>
        <v>1</v>
      </c>
      <c r="AF122" s="282" t="str">
        <f ca="1">IFERROR(__xludf.DUMMYFUNCTION("""COMPUTED_VALUE"""),"=Image(""https://ddragon.leagueoflegends.com/cdn/11.19.1/img/champion/TahmKench.png"")")</f>
        <v>=Image("https://ddragon.leagueoflegends.com/cdn/11.19.1/img/champion/TahmKench.png")</v>
      </c>
      <c r="AG122" s="282" t="str">
        <f ca="1">IFERROR(__xludf.DUMMYFUNCTION("""COMPUTED_VALUE"""),"=IF(OR(REGEXMATCH(FORMULATEXT(U122);""HMOD"");NOT(P_Q&gt;0));0;U122)+IF(OR(REGEXMATCH(FORMULATEXT(V122);""HMOD"");NOT(P_W&gt;0));0;V122)+IF(OR(REGEXMATCH(FORMULATEXT(W122);""HMOD"");NOT(P_E&gt;0));0;W122)+IF(OR(REGEXMATCH(FORMULATEXT(X122);""HMOD"");NOT(P_R&gt;0));0;"&amp;"X122)+IF(REGEXMATCH(FORMULATEXT(Y122);""HMOD"");0;Y122)+Self_Proc_Item+Self_Proc_Summ+Self_Proc_Rune+3*Self_DPS")</f>
        <v>=IF(OR(REGEXMATCH(FORMULATEXT(U122);"HMOD");NOT(P_Q&gt;0));0;U122)+IF(OR(REGEXMATCH(FORMULATEXT(V122);"HMOD");NOT(P_W&gt;0));0;V122)+IF(OR(REGEXMATCH(FORMULATEXT(W122);"HMOD");NOT(P_E&gt;0));0;W122)+IF(OR(REGEXMATCH(FORMULATEXT(X122);"HMOD");NOT(P_R&gt;0));0;X122)+IF(REGEXMATCH(FORMULATEXT(Y122);"HMOD");0;Y122)+Self_Proc_Item+Self_Proc_Summ+Self_Proc_Rune+3*Self_DPS</v>
      </c>
      <c r="AH122" s="282" t="str">
        <f ca="1">IFERROR(__xludf.DUMMYFUNCTION("""COMPUTED_VALUE"""),"=0")</f>
        <v>=0</v>
      </c>
      <c r="AI122" s="282" t="b">
        <f ca="1">IFERROR(__xludf.DUMMYFUNCTION("""COMPUTED_VALUE"""),FALSE)</f>
        <v>0</v>
      </c>
      <c r="AJ122" s="283" t="b">
        <f ca="1">IFERROR(__xludf.DUMMYFUNCTION("""COMPUTED_VALUE"""),FALSE)</f>
        <v>0</v>
      </c>
    </row>
    <row r="123" spans="1:36">
      <c r="A123" s="267" t="str">
        <f ca="1">IFERROR(__xludf.DUMMYFUNCTION("""COMPUTED_VALUE"""),"Taliyah")</f>
        <v>Taliyah</v>
      </c>
      <c r="B123" s="287" t="str">
        <f ca="1">IFERROR(__xludf.DUMMYFUNCTION("""COMPUTED_VALUE"""),"=550")</f>
        <v>=550</v>
      </c>
      <c r="C123" s="287" t="str">
        <f ca="1">IFERROR(__xludf.DUMMYFUNCTION("""COMPUTED_VALUE"""),"=104")</f>
        <v>=104</v>
      </c>
      <c r="D123" s="288" t="str">
        <f ca="1">IFERROR(__xludf.DUMMYFUNCTION("""COMPUTED_VALUE"""),"=6,5")</f>
        <v>=6,5</v>
      </c>
      <c r="E123" s="289" t="str">
        <f ca="1">IFERROR(__xludf.DUMMYFUNCTION("""COMPUTED_VALUE"""),"=0,65")</f>
        <v>=0,65</v>
      </c>
      <c r="F123" s="288" t="str">
        <f ca="1">IFERROR(__xludf.DUMMYFUNCTION("""COMPUTED_VALUE"""),"=470")</f>
        <v>=470</v>
      </c>
      <c r="G123" s="288" t="str">
        <f ca="1">IFERROR(__xludf.DUMMYFUNCTION("""COMPUTED_VALUE"""),"=30")</f>
        <v>=30</v>
      </c>
      <c r="H123" s="288" t="str">
        <f ca="1">IFERROR(__xludf.DUMMYFUNCTION("""COMPUTED_VALUE"""),"=8")</f>
        <v>=8</v>
      </c>
      <c r="I123" s="289" t="str">
        <f ca="1">IFERROR(__xludf.DUMMYFUNCTION("""COMPUTED_VALUE"""),"=0,8")</f>
        <v>=0,8</v>
      </c>
      <c r="J123" s="290" t="str">
        <f ca="1">IFERROR(__xludf.DUMMYFUNCTION("""COMPUTED_VALUE"""),"=58")</f>
        <v>=58</v>
      </c>
      <c r="K123" s="288" t="str">
        <f ca="1">IFERROR(__xludf.DUMMYFUNCTION("""COMPUTED_VALUE"""),"=3,3")</f>
        <v>=3,3</v>
      </c>
      <c r="L123" s="291" t="str">
        <f ca="1">IFERROR(__xludf.DUMMYFUNCTION("""COMPUTED_VALUE"""),"=0,625")</f>
        <v>=0,625</v>
      </c>
      <c r="M123" s="291" t="str">
        <f ca="1">IFERROR(__xludf.DUMMYFUNCTION("""COMPUTED_VALUE"""),"=0,625")</f>
        <v>=0,625</v>
      </c>
      <c r="N123" s="292" t="str">
        <f ca="1">IFERROR(__xludf.DUMMYFUNCTION("""COMPUTED_VALUE"""),"=1,36%")</f>
        <v>=1,36%</v>
      </c>
      <c r="O123" s="287" t="str">
        <f ca="1">IFERROR(__xludf.DUMMYFUNCTION("""COMPUTED_VALUE"""),"=18")</f>
        <v>=18</v>
      </c>
      <c r="P123" s="287" t="str">
        <f ca="1">IFERROR(__xludf.DUMMYFUNCTION("""COMPUTED_VALUE"""),"=4,7")</f>
        <v>=4,7</v>
      </c>
      <c r="Q123" s="288" t="str">
        <f ca="1">IFERROR(__xludf.DUMMYFUNCTION("""COMPUTED_VALUE"""),"=30")</f>
        <v>=30</v>
      </c>
      <c r="R123" s="289" t="str">
        <f ca="1">IFERROR(__xludf.DUMMYFUNCTION("""COMPUTED_VALUE"""),"=1,3")</f>
        <v>=1,3</v>
      </c>
      <c r="S123" s="287" t="str">
        <f ca="1">IFERROR(__xludf.DUMMYFUNCTION("""COMPUTED_VALUE"""),"=330")</f>
        <v>=330</v>
      </c>
      <c r="T123" s="628" t="str">
        <f ca="1">IFERROR(__xludf.DUMMYFUNCTION("""COMPUTED_VALUE"""),"=525")</f>
        <v>=525</v>
      </c>
      <c r="U123" s="298" t="str">
        <f ca="1">IFERROR(__xludf.DUMMYFUNCTION("""COMPUTED_VALUE"""),"=IF(Steroid_Q; 2,6; 1) * (20 * P_Q + 25 + 0,5 * Self_AP) * MOD_Magic")</f>
        <v>=IF(Steroid_Q; 2,6; 1) * (20 * P_Q + 25 + 0,5 * Self_AP) * MOD_Magic</v>
      </c>
      <c r="V123" s="299" t="str">
        <f ca="1">IFERROR(__xludf.DUMMYFUNCTION("""COMPUTED_VALUE"""),"=0")</f>
        <v>=0</v>
      </c>
      <c r="W123" s="299" t="str">
        <f ca="1">IFERROR(__xludf.DUMMYFUNCTION("""COMPUTED_VALUE"""),"=(0,6 * Self_AP + 45 * P_E + 15) * MOD_Magic + IF(Steroid_E;2,5;0) * (5 + 20 * P_E + 0,3 * Self_AP) * MOD_Magic")</f>
        <v>=(0,6 * Self_AP + 45 * P_E + 15) * MOD_Magic + IF(Steroid_E;2,5;0) * (5 + 20 * P_E + 0,3 * Self_AP) * MOD_Magic</v>
      </c>
      <c r="X123" s="299" t="str">
        <f ca="1">IFERROR(__xludf.DUMMYFUNCTION("""COMPUTED_VALUE"""),"=0")</f>
        <v>=0</v>
      </c>
      <c r="Y123" s="300" t="str">
        <f ca="1">IFERROR(__xludf.DUMMYFUNCTION("""COMPUTED_VALUE"""),"=0")</f>
        <v>=0</v>
      </c>
      <c r="Z123" s="281" t="str">
        <f ca="1">IFERROR(__xludf.DUMMYFUNCTION("""COMPUTED_VALUE"""),"=8-P_Q")</f>
        <v>=8-P_Q</v>
      </c>
      <c r="AA123" s="282" t="str">
        <f ca="1">IFERROR(__xludf.DUMMYFUNCTION("""COMPUTED_VALUE"""),"=15,5-1,5*P_W")</f>
        <v>=15,5-1,5*P_W</v>
      </c>
      <c r="AB123" s="282" t="str">
        <f ca="1">IFERROR(__xludf.DUMMYFUNCTION("""COMPUTED_VALUE"""),"=19-P_E")</f>
        <v>=19-P_E</v>
      </c>
      <c r="AC123" s="282" t="str">
        <f ca="1">IFERROR(__xludf.DUMMYFUNCTION("""COMPUTED_VALUE"""),"=210-30*P_R")</f>
        <v>=210-30*P_R</v>
      </c>
      <c r="AD123" s="283" t="str">
        <f ca="1">IFERROR(__xludf.DUMMYFUNCTION("""COMPUTED_VALUE"""),"=1")</f>
        <v>=1</v>
      </c>
      <c r="AE123" s="281" t="b">
        <f ca="1">IFERROR(__xludf.DUMMYFUNCTION("""COMPUTED_VALUE"""),FALSE)</f>
        <v>0</v>
      </c>
      <c r="AF123" s="282" t="str">
        <f ca="1">IFERROR(__xludf.DUMMYFUNCTION("""COMPUTED_VALUE"""),"=Image(""https://ddragon.leagueoflegends.com/cdn/11.19.1/img/champion/Taliyah.png"")")</f>
        <v>=Image("https://ddragon.leagueoflegends.com/cdn/11.19.1/img/champion/Taliyah.png")</v>
      </c>
      <c r="AG123" s="282" t="str">
        <f ca="1">IFERROR(__xludf.DUMMYFUNCTION("""COMPUTED_VALUE"""),"=IF(OR(REGEXMATCH(FORMULATEXT(U123);""HMOD"");NOT(P_Q&gt;0));0;U123)+IF(OR(REGEXMATCH(FORMULATEXT(V123);""HMOD"");NOT(P_W&gt;0));0;V123)+IF(OR(REGEXMATCH(FORMULATEXT(W123);""HMOD"");NOT(P_E&gt;0));0;W123)+IF(OR(REGEXMATCH(FORMULATEXT(X123);""HMOD"");NOT(P_R&gt;0));0;"&amp;"X123)+IF(REGEXMATCH(FORMULATEXT(Y123);""HMOD"");0;Y123)+Self_Proc_Item+Self_Proc_Summ+Self_Proc_Rune+3*Self_DPS")</f>
        <v>=IF(OR(REGEXMATCH(FORMULATEXT(U123);"HMOD");NOT(P_Q&gt;0));0;U123)+IF(OR(REGEXMATCH(FORMULATEXT(V123);"HMOD");NOT(P_W&gt;0));0;V123)+IF(OR(REGEXMATCH(FORMULATEXT(W123);"HMOD");NOT(P_E&gt;0));0;W123)+IF(OR(REGEXMATCH(FORMULATEXT(X123);"HMOD");NOT(P_R&gt;0));0;X123)+IF(REGEXMATCH(FORMULATEXT(Y123);"HMOD");0;Y123)+Self_Proc_Item+Self_Proc_Summ+Self_Proc_Rune+3*Self_DPS</v>
      </c>
      <c r="AH123" s="282" t="str">
        <f ca="1">IFERROR(__xludf.DUMMYFUNCTION("""COMPUTED_VALUE"""),"=0")</f>
        <v>=0</v>
      </c>
      <c r="AI123" s="282" t="b">
        <f ca="1">IFERROR(__xludf.DUMMYFUNCTION("""COMPUTED_VALUE"""),FALSE)</f>
        <v>0</v>
      </c>
      <c r="AJ123" s="283" t="b">
        <f ca="1">IFERROR(__xludf.DUMMYFUNCTION("""COMPUTED_VALUE"""),FALSE)</f>
        <v>0</v>
      </c>
    </row>
    <row r="124" spans="1:36">
      <c r="A124" s="267" t="str">
        <f ca="1">IFERROR(__xludf.DUMMYFUNCTION("""COMPUTED_VALUE"""),"Talon")</f>
        <v>Talon</v>
      </c>
      <c r="B124" s="287" t="str">
        <f ca="1">IFERROR(__xludf.DUMMYFUNCTION("""COMPUTED_VALUE"""),"=658")</f>
        <v>=658</v>
      </c>
      <c r="C124" s="287" t="str">
        <f ca="1">IFERROR(__xludf.DUMMYFUNCTION("""COMPUTED_VALUE"""),"=109")</f>
        <v>=109</v>
      </c>
      <c r="D124" s="288" t="str">
        <f ca="1">IFERROR(__xludf.DUMMYFUNCTION("""COMPUTED_VALUE"""),"=8,5")</f>
        <v>=8,5</v>
      </c>
      <c r="E124" s="289" t="str">
        <f ca="1">IFERROR(__xludf.DUMMYFUNCTION("""COMPUTED_VALUE"""),"=0,75")</f>
        <v>=0,75</v>
      </c>
      <c r="F124" s="288" t="str">
        <f ca="1">IFERROR(__xludf.DUMMYFUNCTION("""COMPUTED_VALUE"""),"=400")</f>
        <v>=400</v>
      </c>
      <c r="G124" s="288" t="str">
        <f ca="1">IFERROR(__xludf.DUMMYFUNCTION("""COMPUTED_VALUE"""),"=37")</f>
        <v>=37</v>
      </c>
      <c r="H124" s="288" t="str">
        <f ca="1">IFERROR(__xludf.DUMMYFUNCTION("""COMPUTED_VALUE"""),"=7,6")</f>
        <v>=7,6</v>
      </c>
      <c r="I124" s="289" t="str">
        <f ca="1">IFERROR(__xludf.DUMMYFUNCTION("""COMPUTED_VALUE"""),"=0,8")</f>
        <v>=0,8</v>
      </c>
      <c r="J124" s="290" t="str">
        <f ca="1">IFERROR(__xludf.DUMMYFUNCTION("""COMPUTED_VALUE"""),"=68")</f>
        <v>=68</v>
      </c>
      <c r="K124" s="288" t="str">
        <f ca="1">IFERROR(__xludf.DUMMYFUNCTION("""COMPUTED_VALUE"""),"=3,1")</f>
        <v>=3,1</v>
      </c>
      <c r="L124" s="291" t="str">
        <f ca="1">IFERROR(__xludf.DUMMYFUNCTION("""COMPUTED_VALUE"""),"=0,625")</f>
        <v>=0,625</v>
      </c>
      <c r="M124" s="291" t="str">
        <f ca="1">IFERROR(__xludf.DUMMYFUNCTION("""COMPUTED_VALUE"""),"=0,625")</f>
        <v>=0,625</v>
      </c>
      <c r="N124" s="292" t="str">
        <f ca="1">IFERROR(__xludf.DUMMYFUNCTION("""COMPUTED_VALUE"""),"=2,9%")</f>
        <v>=2,9%</v>
      </c>
      <c r="O124" s="287" t="str">
        <f ca="1">IFERROR(__xludf.DUMMYFUNCTION("""COMPUTED_VALUE"""),"=30")</f>
        <v>=30</v>
      </c>
      <c r="P124" s="287" t="str">
        <f ca="1">IFERROR(__xludf.DUMMYFUNCTION("""COMPUTED_VALUE"""),"=4,7")</f>
        <v>=4,7</v>
      </c>
      <c r="Q124" s="288" t="str">
        <f ca="1">IFERROR(__xludf.DUMMYFUNCTION("""COMPUTED_VALUE"""),"=39")</f>
        <v>=39</v>
      </c>
      <c r="R124" s="289" t="str">
        <f ca="1">IFERROR(__xludf.DUMMYFUNCTION("""COMPUTED_VALUE"""),"=2,05")</f>
        <v>=2,05</v>
      </c>
      <c r="S124" s="287" t="str">
        <f ca="1">IFERROR(__xludf.DUMMYFUNCTION("""COMPUTED_VALUE"""),"=335")</f>
        <v>=335</v>
      </c>
      <c r="T124" s="628" t="str">
        <f ca="1">IFERROR(__xludf.DUMMYFUNCTION("""COMPUTED_VALUE"""),"=125")</f>
        <v>=125</v>
      </c>
      <c r="U124" s="295" t="str">
        <f ca="1">IFERROR(__xludf.DUMMYFUNCTION("""COMPUTED_VALUE"""),"=IF(Steroid_Q; 1,5 + IT_CDMG; 1) * (20 * P_Q + 45 + Self_BoAD) * MOD_Phys")</f>
        <v>=IF(Steroid_Q; 1,5 + IT_CDMG; 1) * (20 * P_Q + 45 + Self_BoAD) * MOD_Phys</v>
      </c>
      <c r="V124" s="296" t="str">
        <f ca="1">IFERROR(__xludf.DUMMYFUNCTION("""COMPUTED_VALUE"""),"=(50 + 1,2 * Self_BoAD + 40 * P_W) * MOD_Phys")</f>
        <v>=(50 + 1,2 * Self_BoAD + 40 * P_W) * MOD_Phys</v>
      </c>
      <c r="W124" s="296" t="str">
        <f ca="1">IFERROR(__xludf.DUMMYFUNCTION("""COMPUTED_VALUE"""),"=0")</f>
        <v>=0</v>
      </c>
      <c r="X124" s="296" t="str">
        <f ca="1">IFERROR(__xludf.DUMMYFUNCTION("""COMPUTED_VALUE"""),"=(2*Self_BoAD+90*P_R+90)*MOD_Phys")</f>
        <v>=(2*Self_BoAD+90*P_R+90)*MOD_Phys</v>
      </c>
      <c r="Y124" s="297" t="str">
        <f ca="1">IFERROR(__xludf.DUMMYFUNCTION("""COMPUTED_VALUE"""),"=(80 + 200 * Sc_Lin + 2,1 * Self_BoAD) * MOD_Phys")</f>
        <v>=(80 + 200 * Sc_Lin + 2,1 * Self_BoAD) * MOD_Phys</v>
      </c>
      <c r="Z124" s="281" t="str">
        <f ca="1">IFERROR(__xludf.DUMMYFUNCTION("""COMPUTED_VALUE"""),"=8,5-0,5*P_Q")</f>
        <v>=8,5-0,5*P_Q</v>
      </c>
      <c r="AA124" s="282" t="str">
        <f ca="1">IFERROR(__xludf.DUMMYFUNCTION("""COMPUTED_VALUE"""),"=9,5-0,5*P_W")</f>
        <v>=9,5-0,5*P_W</v>
      </c>
      <c r="AB124" s="282" t="str">
        <f ca="1">IFERROR(__xludf.DUMMYFUNCTION("""COMPUTED_VALUE"""),"=185-25*P_E")</f>
        <v>=185-25*P_E</v>
      </c>
      <c r="AC124" s="282" t="str">
        <f ca="1">IFERROR(__xludf.DUMMYFUNCTION("""COMPUTED_VALUE"""),"=120-20*P_R")</f>
        <v>=120-20*P_R</v>
      </c>
      <c r="AD124" s="283" t="str">
        <f ca="1">IFERROR(__xludf.DUMMYFUNCTION("""COMPUTED_VALUE"""),"=1")</f>
        <v>=1</v>
      </c>
      <c r="AE124" s="281" t="b">
        <f ca="1">IFERROR(__xludf.DUMMYFUNCTION("""COMPUTED_VALUE"""),TRUE)</f>
        <v>1</v>
      </c>
      <c r="AF124" s="282" t="str">
        <f ca="1">IFERROR(__xludf.DUMMYFUNCTION("""COMPUTED_VALUE"""),"=Image(""https://ddragon.leagueoflegends.com/cdn/11.19.1/img/champion/Talon.png"")")</f>
        <v>=Image("https://ddragon.leagueoflegends.com/cdn/11.19.1/img/champion/Talon.png")</v>
      </c>
      <c r="AG124" s="282" t="str">
        <f ca="1">IFERROR(__xludf.DUMMYFUNCTION("""COMPUTED_VALUE"""),"=IF(OR(REGEXMATCH(FORMULATEXT(U124);""HMOD"");NOT(P_Q&gt;0));0;U124)+IF(OR(REGEXMATCH(FORMULATEXT(V124);""HMOD"");NOT(P_W&gt;0));0;V124)+IF(OR(REGEXMATCH(FORMULATEXT(W124);""HMOD"");NOT(P_E&gt;0));0;W124)+IF(OR(REGEXMATCH(FORMULATEXT(X124);""HMOD"");NOT(P_R&gt;0));0;"&amp;"X124)+IF(REGEXMATCH(FORMULATEXT(Y124);""HMOD"");0;Y124)+Self_Proc_Item+Self_Proc_Summ+Self_Proc_Rune+3*Self_DPS")</f>
        <v>=IF(OR(REGEXMATCH(FORMULATEXT(U124);"HMOD");NOT(P_Q&gt;0));0;U124)+IF(OR(REGEXMATCH(FORMULATEXT(V124);"HMOD");NOT(P_W&gt;0));0;V124)+IF(OR(REGEXMATCH(FORMULATEXT(W124);"HMOD");NOT(P_E&gt;0));0;W124)+IF(OR(REGEXMATCH(FORMULATEXT(X124);"HMOD");NOT(P_R&gt;0));0;X124)+IF(REGEXMATCH(FORMULATEXT(Y124);"HMOD");0;Y124)+Self_Proc_Item+Self_Proc_Summ+Self_Proc_Rune+3*Self_DPS</v>
      </c>
      <c r="AH124" s="282" t="str">
        <f ca="1">IFERROR(__xludf.DUMMYFUNCTION("""COMPUTED_VALUE"""),"=0")</f>
        <v>=0</v>
      </c>
      <c r="AI124" s="282" t="b">
        <f ca="1">IFERROR(__xludf.DUMMYFUNCTION("""COMPUTED_VALUE"""),FALSE)</f>
        <v>0</v>
      </c>
      <c r="AJ124" s="283" t="b">
        <f ca="1">IFERROR(__xludf.DUMMYFUNCTION("""COMPUTED_VALUE"""),FALSE)</f>
        <v>0</v>
      </c>
    </row>
    <row r="125" spans="1:36">
      <c r="A125" s="267" t="str">
        <f ca="1">IFERROR(__xludf.DUMMYFUNCTION("""COMPUTED_VALUE"""),"Taric")</f>
        <v>Taric</v>
      </c>
      <c r="B125" s="287" t="str">
        <f ca="1">IFERROR(__xludf.DUMMYFUNCTION("""COMPUTED_VALUE"""),"=645")</f>
        <v>=645</v>
      </c>
      <c r="C125" s="287" t="str">
        <f ca="1">IFERROR(__xludf.DUMMYFUNCTION("""COMPUTED_VALUE"""),"=99")</f>
        <v>=99</v>
      </c>
      <c r="D125" s="288" t="str">
        <f ca="1">IFERROR(__xludf.DUMMYFUNCTION("""COMPUTED_VALUE"""),"=6")</f>
        <v>=6</v>
      </c>
      <c r="E125" s="289" t="str">
        <f ca="1">IFERROR(__xludf.DUMMYFUNCTION("""COMPUTED_VALUE"""),"=0,5")</f>
        <v>=0,5</v>
      </c>
      <c r="F125" s="288" t="str">
        <f ca="1">IFERROR(__xludf.DUMMYFUNCTION("""COMPUTED_VALUE"""),"=300")</f>
        <v>=300</v>
      </c>
      <c r="G125" s="288" t="str">
        <f ca="1">IFERROR(__xludf.DUMMYFUNCTION("""COMPUTED_VALUE"""),"=60")</f>
        <v>=60</v>
      </c>
      <c r="H125" s="288" t="str">
        <f ca="1">IFERROR(__xludf.DUMMYFUNCTION("""COMPUTED_VALUE"""),"=8,5")</f>
        <v>=8,5</v>
      </c>
      <c r="I125" s="289" t="str">
        <f ca="1">IFERROR(__xludf.DUMMYFUNCTION("""COMPUTED_VALUE"""),"=0,8")</f>
        <v>=0,8</v>
      </c>
      <c r="J125" s="290" t="str">
        <f ca="1">IFERROR(__xludf.DUMMYFUNCTION("""COMPUTED_VALUE"""),"=55")</f>
        <v>=55</v>
      </c>
      <c r="K125" s="288" t="str">
        <f ca="1">IFERROR(__xludf.DUMMYFUNCTION("""COMPUTED_VALUE"""),"=3,5")</f>
        <v>=3,5</v>
      </c>
      <c r="L125" s="291" t="str">
        <f ca="1">IFERROR(__xludf.DUMMYFUNCTION("""COMPUTED_VALUE"""),"=0,625")</f>
        <v>=0,625</v>
      </c>
      <c r="M125" s="291" t="str">
        <f ca="1">IFERROR(__xludf.DUMMYFUNCTION("""COMPUTED_VALUE"""),"=0,625")</f>
        <v>=0,625</v>
      </c>
      <c r="N125" s="292" t="str">
        <f ca="1">IFERROR(__xludf.DUMMYFUNCTION("""COMPUTED_VALUE"""),"=2%")</f>
        <v>=2%</v>
      </c>
      <c r="O125" s="287" t="str">
        <f ca="1">IFERROR(__xludf.DUMMYFUNCTION("""COMPUTED_VALUE"""),"=40")</f>
        <v>=40</v>
      </c>
      <c r="P125" s="287" t="str">
        <f ca="1">IFERROR(__xludf.DUMMYFUNCTION("""COMPUTED_VALUE"""),"=4,6")</f>
        <v>=4,6</v>
      </c>
      <c r="Q125" s="288" t="str">
        <f ca="1">IFERROR(__xludf.DUMMYFUNCTION("""COMPUTED_VALUE"""),"=28")</f>
        <v>=28</v>
      </c>
      <c r="R125" s="289" t="str">
        <f ca="1">IFERROR(__xludf.DUMMYFUNCTION("""COMPUTED_VALUE"""),"=2,05")</f>
        <v>=2,05</v>
      </c>
      <c r="S125" s="287" t="str">
        <f ca="1">IFERROR(__xludf.DUMMYFUNCTION("""COMPUTED_VALUE"""),"=340")</f>
        <v>=340</v>
      </c>
      <c r="T125" s="628" t="str">
        <f ca="1">IFERROR(__xludf.DUMMYFUNCTION("""COMPUTED_VALUE"""),"=150")</f>
        <v>=150</v>
      </c>
      <c r="U125" s="298" t="str">
        <f ca="1">IFERROR(__xludf.DUMMYFUNCTION("""COMPUTED_VALUE"""),"=(P_Q*(25 + 0,15 * Self_AP + 0,01 * Self_MHP)) * MOD_Heal")</f>
        <v>=(P_Q*(25 + 0,15 * Self_AP + 0,01 * Self_MHP)) * MOD_Heal</v>
      </c>
      <c r="V125" s="299" t="str">
        <f ca="1">IFERROR(__xludf.DUMMYFUNCTION("""COMPUTED_VALUE"""),"=((0,06 + 0,01 * P_W) * Self_MHP) * MOD_Heal")</f>
        <v>=((0,06 + 0,01 * P_W) * Self_MHP) * MOD_Heal</v>
      </c>
      <c r="W125" s="299" t="str">
        <f ca="1">IFERROR(__xludf.DUMMYFUNCTION("""COMPUTED_VALUE"""),"=(40*P_E+50+0,5*Self_AP+0,5*Self_BoAR)*MOD_Magic")</f>
        <v>=(40*P_E+50+0,5*Self_AP+0,5*Self_BoAR)*MOD_Magic</v>
      </c>
      <c r="X125" s="299" t="str">
        <f ca="1">IFERROR(__xludf.DUMMYFUNCTION("""COMPUTED_VALUE"""),"=0")</f>
        <v>=0</v>
      </c>
      <c r="Y125" s="300" t="str">
        <f ca="1">IFERROR(__xludf.DUMMYFUNCTION("""COMPUTED_VALUE"""),"=(21+4*Self_Level+0,15*Self_BoAR)*MOD_Magic")</f>
        <v>=(21+4*Self_Level+0,15*Self_BoAR)*MOD_Magic</v>
      </c>
      <c r="Z125" s="281" t="str">
        <f ca="1">IFERROR(__xludf.DUMMYFUNCTION("""COMPUTED_VALUE"""),"=3")</f>
        <v>=3</v>
      </c>
      <c r="AA125" s="282" t="str">
        <f ca="1">IFERROR(__xludf.DUMMYFUNCTION("""COMPUTED_VALUE"""),"=15")</f>
        <v>=15</v>
      </c>
      <c r="AB125" s="282" t="str">
        <f ca="1">IFERROR(__xludf.DUMMYFUNCTION("""COMPUTED_VALUE"""),"=17 - P_E")</f>
        <v>=17 - P_E</v>
      </c>
      <c r="AC125" s="282" t="str">
        <f ca="1">IFERROR(__xludf.DUMMYFUNCTION("""COMPUTED_VALUE"""),"=210-30*P_R")</f>
        <v>=210-30*P_R</v>
      </c>
      <c r="AD125" s="283" t="str">
        <f ca="1">IFERROR(__xludf.DUMMYFUNCTION("""COMPUTED_VALUE"""),"=1")</f>
        <v>=1</v>
      </c>
      <c r="AE125" s="281" t="b">
        <f ca="1">IFERROR(__xludf.DUMMYFUNCTION("""COMPUTED_VALUE"""),TRUE)</f>
        <v>1</v>
      </c>
      <c r="AF125" s="282" t="str">
        <f ca="1">IFERROR(__xludf.DUMMYFUNCTION("""COMPUTED_VALUE"""),"=Image(""https://ddragon.leagueoflegends.com/cdn/11.19.1/img/champion/Taric.png"")")</f>
        <v>=Image("https://ddragon.leagueoflegends.com/cdn/11.19.1/img/champion/Taric.png")</v>
      </c>
      <c r="AG125" s="282" t="str">
        <f ca="1">IFERROR(__xludf.DUMMYFUNCTION("""COMPUTED_VALUE"""),"=IF(OR(REGEXMATCH(FORMULATEXT(U125);""HMOD"");NOT(P_Q&gt;0));0;U125)+IF(OR(REGEXMATCH(FORMULATEXT(V125);""HMOD"");NOT(P_W&gt;0));0;V125)+IF(OR(REGEXMATCH(FORMULATEXT(W125);""HMOD"");NOT(P_E&gt;0));0;W125)+IF(OR(REGEXMATCH(FORMULATEXT(X125);""HMOD"");NOT(P_R&gt;0));0;"&amp;"X125)+IF(REGEXMATCH(FORMULATEXT(Y125);""HMOD"");0;Y125)+Self_Proc_Item+Self_Proc_Summ+Self_Proc_Rune+3*Self_DPS")</f>
        <v>=IF(OR(REGEXMATCH(FORMULATEXT(U125);"HMOD");NOT(P_Q&gt;0));0;U125)+IF(OR(REGEXMATCH(FORMULATEXT(V125);"HMOD");NOT(P_W&gt;0));0;V125)+IF(OR(REGEXMATCH(FORMULATEXT(W125);"HMOD");NOT(P_E&gt;0));0;W125)+IF(OR(REGEXMATCH(FORMULATEXT(X125);"HMOD");NOT(P_R&gt;0));0;X125)+IF(REGEXMATCH(FORMULATEXT(Y125);"HMOD");0;Y125)+Self_Proc_Item+Self_Proc_Summ+Self_Proc_Rune+3*Self_DPS</v>
      </c>
      <c r="AH125" s="282" t="str">
        <f ca="1">IFERROR(__xludf.DUMMYFUNCTION("""COMPUTED_VALUE"""),"=0")</f>
        <v>=0</v>
      </c>
      <c r="AI125" s="282" t="b">
        <f ca="1">IFERROR(__xludf.DUMMYFUNCTION("""COMPUTED_VALUE"""),FALSE)</f>
        <v>0</v>
      </c>
      <c r="AJ125" s="283" t="b">
        <f ca="1">IFERROR(__xludf.DUMMYFUNCTION("""COMPUTED_VALUE"""),FALSE)</f>
        <v>0</v>
      </c>
    </row>
    <row r="126" spans="1:36">
      <c r="A126" s="267" t="str">
        <f ca="1">IFERROR(__xludf.DUMMYFUNCTION("""COMPUTED_VALUE"""),"Teemo")</f>
        <v>Teemo</v>
      </c>
      <c r="B126" s="287" t="str">
        <f ca="1">IFERROR(__xludf.DUMMYFUNCTION("""COMPUTED_VALUE"""),"=598")</f>
        <v>=598</v>
      </c>
      <c r="C126" s="287" t="str">
        <f ca="1">IFERROR(__xludf.DUMMYFUNCTION("""COMPUTED_VALUE"""),"=104")</f>
        <v>=104</v>
      </c>
      <c r="D126" s="288" t="str">
        <f ca="1">IFERROR(__xludf.DUMMYFUNCTION("""COMPUTED_VALUE"""),"=5,5")</f>
        <v>=5,5</v>
      </c>
      <c r="E126" s="289" t="str">
        <f ca="1">IFERROR(__xludf.DUMMYFUNCTION("""COMPUTED_VALUE"""),"=0,65")</f>
        <v>=0,65</v>
      </c>
      <c r="F126" s="288" t="str">
        <f ca="1">IFERROR(__xludf.DUMMYFUNCTION("""COMPUTED_VALUE"""),"=334")</f>
        <v>=334</v>
      </c>
      <c r="G126" s="288" t="str">
        <f ca="1">IFERROR(__xludf.DUMMYFUNCTION("""COMPUTED_VALUE"""),"=25")</f>
        <v>=25</v>
      </c>
      <c r="H126" s="288" t="str">
        <f ca="1">IFERROR(__xludf.DUMMYFUNCTION("""COMPUTED_VALUE"""),"=9,6")</f>
        <v>=9,6</v>
      </c>
      <c r="I126" s="289" t="str">
        <f ca="1">IFERROR(__xludf.DUMMYFUNCTION("""COMPUTED_VALUE"""),"=0,45")</f>
        <v>=0,45</v>
      </c>
      <c r="J126" s="290" t="str">
        <f ca="1">IFERROR(__xludf.DUMMYFUNCTION("""COMPUTED_VALUE"""),"=54")</f>
        <v>=54</v>
      </c>
      <c r="K126" s="288" t="str">
        <f ca="1">IFERROR(__xludf.DUMMYFUNCTION("""COMPUTED_VALUE"""),"=3")</f>
        <v>=3</v>
      </c>
      <c r="L126" s="291" t="str">
        <f ca="1">IFERROR(__xludf.DUMMYFUNCTION("""COMPUTED_VALUE"""),"=0,69")</f>
        <v>=0,69</v>
      </c>
      <c r="M126" s="291" t="str">
        <f ca="1">IFERROR(__xludf.DUMMYFUNCTION("""COMPUTED_VALUE"""),"=0,69")</f>
        <v>=0,69</v>
      </c>
      <c r="N126" s="292" t="str">
        <f ca="1">IFERROR(__xludf.DUMMYFUNCTION("""COMPUTED_VALUE"""),"=3,38%")</f>
        <v>=3,38%</v>
      </c>
      <c r="O126" s="287" t="str">
        <f ca="1">IFERROR(__xludf.DUMMYFUNCTION("""COMPUTED_VALUE"""),"=24")</f>
        <v>=24</v>
      </c>
      <c r="P126" s="287" t="str">
        <f ca="1">IFERROR(__xludf.DUMMYFUNCTION("""COMPUTED_VALUE"""),"=4,95")</f>
        <v>=4,95</v>
      </c>
      <c r="Q126" s="288" t="str">
        <f ca="1">IFERROR(__xludf.DUMMYFUNCTION("""COMPUTED_VALUE"""),"=30")</f>
        <v>=30</v>
      </c>
      <c r="R126" s="289" t="str">
        <f ca="1">IFERROR(__xludf.DUMMYFUNCTION("""COMPUTED_VALUE"""),"=1,3")</f>
        <v>=1,3</v>
      </c>
      <c r="S126" s="287" t="str">
        <f ca="1">IFERROR(__xludf.DUMMYFUNCTION("""COMPUTED_VALUE"""),"=330")</f>
        <v>=330</v>
      </c>
      <c r="T126" s="628" t="str">
        <f ca="1">IFERROR(__xludf.DUMMYFUNCTION("""COMPUTED_VALUE"""),"=500")</f>
        <v>=500</v>
      </c>
      <c r="U126" s="295" t="str">
        <f ca="1">IFERROR(__xludf.DUMMYFUNCTION("""COMPUTED_VALUE"""),"=(45*P_Q+35+0,8*Self_AP)*MOD_Magic")</f>
        <v>=(45*P_Q+35+0,8*Self_AP)*MOD_Magic</v>
      </c>
      <c r="V126" s="296" t="str">
        <f ca="1">IFERROR(__xludf.DUMMYFUNCTION("""COMPUTED_VALUE"""),"=0")</f>
        <v>=0</v>
      </c>
      <c r="W126" s="296" t="str">
        <f ca="1">IFERROR(__xludf.DUMMYFUNCTION("""COMPUTED_VALUE"""),"=(35 * P_E + 0,7 * Self_AP) * MOD_Magic")</f>
        <v>=(35 * P_E + 0,7 * Self_AP) * MOD_Magic</v>
      </c>
      <c r="X126" s="296" t="str">
        <f ca="1">IFERROR(__xludf.DUMMYFUNCTION("""COMPUTED_VALUE"""),"=(0,55*Self_AP+125*P_R+75)*MOD_Magic")</f>
        <v>=(0,55*Self_AP+125*P_R+75)*MOD_Magic</v>
      </c>
      <c r="Y126" s="297" t="str">
        <f ca="1">IFERROR(__xludf.DUMMYFUNCTION("""COMPUTED_VALUE"""),"=0")</f>
        <v>=0</v>
      </c>
      <c r="Z126" s="281" t="str">
        <f ca="1">IFERROR(__xludf.DUMMYFUNCTION("""COMPUTED_VALUE"""),"=7")</f>
        <v>=7</v>
      </c>
      <c r="AA126" s="282" t="str">
        <f ca="1">IFERROR(__xludf.DUMMYFUNCTION("""COMPUTED_VALUE"""),"=14")</f>
        <v>=14</v>
      </c>
      <c r="AB126" s="282" t="str">
        <f ca="1">IFERROR(__xludf.DUMMYFUNCTION("""COMPUTED_VALUE"""),"=1")</f>
        <v>=1</v>
      </c>
      <c r="AC126" s="282" t="str">
        <f ca="1">IFERROR(__xludf.DUMMYFUNCTION("""COMPUTED_VALUE"""),"=35-5*P_R")</f>
        <v>=35-5*P_R</v>
      </c>
      <c r="AD126" s="283" t="str">
        <f ca="1">IFERROR(__xludf.DUMMYFUNCTION("""COMPUTED_VALUE"""),"=1")</f>
        <v>=1</v>
      </c>
      <c r="AE126" s="281" t="b">
        <f ca="1">IFERROR(__xludf.DUMMYFUNCTION("""COMPUTED_VALUE"""),FALSE)</f>
        <v>0</v>
      </c>
      <c r="AF126" s="282" t="str">
        <f ca="1">IFERROR(__xludf.DUMMYFUNCTION("""COMPUTED_VALUE"""),"=Image(""https://ddragon.leagueoflegends.com/cdn/11.19.1/img/champion/Teemo.png"")")</f>
        <v>=Image("https://ddragon.leagueoflegends.com/cdn/11.19.1/img/champion/Teemo.png")</v>
      </c>
      <c r="AG126" s="282" t="str">
        <f ca="1">IFERROR(__xludf.DUMMYFUNCTION("""COMPUTED_VALUE"""),"=IF(OR(REGEXMATCH(FORMULATEXT(U126);""HMOD"");NOT(P_Q&gt;0));0;U126)+IF(OR(REGEXMATCH(FORMULATEXT(V126);""HMOD"");NOT(P_W&gt;0));0;V126)+IF(OR(REGEXMATCH(FORMULATEXT(W126);""HMOD"");NOT(P_E&gt;0));0;W126)+IF(OR(REGEXMATCH(FORMULATEXT(X126);""HMOD"");NOT(P_R&gt;0));0;"&amp;"X126)+IF(REGEXMATCH(FORMULATEXT(Y126);""HMOD"");0;Y126)+Self_Proc_Item+Self_Proc_Summ+Self_Proc_Rune+3*Self_DPS")</f>
        <v>=IF(OR(REGEXMATCH(FORMULATEXT(U126);"HMOD");NOT(P_Q&gt;0));0;U126)+IF(OR(REGEXMATCH(FORMULATEXT(V126);"HMOD");NOT(P_W&gt;0));0;V126)+IF(OR(REGEXMATCH(FORMULATEXT(W126);"HMOD");NOT(P_E&gt;0));0;W126)+IF(OR(REGEXMATCH(FORMULATEXT(X126);"HMOD");NOT(P_R&gt;0));0;X126)+IF(REGEXMATCH(FORMULATEXT(Y126);"HMOD");0;Y126)+Self_Proc_Item+Self_Proc_Summ+Self_Proc_Rune+3*Self_DPS</v>
      </c>
      <c r="AH126" s="282" t="str">
        <f ca="1">IFERROR(__xludf.DUMMYFUNCTION("""COMPUTED_VALUE"""),"=0")</f>
        <v>=0</v>
      </c>
      <c r="AI126" s="282" t="b">
        <f ca="1">IFERROR(__xludf.DUMMYFUNCTION("""COMPUTED_VALUE"""),FALSE)</f>
        <v>0</v>
      </c>
      <c r="AJ126" s="283" t="b">
        <f ca="1">IFERROR(__xludf.DUMMYFUNCTION("""COMPUTED_VALUE"""),FALSE)</f>
        <v>0</v>
      </c>
    </row>
    <row r="127" spans="1:36">
      <c r="A127" s="267" t="str">
        <f ca="1">IFERROR(__xludf.DUMMYFUNCTION("""COMPUTED_VALUE"""),"Thresh")</f>
        <v>Thresh</v>
      </c>
      <c r="B127" s="287" t="str">
        <f ca="1">IFERROR(__xludf.DUMMYFUNCTION("""COMPUTED_VALUE"""),"=600")</f>
        <v>=600</v>
      </c>
      <c r="C127" s="287" t="str">
        <f ca="1">IFERROR(__xludf.DUMMYFUNCTION("""COMPUTED_VALUE"""),"=120")</f>
        <v>=120</v>
      </c>
      <c r="D127" s="288" t="str">
        <f ca="1">IFERROR(__xludf.DUMMYFUNCTION("""COMPUTED_VALUE"""),"=7")</f>
        <v>=7</v>
      </c>
      <c r="E127" s="289" t="str">
        <f ca="1">IFERROR(__xludf.DUMMYFUNCTION("""COMPUTED_VALUE"""),"=0,55")</f>
        <v>=0,55</v>
      </c>
      <c r="F127" s="288" t="str">
        <f ca="1">IFERROR(__xludf.DUMMYFUNCTION("""COMPUTED_VALUE"""),"=274")</f>
        <v>=274</v>
      </c>
      <c r="G127" s="288" t="str">
        <f ca="1">IFERROR(__xludf.DUMMYFUNCTION("""COMPUTED_VALUE"""),"=44")</f>
        <v>=44</v>
      </c>
      <c r="H127" s="288" t="str">
        <f ca="1">IFERROR(__xludf.DUMMYFUNCTION("""COMPUTED_VALUE"""),"=6")</f>
        <v>=6</v>
      </c>
      <c r="I127" s="289" t="str">
        <f ca="1">IFERROR(__xludf.DUMMYFUNCTION("""COMPUTED_VALUE"""),"=0,8")</f>
        <v>=0,8</v>
      </c>
      <c r="J127" s="290" t="str">
        <f ca="1">IFERROR(__xludf.DUMMYFUNCTION("""COMPUTED_VALUE"""),"=56")</f>
        <v>=56</v>
      </c>
      <c r="K127" s="288" t="str">
        <f ca="1">IFERROR(__xludf.DUMMYFUNCTION("""COMPUTED_VALUE"""),"=2,2")</f>
        <v>=2,2</v>
      </c>
      <c r="L127" s="291" t="str">
        <f ca="1">IFERROR(__xludf.DUMMYFUNCTION("""COMPUTED_VALUE"""),"=0,625")</f>
        <v>=0,625</v>
      </c>
      <c r="M127" s="291" t="str">
        <f ca="1">IFERROR(__xludf.DUMMYFUNCTION("""COMPUTED_VALUE"""),"=0,625")</f>
        <v>=0,625</v>
      </c>
      <c r="N127" s="292" t="str">
        <f ca="1">IFERROR(__xludf.DUMMYFUNCTION("""COMPUTED_VALUE"""),"=3,5%")</f>
        <v>=3,5%</v>
      </c>
      <c r="O127" s="287" t="str">
        <f ca="1">IFERROR(__xludf.DUMMYFUNCTION("""COMPUTED_VALUE"""),"=28")</f>
        <v>=28</v>
      </c>
      <c r="P127" s="287" t="str">
        <f ca="1">IFERROR(__xludf.DUMMYFUNCTION("""COMPUTED_VALUE"""),"=0")</f>
        <v>=0</v>
      </c>
      <c r="Q127" s="288" t="str">
        <f ca="1">IFERROR(__xludf.DUMMYFUNCTION("""COMPUTED_VALUE"""),"=30")</f>
        <v>=30</v>
      </c>
      <c r="R127" s="289" t="str">
        <f ca="1">IFERROR(__xludf.DUMMYFUNCTION("""COMPUTED_VALUE"""),"=1,3")</f>
        <v>=1,3</v>
      </c>
      <c r="S127" s="287" t="str">
        <f ca="1">IFERROR(__xludf.DUMMYFUNCTION("""COMPUTED_VALUE"""),"=330")</f>
        <v>=330</v>
      </c>
      <c r="T127" s="628" t="str">
        <f ca="1">IFERROR(__xludf.DUMMYFUNCTION("""COMPUTED_VALUE"""),"=450")</f>
        <v>=450</v>
      </c>
      <c r="U127" s="298" t="str">
        <f ca="1">IFERROR(__xludf.DUMMYFUNCTION("""COMPUTED_VALUE"""),"=(P_Q * 50 + 50 + 0,9 * Self_AP) * MOD_Magic")</f>
        <v>=(P_Q * 50 + 50 + 0,9 * Self_AP) * MOD_Magic</v>
      </c>
      <c r="V127" s="299" t="str">
        <f ca="1">IFERROR(__xludf.DUMMYFUNCTION("""COMPUTED_VALUE"""),"=(20 * P_W + 30 + Minion * 1,5) * MOD_Heal")</f>
        <v>=(20 * P_W + 30 + Minion * 1,5) * MOD_Heal</v>
      </c>
      <c r="W127" s="299" t="str">
        <f ca="1">IFERROR(__xludf.DUMMYFUNCTION("""COMPUTED_VALUE"""),"=(40 * P_E + 35 + 0,7 * Self_AP) * MOD_Magic")</f>
        <v>=(40 * P_E + 35 + 0,7 * Self_AP) * MOD_Magic</v>
      </c>
      <c r="X127" s="299" t="str">
        <f ca="1">IFERROR(__xludf.DUMMYFUNCTION("""COMPUTED_VALUE"""),"=(Self_AP+150*P_R+100)*MOD_Magic")</f>
        <v>=(Self_AP+150*P_R+100)*MOD_Magic</v>
      </c>
      <c r="Y127" s="300" t="str">
        <f ca="1">IFERROR(__xludf.DUMMYFUNCTION("""COMPUTED_VALUE"""),"=0")</f>
        <v>=0</v>
      </c>
      <c r="Z127" s="281" t="str">
        <f ca="1">IFERROR(__xludf.DUMMYFUNCTION("""COMPUTED_VALUE"""),"=21,5-2,5*P_Q")</f>
        <v>=21,5-2,5*P_Q</v>
      </c>
      <c r="AA127" s="282" t="str">
        <f ca="1">IFERROR(__xludf.DUMMYFUNCTION("""COMPUTED_VALUE"""),"=22 - P_W")</f>
        <v>=22 - P_W</v>
      </c>
      <c r="AB127" s="282" t="str">
        <f ca="1">IFERROR(__xludf.DUMMYFUNCTION("""COMPUTED_VALUE"""),"=13,75 - 0,75 * P_E")</f>
        <v>=13,75 - 0,75 * P_E</v>
      </c>
      <c r="AC127" s="282" t="str">
        <f ca="1">IFERROR(__xludf.DUMMYFUNCTION("""COMPUTED_VALUE"""),"=160 - 20 * P_R")</f>
        <v>=160 - 20 * P_R</v>
      </c>
      <c r="AD127" s="283" t="str">
        <f ca="1">IFERROR(__xludf.DUMMYFUNCTION("""COMPUTED_VALUE"""),"=1")</f>
        <v>=1</v>
      </c>
      <c r="AE127" s="281" t="b">
        <f ca="1">IFERROR(__xludf.DUMMYFUNCTION("""COMPUTED_VALUE"""),FALSE)</f>
        <v>0</v>
      </c>
      <c r="AF127" s="282" t="str">
        <f ca="1">IFERROR(__xludf.DUMMYFUNCTION("""COMPUTED_VALUE"""),"=Image(""https://ddragon.leagueoflegends.com/cdn/11.19.1/img/champion/Thresh.png"")")</f>
        <v>=Image("https://ddragon.leagueoflegends.com/cdn/11.19.1/img/champion/Thresh.png")</v>
      </c>
      <c r="AG127" s="282" t="str">
        <f ca="1">IFERROR(__xludf.DUMMYFUNCTION("""COMPUTED_VALUE"""),"=IF(OR(REGEXMATCH(FORMULATEXT(U127);""HMOD"");NOT(P_Q&gt;0));0;U127)+IF(OR(REGEXMATCH(FORMULATEXT(V127);""HMOD"");NOT(P_W&gt;0));0;V127)+IF(OR(REGEXMATCH(FORMULATEXT(W127);""HMOD"");NOT(P_E&gt;0));0;W127)+IF(OR(REGEXMATCH(FORMULATEXT(X127);""HMOD"");NOT(P_R&gt;0));0;"&amp;"X127)+IF(REGEXMATCH(FORMULATEXT(Y127);""HMOD"");0;Y127)+Self_Proc_Item+Self_Proc_Summ+Self_Proc_Rune+3*Self_DPS")</f>
        <v>=IF(OR(REGEXMATCH(FORMULATEXT(U127);"HMOD");NOT(P_Q&gt;0));0;U127)+IF(OR(REGEXMATCH(FORMULATEXT(V127);"HMOD");NOT(P_W&gt;0));0;V127)+IF(OR(REGEXMATCH(FORMULATEXT(W127);"HMOD");NOT(P_E&gt;0));0;W127)+IF(OR(REGEXMATCH(FORMULATEXT(X127);"HMOD");NOT(P_R&gt;0));0;X127)+IF(REGEXMATCH(FORMULATEXT(Y127);"HMOD");0;Y127)+Self_Proc_Item+Self_Proc_Summ+Self_Proc_Rune+3*Self_DPS</v>
      </c>
      <c r="AH127" s="282" t="str">
        <f ca="1">IFERROR(__xludf.DUMMYFUNCTION("""COMPUTED_VALUE"""),"=0")</f>
        <v>=0</v>
      </c>
      <c r="AI127" s="282" t="b">
        <f ca="1">IFERROR(__xludf.DUMMYFUNCTION("""COMPUTED_VALUE"""),FALSE)</f>
        <v>0</v>
      </c>
      <c r="AJ127" s="283" t="b">
        <f ca="1">IFERROR(__xludf.DUMMYFUNCTION("""COMPUTED_VALUE"""),FALSE)</f>
        <v>0</v>
      </c>
    </row>
    <row r="128" spans="1:36">
      <c r="A128" s="267" t="str">
        <f ca="1">IFERROR(__xludf.DUMMYFUNCTION("""COMPUTED_VALUE"""),"Tristana")</f>
        <v>Tristana</v>
      </c>
      <c r="B128" s="287" t="str">
        <f ca="1">IFERROR(__xludf.DUMMYFUNCTION("""COMPUTED_VALUE"""),"=670")</f>
        <v>=670</v>
      </c>
      <c r="C128" s="287" t="str">
        <f ca="1">IFERROR(__xludf.DUMMYFUNCTION("""COMPUTED_VALUE"""),"=102")</f>
        <v>=102</v>
      </c>
      <c r="D128" s="288" t="str">
        <f ca="1">IFERROR(__xludf.DUMMYFUNCTION("""COMPUTED_VALUE"""),"=4")</f>
        <v>=4</v>
      </c>
      <c r="E128" s="289" t="str">
        <f ca="1">IFERROR(__xludf.DUMMYFUNCTION("""COMPUTED_VALUE"""),"=0,65")</f>
        <v>=0,65</v>
      </c>
      <c r="F128" s="288" t="str">
        <f ca="1">IFERROR(__xludf.DUMMYFUNCTION("""COMPUTED_VALUE"""),"=250")</f>
        <v>=250</v>
      </c>
      <c r="G128" s="288" t="str">
        <f ca="1">IFERROR(__xludf.DUMMYFUNCTION("""COMPUTED_VALUE"""),"=32")</f>
        <v>=32</v>
      </c>
      <c r="H128" s="288" t="str">
        <f ca="1">IFERROR(__xludf.DUMMYFUNCTION("""COMPUTED_VALUE"""),"=7,2")</f>
        <v>=7,2</v>
      </c>
      <c r="I128" s="289" t="str">
        <f ca="1">IFERROR(__xludf.DUMMYFUNCTION("""COMPUTED_VALUE"""),"=0,45")</f>
        <v>=0,45</v>
      </c>
      <c r="J128" s="290" t="str">
        <f ca="1">IFERROR(__xludf.DUMMYFUNCTION("""COMPUTED_VALUE"""),"=59")</f>
        <v>=59</v>
      </c>
      <c r="K128" s="288" t="str">
        <f ca="1">IFERROR(__xludf.DUMMYFUNCTION("""COMPUTED_VALUE"""),"=3,7")</f>
        <v>=3,7</v>
      </c>
      <c r="L128" s="291" t="str">
        <f ca="1">IFERROR(__xludf.DUMMYFUNCTION("""COMPUTED_VALUE"""),"=0,656")</f>
        <v>=0,656</v>
      </c>
      <c r="M128" s="291" t="str">
        <f ca="1">IFERROR(__xludf.DUMMYFUNCTION("""COMPUTED_VALUE"""),"=0,679")</f>
        <v>=0,679</v>
      </c>
      <c r="N128" s="292" t="str">
        <f ca="1">IFERROR(__xludf.DUMMYFUNCTION("""COMPUTED_VALUE"""),"=1,5%")</f>
        <v>=1,5%</v>
      </c>
      <c r="O128" s="287" t="str">
        <f ca="1">IFERROR(__xludf.DUMMYFUNCTION("""COMPUTED_VALUE"""),"=26")</f>
        <v>=26</v>
      </c>
      <c r="P128" s="287" t="str">
        <f ca="1">IFERROR(__xludf.DUMMYFUNCTION("""COMPUTED_VALUE"""),"=4,2")</f>
        <v>=4,2</v>
      </c>
      <c r="Q128" s="288" t="str">
        <f ca="1">IFERROR(__xludf.DUMMYFUNCTION("""COMPUTED_VALUE"""),"=30")</f>
        <v>=30</v>
      </c>
      <c r="R128" s="289" t="str">
        <f ca="1">IFERROR(__xludf.DUMMYFUNCTION("""COMPUTED_VALUE"""),"=1,3")</f>
        <v>=1,3</v>
      </c>
      <c r="S128" s="287" t="str">
        <f ca="1">IFERROR(__xludf.DUMMYFUNCTION("""COMPUTED_VALUE"""),"=325")</f>
        <v>=325</v>
      </c>
      <c r="T128" s="628" t="str">
        <f ca="1">IFERROR(__xludf.DUMMYFUNCTION("""COMPUTED_VALUE"""),"=525+8*(Self_Level-1)")</f>
        <v>=525+8*(Self_Level-1)</v>
      </c>
      <c r="U128" s="295" t="str">
        <f ca="1">IFERROR(__xludf.DUMMYFUNCTION("""COMPUTED_VALUE"""),"=0")</f>
        <v>=0</v>
      </c>
      <c r="V128" s="296" t="str">
        <f ca="1">IFERROR(__xludf.DUMMYFUNCTION("""COMPUTED_VALUE"""),"=(0,5*Self_AP+50*P_W+45)*MOD_Magic")</f>
        <v>=(0,5*Self_AP+50*P_W+45)*MOD_Magic</v>
      </c>
      <c r="W128" s="296" t="str">
        <f ca="1">IFERROR(__xludf.DUMMYFUNCTION("""COMPUTED_VALUE"""),"=((0,25+0,25*P_E)*Self_BoAD+0,5*Self_AP+10*P_E+60)*MOD_Phys*IF(Steroid_E;2,2;1)*(1+(Self_Crit/3))")</f>
        <v>=((0,25+0,25*P_E)*Self_BoAD+0,5*Self_AP+10*P_E+60)*MOD_Phys*IF(Steroid_E;2,2;1)*(1+(Self_Crit/3))</v>
      </c>
      <c r="X128" s="296" t="str">
        <f ca="1">IFERROR(__xludf.DUMMYFUNCTION("""COMPUTED_VALUE"""),"=(Self_AP+100*P_R+200)*MOD_Magic")</f>
        <v>=(Self_AP+100*P_R+200)*MOD_Magic</v>
      </c>
      <c r="Y128" s="297" t="str">
        <f ca="1">IFERROR(__xludf.DUMMYFUNCTION("""COMPUTED_VALUE"""),"=0")</f>
        <v>=0</v>
      </c>
      <c r="Z128" s="281" t="str">
        <f ca="1">IFERROR(__xludf.DUMMYFUNCTION("""COMPUTED_VALUE"""),"=21-P_Q")</f>
        <v>=21-P_Q</v>
      </c>
      <c r="AA128" s="282" t="str">
        <f ca="1">IFERROR(__xludf.DUMMYFUNCTION("""COMPUTED_VALUE"""),"=24-P_W*2")</f>
        <v>=24-P_W*2</v>
      </c>
      <c r="AB128" s="282" t="str">
        <f ca="1">IFERROR(__xludf.DUMMYFUNCTION("""COMPUTED_VALUE"""),"=16,5 - 0,5 * P_E")</f>
        <v>=16,5 - 0,5 * P_E</v>
      </c>
      <c r="AC128" s="282" t="str">
        <f ca="1">IFERROR(__xludf.DUMMYFUNCTION("""COMPUTED_VALUE"""),"=130 - 10 * P_R")</f>
        <v>=130 - 10 * P_R</v>
      </c>
      <c r="AD128" s="283" t="str">
        <f ca="1">IFERROR(__xludf.DUMMYFUNCTION("""COMPUTED_VALUE"""),"=1")</f>
        <v>=1</v>
      </c>
      <c r="AE128" s="281" t="b">
        <f ca="1">IFERROR(__xludf.DUMMYFUNCTION("""COMPUTED_VALUE"""),FALSE)</f>
        <v>0</v>
      </c>
      <c r="AF128" s="282" t="str">
        <f ca="1">IFERROR(__xludf.DUMMYFUNCTION("""COMPUTED_VALUE"""),"=Image(""https://ddragon.leagueoflegends.com/cdn/11.19.1/img/champion/Tristana.png"")")</f>
        <v>=Image("https://ddragon.leagueoflegends.com/cdn/11.19.1/img/champion/Tristana.png")</v>
      </c>
      <c r="AG128" s="282" t="str">
        <f ca="1">IFERROR(__xludf.DUMMYFUNCTION("""COMPUTED_VALUE"""),"=IF(OR(REGEXMATCH(FORMULATEXT(U128);""HMOD"");NOT(P_Q&gt;0));0;U128)+IF(OR(REGEXMATCH(FORMULATEXT(V128);""HMOD"");NOT(P_W&gt;0));0;V128)+IF(OR(REGEXMATCH(FORMULATEXT(W128);""HMOD"");NOT(P_E&gt;0));0;W128)+IF(OR(REGEXMATCH(FORMULATEXT(X128);""HMOD"");NOT(P_R&gt;0));0;"&amp;"X128)+IF(REGEXMATCH(FORMULATEXT(Y128);""HMOD"");0;Y128)+Self_Proc_Item+Self_Proc_Summ+Self_Proc_Rune+3*Self_DPS")</f>
        <v>=IF(OR(REGEXMATCH(FORMULATEXT(U128);"HMOD");NOT(P_Q&gt;0));0;U128)+IF(OR(REGEXMATCH(FORMULATEXT(V128);"HMOD");NOT(P_W&gt;0));0;V128)+IF(OR(REGEXMATCH(FORMULATEXT(W128);"HMOD");NOT(P_E&gt;0));0;W128)+IF(OR(REGEXMATCH(FORMULATEXT(X128);"HMOD");NOT(P_R&gt;0));0;X128)+IF(REGEXMATCH(FORMULATEXT(Y128);"HMOD");0;Y128)+Self_Proc_Item+Self_Proc_Summ+Self_Proc_Rune+3*Self_DPS</v>
      </c>
      <c r="AH128" s="282" t="str">
        <f ca="1">IFERROR(__xludf.DUMMYFUNCTION("""COMPUTED_VALUE"""),"=0")</f>
        <v>=0</v>
      </c>
      <c r="AI128" s="282" t="b">
        <f ca="1">IFERROR(__xludf.DUMMYFUNCTION("""COMPUTED_VALUE"""),FALSE)</f>
        <v>0</v>
      </c>
      <c r="AJ128" s="283" t="b">
        <f ca="1">IFERROR(__xludf.DUMMYFUNCTION("""COMPUTED_VALUE"""),FALSE)</f>
        <v>0</v>
      </c>
    </row>
    <row r="129" spans="1:36">
      <c r="A129" s="267" t="str">
        <f ca="1">IFERROR(__xludf.DUMMYFUNCTION("""COMPUTED_VALUE"""),"Trundle")</f>
        <v>Trundle</v>
      </c>
      <c r="B129" s="287" t="str">
        <f ca="1">IFERROR(__xludf.DUMMYFUNCTION("""COMPUTED_VALUE"""),"=686")</f>
        <v>=686</v>
      </c>
      <c r="C129" s="287" t="str">
        <f ca="1">IFERROR(__xludf.DUMMYFUNCTION("""COMPUTED_VALUE"""),"=110")</f>
        <v>=110</v>
      </c>
      <c r="D129" s="288" t="str">
        <f ca="1">IFERROR(__xludf.DUMMYFUNCTION("""COMPUTED_VALUE"""),"=6")</f>
        <v>=6</v>
      </c>
      <c r="E129" s="289" t="str">
        <f ca="1">IFERROR(__xludf.DUMMYFUNCTION("""COMPUTED_VALUE"""),"=0,75")</f>
        <v>=0,75</v>
      </c>
      <c r="F129" s="288" t="str">
        <f ca="1">IFERROR(__xludf.DUMMYFUNCTION("""COMPUTED_VALUE"""),"=340")</f>
        <v>=340</v>
      </c>
      <c r="G129" s="288" t="str">
        <f ca="1">IFERROR(__xludf.DUMMYFUNCTION("""COMPUTED_VALUE"""),"=45")</f>
        <v>=45</v>
      </c>
      <c r="H129" s="288" t="str">
        <f ca="1">IFERROR(__xludf.DUMMYFUNCTION("""COMPUTED_VALUE"""),"=7,5")</f>
        <v>=7,5</v>
      </c>
      <c r="I129" s="289" t="str">
        <f ca="1">IFERROR(__xludf.DUMMYFUNCTION("""COMPUTED_VALUE"""),"=0,6")</f>
        <v>=0,6</v>
      </c>
      <c r="J129" s="290" t="str">
        <f ca="1">IFERROR(__xludf.DUMMYFUNCTION("""COMPUTED_VALUE"""),"=68")</f>
        <v>=68</v>
      </c>
      <c r="K129" s="288" t="str">
        <f ca="1">IFERROR(__xludf.DUMMYFUNCTION("""COMPUTED_VALUE"""),"=3")</f>
        <v>=3</v>
      </c>
      <c r="L129" s="291" t="str">
        <f ca="1">IFERROR(__xludf.DUMMYFUNCTION("""COMPUTED_VALUE"""),"=0,67")</f>
        <v>=0,67</v>
      </c>
      <c r="M129" s="291" t="str">
        <f ca="1">IFERROR(__xludf.DUMMYFUNCTION("""COMPUTED_VALUE"""),"=0,67")</f>
        <v>=0,67</v>
      </c>
      <c r="N129" s="292" t="str">
        <f ca="1">IFERROR(__xludf.DUMMYFUNCTION("""COMPUTED_VALUE"""),"=2,9%")</f>
        <v>=2,9%</v>
      </c>
      <c r="O129" s="287" t="str">
        <f ca="1">IFERROR(__xludf.DUMMYFUNCTION("""COMPUTED_VALUE"""),"=37")</f>
        <v>=37</v>
      </c>
      <c r="P129" s="287" t="str">
        <f ca="1">IFERROR(__xludf.DUMMYFUNCTION("""COMPUTED_VALUE"""),"=3,9")</f>
        <v>=3,9</v>
      </c>
      <c r="Q129" s="288" t="str">
        <f ca="1">IFERROR(__xludf.DUMMYFUNCTION("""COMPUTED_VALUE"""),"=32")</f>
        <v>=32</v>
      </c>
      <c r="R129" s="289" t="str">
        <f ca="1">IFERROR(__xludf.DUMMYFUNCTION("""COMPUTED_VALUE"""),"=2,05")</f>
        <v>=2,05</v>
      </c>
      <c r="S129" s="287" t="str">
        <f ca="1">IFERROR(__xludf.DUMMYFUNCTION("""COMPUTED_VALUE"""),"=350")</f>
        <v>=350</v>
      </c>
      <c r="T129" s="628" t="str">
        <f ca="1">IFERROR(__xludf.DUMMYFUNCTION("""COMPUTED_VALUE"""),"=175")</f>
        <v>=175</v>
      </c>
      <c r="U129" s="298" t="str">
        <f ca="1">IFERROR(__xludf.DUMMYFUNCTION("""COMPUTED_VALUE"""),"=(20*P_Q+(1,05+0,1*P_Q)*Self_AD)*MOD_Phys")</f>
        <v>=(20*P_Q+(1,05+0,1*P_Q)*Self_AD)*MOD_Phys</v>
      </c>
      <c r="V129" s="299" t="str">
        <f ca="1">IFERROR(__xludf.DUMMYFUNCTION("""COMPUTED_VALUE"""),"=0")</f>
        <v>=0</v>
      </c>
      <c r="W129" s="299" t="str">
        <f ca="1">IFERROR(__xludf.DUMMYFUNCTION("""COMPUTED_VALUE"""),"=0")</f>
        <v>=0</v>
      </c>
      <c r="X129" s="299" t="str">
        <f ca="1">IFERROR(__xludf.DUMMYFUNCTION("""COMPUTED_VALUE"""),"=((0,15+0,05*P_R+0,0002*Self_AP)*E_MHP)*MOD_Magic")</f>
        <v>=((0,15+0,05*P_R+0,0002*Self_AP)*E_MHP)*MOD_Magic</v>
      </c>
      <c r="Y129" s="300" t="str">
        <f ca="1">IFERROR(__xludf.DUMMYFUNCTION("""COMPUTED_VALUE"""),"=0")</f>
        <v>=0</v>
      </c>
      <c r="Z129" s="281" t="str">
        <f ca="1">IFERROR(__xludf.DUMMYFUNCTION("""COMPUTED_VALUE"""),"=3,5")</f>
        <v>=3,5</v>
      </c>
      <c r="AA129" s="282" t="str">
        <f ca="1">IFERROR(__xludf.DUMMYFUNCTION("""COMPUTED_VALUE"""),"=17 - P_W")</f>
        <v>=17 - P_W</v>
      </c>
      <c r="AB129" s="282" t="str">
        <f ca="1">IFERROR(__xludf.DUMMYFUNCTION("""COMPUTED_VALUE"""),"=26-2*P_E")</f>
        <v>=26-2*P_E</v>
      </c>
      <c r="AC129" s="282" t="str">
        <f ca="1">IFERROR(__xludf.DUMMYFUNCTION("""COMPUTED_VALUE"""),"=140 - 20 * P_R")</f>
        <v>=140 - 20 * P_R</v>
      </c>
      <c r="AD129" s="283" t="str">
        <f ca="1">IFERROR(__xludf.DUMMYFUNCTION("""COMPUTED_VALUE"""),"=1")</f>
        <v>=1</v>
      </c>
      <c r="AE129" s="281" t="b">
        <f ca="1">IFERROR(__xludf.DUMMYFUNCTION("""COMPUTED_VALUE"""),TRUE)</f>
        <v>1</v>
      </c>
      <c r="AF129" s="282" t="str">
        <f ca="1">IFERROR(__xludf.DUMMYFUNCTION("""COMPUTED_VALUE"""),"=Image(""https://ddragon.leagueoflegends.com/cdn/11.19.1/img/champion/Trundle.png"")")</f>
        <v>=Image("https://ddragon.leagueoflegends.com/cdn/11.19.1/img/champion/Trundle.png")</v>
      </c>
      <c r="AG129" s="282" t="str">
        <f ca="1">IFERROR(__xludf.DUMMYFUNCTION("""COMPUTED_VALUE"""),"=IF(OR(REGEXMATCH(FORMULATEXT(U129);""HMOD"");NOT(P_Q&gt;0));0;U129)+IF(OR(REGEXMATCH(FORMULATEXT(V129);""HMOD"");NOT(P_W&gt;0));0;V129)+IF(OR(REGEXMATCH(FORMULATEXT(W129);""HMOD"");NOT(P_E&gt;0));0;W129)+IF(OR(REGEXMATCH(FORMULATEXT(X129);""HMOD"");NOT(P_R&gt;0));0;"&amp;"X129)+IF(REGEXMATCH(FORMULATEXT(Y129);""HMOD"");0;Y129)+Self_Proc_Item+Self_Proc_Summ+Self_Proc_Rune+3*Self_DPS")</f>
        <v>=IF(OR(REGEXMATCH(FORMULATEXT(U129);"HMOD");NOT(P_Q&gt;0));0;U129)+IF(OR(REGEXMATCH(FORMULATEXT(V129);"HMOD");NOT(P_W&gt;0));0;V129)+IF(OR(REGEXMATCH(FORMULATEXT(W129);"HMOD");NOT(P_E&gt;0));0;W129)+IF(OR(REGEXMATCH(FORMULATEXT(X129);"HMOD");NOT(P_R&gt;0));0;X129)+IF(REGEXMATCH(FORMULATEXT(Y129);"HMOD");0;Y129)+Self_Proc_Item+Self_Proc_Summ+Self_Proc_Rune+3*Self_DPS</v>
      </c>
      <c r="AH129" s="282" t="str">
        <f ca="1">IFERROR(__xludf.DUMMYFUNCTION("""COMPUTED_VALUE"""),"=0")</f>
        <v>=0</v>
      </c>
      <c r="AI129" s="282" t="b">
        <f ca="1">IFERROR(__xludf.DUMMYFUNCTION("""COMPUTED_VALUE"""),FALSE)</f>
        <v>0</v>
      </c>
      <c r="AJ129" s="283" t="b">
        <f ca="1">IFERROR(__xludf.DUMMYFUNCTION("""COMPUTED_VALUE"""),FALSE)</f>
        <v>0</v>
      </c>
    </row>
    <row r="130" spans="1:36">
      <c r="A130" s="267" t="str">
        <f ca="1">IFERROR(__xludf.DUMMYFUNCTION("""COMPUTED_VALUE"""),"Tryndamere")</f>
        <v>Tryndamere</v>
      </c>
      <c r="B130" s="287" t="str">
        <f ca="1">IFERROR(__xludf.DUMMYFUNCTION("""COMPUTED_VALUE"""),"=696")</f>
        <v>=696</v>
      </c>
      <c r="C130" s="287" t="str">
        <f ca="1">IFERROR(__xludf.DUMMYFUNCTION("""COMPUTED_VALUE"""),"=115")</f>
        <v>=115</v>
      </c>
      <c r="D130" s="288" t="str">
        <f ca="1">IFERROR(__xludf.DUMMYFUNCTION("""COMPUTED_VALUE"""),"=8,5")</f>
        <v>=8,5</v>
      </c>
      <c r="E130" s="289" t="str">
        <f ca="1">IFERROR(__xludf.DUMMYFUNCTION("""COMPUTED_VALUE"""),"=0,9")</f>
        <v>=0,9</v>
      </c>
      <c r="F130" s="288" t="str">
        <f ca="1">IFERROR(__xludf.DUMMYFUNCTION("""COMPUTED_VALUE"""),"=100")</f>
        <v>=100</v>
      </c>
      <c r="G130" s="288" t="str">
        <f ca="1">IFERROR(__xludf.DUMMYFUNCTION("""COMPUTED_VALUE"""),"=0")</f>
        <v>=0</v>
      </c>
      <c r="H130" s="288" t="str">
        <f ca="1">IFERROR(__xludf.DUMMYFUNCTION("""COMPUTED_VALUE"""),"=0")</f>
        <v>=0</v>
      </c>
      <c r="I130" s="289" t="str">
        <f ca="1">IFERROR(__xludf.DUMMYFUNCTION("""COMPUTED_VALUE"""),"=0")</f>
        <v>=0</v>
      </c>
      <c r="J130" s="290" t="str">
        <f ca="1">IFERROR(__xludf.DUMMYFUNCTION("""COMPUTED_VALUE"""),"=72")</f>
        <v>=72</v>
      </c>
      <c r="K130" s="288" t="str">
        <f ca="1">IFERROR(__xludf.DUMMYFUNCTION("""COMPUTED_VALUE"""),"=4")</f>
        <v>=4</v>
      </c>
      <c r="L130" s="291" t="str">
        <f ca="1">IFERROR(__xludf.DUMMYFUNCTION("""COMPUTED_VALUE"""),"=0,67")</f>
        <v>=0,67</v>
      </c>
      <c r="M130" s="291" t="str">
        <f ca="1">IFERROR(__xludf.DUMMYFUNCTION("""COMPUTED_VALUE"""),"=0,67")</f>
        <v>=0,67</v>
      </c>
      <c r="N130" s="292" t="str">
        <f ca="1">IFERROR(__xludf.DUMMYFUNCTION("""COMPUTED_VALUE"""),"=2,9%")</f>
        <v>=2,9%</v>
      </c>
      <c r="O130" s="287" t="str">
        <f ca="1">IFERROR(__xludf.DUMMYFUNCTION("""COMPUTED_VALUE"""),"=33")</f>
        <v>=33</v>
      </c>
      <c r="P130" s="287" t="str">
        <f ca="1">IFERROR(__xludf.DUMMYFUNCTION("""COMPUTED_VALUE"""),"=4,3")</f>
        <v>=4,3</v>
      </c>
      <c r="Q130" s="288" t="str">
        <f ca="1">IFERROR(__xludf.DUMMYFUNCTION("""COMPUTED_VALUE"""),"=32")</f>
        <v>=32</v>
      </c>
      <c r="R130" s="289" t="str">
        <f ca="1">IFERROR(__xludf.DUMMYFUNCTION("""COMPUTED_VALUE"""),"=2,05")</f>
        <v>=2,05</v>
      </c>
      <c r="S130" s="287" t="str">
        <f ca="1">IFERROR(__xludf.DUMMYFUNCTION("""COMPUTED_VALUE"""),"=345")</f>
        <v>=345</v>
      </c>
      <c r="T130" s="628" t="str">
        <f ca="1">IFERROR(__xludf.DUMMYFUNCTION("""COMPUTED_VALUE"""),"=125")</f>
        <v>=125</v>
      </c>
      <c r="U130" s="295" t="str">
        <f ca="1">IFERROR(__xludf.DUMMYFUNCTION("""COMPUTED_VALUE"""),"=(IF(Steroid_Q; (45 * P_Q + 5 + 1,2 * Self_AP); 0) + (0,3 * Self_AP + 10 * P_Q + 20)) * MOD_Heal")</f>
        <v>=(IF(Steroid_Q; (45 * P_Q + 5 + 1,2 * Self_AP); 0) + (0,3 * Self_AP + 10 * P_Q + 20)) * MOD_Heal</v>
      </c>
      <c r="V130" s="296" t="str">
        <f ca="1">IFERROR(__xludf.DUMMYFUNCTION("""COMPUTED_VALUE"""),"=0")</f>
        <v>=0</v>
      </c>
      <c r="W130" s="296" t="str">
        <f ca="1">IFERROR(__xludf.DUMMYFUNCTION("""COMPUTED_VALUE"""),"=(0,8*Self_AP+1,3*Self_BoAD+30*P_E+50)*MOD_Phys")</f>
        <v>=(0,8*Self_AP+1,3*Self_BoAD+30*P_E+50)*MOD_Phys</v>
      </c>
      <c r="X130" s="296" t="str">
        <f ca="1">IFERROR(__xludf.DUMMYFUNCTION("""COMPUTED_VALUE"""),"=0")</f>
        <v>=0</v>
      </c>
      <c r="Y130" s="297" t="str">
        <f ca="1">IFERROR(__xludf.DUMMYFUNCTION("""COMPUTED_VALUE"""),"=0")</f>
        <v>=0</v>
      </c>
      <c r="Z130" s="281" t="str">
        <f ca="1">IFERROR(__xludf.DUMMYFUNCTION("""COMPUTED_VALUE"""),"=12")</f>
        <v>=12</v>
      </c>
      <c r="AA130" s="282" t="str">
        <f ca="1">IFERROR(__xludf.DUMMYFUNCTION("""COMPUTED_VALUE"""),"=14")</f>
        <v>=14</v>
      </c>
      <c r="AB130" s="282" t="str">
        <f ca="1">IFERROR(__xludf.DUMMYFUNCTION("""COMPUTED_VALUE"""),"=13-P_E")</f>
        <v>=13-P_E</v>
      </c>
      <c r="AC130" s="282" t="str">
        <f ca="1">IFERROR(__xludf.DUMMYFUNCTION("""COMPUTED_VALUE"""),"=140 - 20 * P_R")</f>
        <v>=140 - 20 * P_R</v>
      </c>
      <c r="AD130" s="283" t="str">
        <f ca="1">IFERROR(__xludf.DUMMYFUNCTION("""COMPUTED_VALUE"""),"=1")</f>
        <v>=1</v>
      </c>
      <c r="AE130" s="281" t="b">
        <f ca="1">IFERROR(__xludf.DUMMYFUNCTION("""COMPUTED_VALUE"""),TRUE)</f>
        <v>1</v>
      </c>
      <c r="AF130" s="282" t="str">
        <f ca="1">IFERROR(__xludf.DUMMYFUNCTION("""COMPUTED_VALUE"""),"=Image(""https://ddragon.leagueoflegends.com/cdn/11.19.1/img/champion/Tryndamere.png"")")</f>
        <v>=Image("https://ddragon.leagueoflegends.com/cdn/11.19.1/img/champion/Tryndamere.png")</v>
      </c>
      <c r="AG130" s="282" t="str">
        <f ca="1">IFERROR(__xludf.DUMMYFUNCTION("""COMPUTED_VALUE"""),"=IF(OR(REGEXMATCH(FORMULATEXT(U130);""HMOD"");NOT(P_Q&gt;0));0;U130)+IF(OR(REGEXMATCH(FORMULATEXT(V130);""HMOD"");NOT(P_W&gt;0));0;V130)+IF(OR(REGEXMATCH(FORMULATEXT(W130);""HMOD"");NOT(P_E&gt;0));0;W130)+IF(OR(REGEXMATCH(FORMULATEXT(X130);""HMOD"");NOT(P_R&gt;0));0;"&amp;"X130)+IF(REGEXMATCH(FORMULATEXT(Y130);""HMOD"");0;Y130)+Self_Proc_Item+Self_Proc_Summ+Self_Proc_Rune+3*Self_DPS")</f>
        <v>=IF(OR(REGEXMATCH(FORMULATEXT(U130);"HMOD");NOT(P_Q&gt;0));0;U130)+IF(OR(REGEXMATCH(FORMULATEXT(V130);"HMOD");NOT(P_W&gt;0));0;V130)+IF(OR(REGEXMATCH(FORMULATEXT(W130);"HMOD");NOT(P_E&gt;0));0;W130)+IF(OR(REGEXMATCH(FORMULATEXT(X130);"HMOD");NOT(P_R&gt;0));0;X130)+IF(REGEXMATCH(FORMULATEXT(Y130);"HMOD");0;Y130)+Self_Proc_Item+Self_Proc_Summ+Self_Proc_Rune+3*Self_DPS</v>
      </c>
      <c r="AH130" s="282" t="str">
        <f ca="1">IFERROR(__xludf.DUMMYFUNCTION("""COMPUTED_VALUE"""),"=0")</f>
        <v>=0</v>
      </c>
      <c r="AI130" s="282" t="b">
        <f ca="1">IFERROR(__xludf.DUMMYFUNCTION("""COMPUTED_VALUE"""),FALSE)</f>
        <v>0</v>
      </c>
      <c r="AJ130" s="283" t="b">
        <f ca="1">IFERROR(__xludf.DUMMYFUNCTION("""COMPUTED_VALUE"""),TRUE)</f>
        <v>1</v>
      </c>
    </row>
    <row r="131" spans="1:36">
      <c r="A131" s="267" t="str">
        <f ca="1">IFERROR(__xludf.DUMMYFUNCTION("""COMPUTED_VALUE"""),"Twisted Fate")</f>
        <v>Twisted Fate</v>
      </c>
      <c r="B131" s="287" t="str">
        <f ca="1">IFERROR(__xludf.DUMMYFUNCTION("""COMPUTED_VALUE"""),"=604")</f>
        <v>=604</v>
      </c>
      <c r="C131" s="287" t="str">
        <f ca="1">IFERROR(__xludf.DUMMYFUNCTION("""COMPUTED_VALUE"""),"=108")</f>
        <v>=108</v>
      </c>
      <c r="D131" s="288" t="str">
        <f ca="1">IFERROR(__xludf.DUMMYFUNCTION("""COMPUTED_VALUE"""),"=5,5")</f>
        <v>=5,5</v>
      </c>
      <c r="E131" s="289" t="str">
        <f ca="1">IFERROR(__xludf.DUMMYFUNCTION("""COMPUTED_VALUE"""),"=0,6")</f>
        <v>=0,6</v>
      </c>
      <c r="F131" s="288" t="str">
        <f ca="1">IFERROR(__xludf.DUMMYFUNCTION("""COMPUTED_VALUE"""),"=333")</f>
        <v>=333</v>
      </c>
      <c r="G131" s="288" t="str">
        <f ca="1">IFERROR(__xludf.DUMMYFUNCTION("""COMPUTED_VALUE"""),"=39")</f>
        <v>=39</v>
      </c>
      <c r="H131" s="288" t="str">
        <f ca="1">IFERROR(__xludf.DUMMYFUNCTION("""COMPUTED_VALUE"""),"=8")</f>
        <v>=8</v>
      </c>
      <c r="I131" s="289" t="str">
        <f ca="1">IFERROR(__xludf.DUMMYFUNCTION("""COMPUTED_VALUE"""),"=0,8")</f>
        <v>=0,8</v>
      </c>
      <c r="J131" s="290" t="str">
        <f ca="1">IFERROR(__xludf.DUMMYFUNCTION("""COMPUTED_VALUE"""),"=52")</f>
        <v>=52</v>
      </c>
      <c r="K131" s="288" t="str">
        <f ca="1">IFERROR(__xludf.DUMMYFUNCTION("""COMPUTED_VALUE"""),"=3,3")</f>
        <v>=3,3</v>
      </c>
      <c r="L131" s="291" t="str">
        <f ca="1">IFERROR(__xludf.DUMMYFUNCTION("""COMPUTED_VALUE"""),"=0,651")</f>
        <v>=0,651</v>
      </c>
      <c r="M131" s="291" t="str">
        <f ca="1">IFERROR(__xludf.DUMMYFUNCTION("""COMPUTED_VALUE"""),"=0,651")</f>
        <v>=0,651</v>
      </c>
      <c r="N131" s="292" t="str">
        <f ca="1">IFERROR(__xludf.DUMMYFUNCTION("""COMPUTED_VALUE"""),"=3,22%")</f>
        <v>=3,22%</v>
      </c>
      <c r="O131" s="287" t="str">
        <f ca="1">IFERROR(__xludf.DUMMYFUNCTION("""COMPUTED_VALUE"""),"=21")</f>
        <v>=21</v>
      </c>
      <c r="P131" s="287" t="str">
        <f ca="1">IFERROR(__xludf.DUMMYFUNCTION("""COMPUTED_VALUE"""),"=4,35")</f>
        <v>=4,35</v>
      </c>
      <c r="Q131" s="288" t="str">
        <f ca="1">IFERROR(__xludf.DUMMYFUNCTION("""COMPUTED_VALUE"""),"=30")</f>
        <v>=30</v>
      </c>
      <c r="R131" s="289" t="str">
        <f ca="1">IFERROR(__xludf.DUMMYFUNCTION("""COMPUTED_VALUE"""),"=1,3")</f>
        <v>=1,3</v>
      </c>
      <c r="S131" s="287" t="str">
        <f ca="1">IFERROR(__xludf.DUMMYFUNCTION("""COMPUTED_VALUE"""),"=330")</f>
        <v>=330</v>
      </c>
      <c r="T131" s="628" t="str">
        <f ca="1">IFERROR(__xludf.DUMMYFUNCTION("""COMPUTED_VALUE"""),"=525")</f>
        <v>=525</v>
      </c>
      <c r="U131" s="298" t="str">
        <f ca="1">IFERROR(__xludf.DUMMYFUNCTION("""COMPUTED_VALUE"""),"=(0,8 * Self_AP + 40 * P_Q + 20)*MOD_Magic")</f>
        <v>=(0,8 * Self_AP + 40 * P_Q + 20)*MOD_Magic</v>
      </c>
      <c r="V131" s="299" t="str">
        <f ca="1">IFERROR(__xludf.DUMMYFUNCTION("""COMPUTED_VALUE"""),"=IF(Steroid_W;1,15 * Self_AP + Self_AD + 20 * P_W + 20; 0,5 * Self_AP + Self_AD + 7,5 * P_W + 7,5) * MOD_Magic")</f>
        <v>=IF(Steroid_W;1,15 * Self_AP + Self_AD + 20 * P_W + 20; 0,5 * Self_AP + Self_AD + 7,5 * P_W + 7,5) * MOD_Magic</v>
      </c>
      <c r="W131" s="299" t="str">
        <f ca="1">IFERROR(__xludf.DUMMYFUNCTION("""COMPUTED_VALUE"""),"=(0,5*Self_AP+25*P_E+40)*MOD_Magic")</f>
        <v>=(0,5*Self_AP+25*P_E+40)*MOD_Magic</v>
      </c>
      <c r="X131" s="299" t="str">
        <f ca="1">IFERROR(__xludf.DUMMYFUNCTION("""COMPUTED_VALUE"""),"=0")</f>
        <v>=0</v>
      </c>
      <c r="Y131" s="300" t="str">
        <f ca="1">IFERROR(__xludf.DUMMYFUNCTION("""COMPUTED_VALUE"""),"=0")</f>
        <v>=0</v>
      </c>
      <c r="Z131" s="281" t="str">
        <f ca="1">IFERROR(__xludf.DUMMYFUNCTION("""COMPUTED_VALUE"""),"=6,25 - 0,25 * P_Q")</f>
        <v>=6,25 - 0,25 * P_Q</v>
      </c>
      <c r="AA131" s="282" t="str">
        <f ca="1">IFERROR(__xludf.DUMMYFUNCTION("""COMPUTED_VALUE"""),"=6")</f>
        <v>=6</v>
      </c>
      <c r="AB131" s="282" t="str">
        <f ca="1">IFERROR(__xludf.DUMMYFUNCTION("""COMPUTED_VALUE"""),"=4/if(Self_AS&lt;=0;1;Self_AS)")</f>
        <v>=4/if(Self_AS&lt;=0;1;Self_AS)</v>
      </c>
      <c r="AC131" s="282" t="str">
        <f ca="1">IFERROR(__xludf.DUMMYFUNCTION("""COMPUTED_VALUE"""),"=210-30*P_R")</f>
        <v>=210-30*P_R</v>
      </c>
      <c r="AD131" s="283" t="str">
        <f ca="1">IFERROR(__xludf.DUMMYFUNCTION("""COMPUTED_VALUE"""),"=1")</f>
        <v>=1</v>
      </c>
      <c r="AE131" s="281" t="b">
        <f ca="1">IFERROR(__xludf.DUMMYFUNCTION("""COMPUTED_VALUE"""),FALSE)</f>
        <v>0</v>
      </c>
      <c r="AF131" s="282" t="str">
        <f ca="1">IFERROR(__xludf.DUMMYFUNCTION("""COMPUTED_VALUE"""),"=Image(""https://ddragon.leagueoflegends.com/cdn/11.19.1/img/champion/TwistedFate.png"")")</f>
        <v>=Image("https://ddragon.leagueoflegends.com/cdn/11.19.1/img/champion/TwistedFate.png")</v>
      </c>
      <c r="AG131" s="282" t="str">
        <f ca="1">IFERROR(__xludf.DUMMYFUNCTION("""COMPUTED_VALUE"""),"=IF(OR(REGEXMATCH(FORMULATEXT(U131);""HMOD"");NOT(P_Q&gt;0));0;U131)+IF(OR(REGEXMATCH(FORMULATEXT(V131);""HMOD"");NOT(P_W&gt;0));0;V131)+IF(OR(REGEXMATCH(FORMULATEXT(W131);""HMOD"");NOT(P_E&gt;0));0;W131)+IF(OR(REGEXMATCH(FORMULATEXT(X131);""HMOD"");NOT(P_R&gt;0));0;"&amp;"X131)+IF(REGEXMATCH(FORMULATEXT(Y131);""HMOD"");0;Y131)+Self_Proc_Item+Self_Proc_Summ+Self_Proc_Rune+3*Self_DPS")</f>
        <v>=IF(OR(REGEXMATCH(FORMULATEXT(U131);"HMOD");NOT(P_Q&gt;0));0;U131)+IF(OR(REGEXMATCH(FORMULATEXT(V131);"HMOD");NOT(P_W&gt;0));0;V131)+IF(OR(REGEXMATCH(FORMULATEXT(W131);"HMOD");NOT(P_E&gt;0));0;W131)+IF(OR(REGEXMATCH(FORMULATEXT(X131);"HMOD");NOT(P_R&gt;0));0;X131)+IF(REGEXMATCH(FORMULATEXT(Y131);"HMOD");0;Y131)+Self_Proc_Item+Self_Proc_Summ+Self_Proc_Rune+3*Self_DPS</v>
      </c>
      <c r="AH131" s="282" t="str">
        <f ca="1">IFERROR(__xludf.DUMMYFUNCTION("""COMPUTED_VALUE"""),"=0")</f>
        <v>=0</v>
      </c>
      <c r="AI131" s="282" t="b">
        <f ca="1">IFERROR(__xludf.DUMMYFUNCTION("""COMPUTED_VALUE"""),FALSE)</f>
        <v>0</v>
      </c>
      <c r="AJ131" s="283" t="b">
        <f ca="1">IFERROR(__xludf.DUMMYFUNCTION("""COMPUTED_VALUE"""),FALSE)</f>
        <v>0</v>
      </c>
    </row>
    <row r="132" spans="1:36">
      <c r="A132" s="267" t="str">
        <f ca="1">IFERROR(__xludf.DUMMYFUNCTION("""COMPUTED_VALUE"""),"Twitch")</f>
        <v>Twitch</v>
      </c>
      <c r="B132" s="287" t="str">
        <f ca="1">IFERROR(__xludf.DUMMYFUNCTION("""COMPUTED_VALUE"""),"=682")</f>
        <v>=682</v>
      </c>
      <c r="C132" s="287" t="str">
        <f ca="1">IFERROR(__xludf.DUMMYFUNCTION("""COMPUTED_VALUE"""),"=100")</f>
        <v>=100</v>
      </c>
      <c r="D132" s="288" t="str">
        <f ca="1">IFERROR(__xludf.DUMMYFUNCTION("""COMPUTED_VALUE"""),"=3,75")</f>
        <v>=3,75</v>
      </c>
      <c r="E132" s="289" t="str">
        <f ca="1">IFERROR(__xludf.DUMMYFUNCTION("""COMPUTED_VALUE"""),"=0,6")</f>
        <v>=0,6</v>
      </c>
      <c r="F132" s="288" t="str">
        <f ca="1">IFERROR(__xludf.DUMMYFUNCTION("""COMPUTED_VALUE"""),"=300")</f>
        <v>=300</v>
      </c>
      <c r="G132" s="288" t="str">
        <f ca="1">IFERROR(__xludf.DUMMYFUNCTION("""COMPUTED_VALUE"""),"=40")</f>
        <v>=40</v>
      </c>
      <c r="H132" s="288" t="str">
        <f ca="1">IFERROR(__xludf.DUMMYFUNCTION("""COMPUTED_VALUE"""),"=7,3")</f>
        <v>=7,3</v>
      </c>
      <c r="I132" s="289" t="str">
        <f ca="1">IFERROR(__xludf.DUMMYFUNCTION("""COMPUTED_VALUE"""),"=0,7")</f>
        <v>=0,7</v>
      </c>
      <c r="J132" s="290" t="str">
        <f ca="1">IFERROR(__xludf.DUMMYFUNCTION("""COMPUTED_VALUE"""),"=59")</f>
        <v>=59</v>
      </c>
      <c r="K132" s="288" t="str">
        <f ca="1">IFERROR(__xludf.DUMMYFUNCTION("""COMPUTED_VALUE"""),"=3,11")</f>
        <v>=3,11</v>
      </c>
      <c r="L132" s="291" t="str">
        <f ca="1">IFERROR(__xludf.DUMMYFUNCTION("""COMPUTED_VALUE"""),"=0,679")</f>
        <v>=0,679</v>
      </c>
      <c r="M132" s="291" t="str">
        <f ca="1">IFERROR(__xludf.DUMMYFUNCTION("""COMPUTED_VALUE"""),"=0,679")</f>
        <v>=0,679</v>
      </c>
      <c r="N132" s="292" t="str">
        <f ca="1">IFERROR(__xludf.DUMMYFUNCTION("""COMPUTED_VALUE"""),"=3,38%")</f>
        <v>=3,38%</v>
      </c>
      <c r="O132" s="287" t="str">
        <f ca="1">IFERROR(__xludf.DUMMYFUNCTION("""COMPUTED_VALUE"""),"=27")</f>
        <v>=27</v>
      </c>
      <c r="P132" s="287" t="str">
        <f ca="1">IFERROR(__xludf.DUMMYFUNCTION("""COMPUTED_VALUE"""),"=4,2")</f>
        <v>=4,2</v>
      </c>
      <c r="Q132" s="288" t="str">
        <f ca="1">IFERROR(__xludf.DUMMYFUNCTION("""COMPUTED_VALUE"""),"=30")</f>
        <v>=30</v>
      </c>
      <c r="R132" s="289" t="str">
        <f ca="1">IFERROR(__xludf.DUMMYFUNCTION("""COMPUTED_VALUE"""),"=1,3")</f>
        <v>=1,3</v>
      </c>
      <c r="S132" s="287" t="str">
        <f ca="1">IFERROR(__xludf.DUMMYFUNCTION("""COMPUTED_VALUE"""),"=330")</f>
        <v>=330</v>
      </c>
      <c r="T132" s="628" t="str">
        <f ca="1">IFERROR(__xludf.DUMMYFUNCTION("""COMPUTED_VALUE"""),"=550")</f>
        <v>=550</v>
      </c>
      <c r="U132" s="295" t="str">
        <f ca="1">IFERROR(__xludf.DUMMYFUNCTION("""COMPUTED_VALUE"""),"=0")</f>
        <v>=0</v>
      </c>
      <c r="V132" s="296" t="str">
        <f ca="1">IFERROR(__xludf.DUMMYFUNCTION("""COMPUTED_VALUE"""),"=0")</f>
        <v>=0</v>
      </c>
      <c r="W132" s="296" t="str">
        <f ca="1">IFERROR(__xludf.DUMMYFUNCTION("""COMPUTED_VALUE"""),"=IF(Steroid_E;2,1 * Self_BoAD + 70 + 40 * P_E; 15 * P_E + 20 + 0,35 * Self_BoAD) * MOD_Phys + IF(Steroid_E; 6; 1) * (0,3 * Self_AP) * MOD_Magic")</f>
        <v>=IF(Steroid_E;2,1 * Self_BoAD + 70 + 40 * P_E; 15 * P_E + 20 + 0,35 * Self_BoAD) * MOD_Phys + IF(Steroid_E; 6; 1) * (0,3 * Self_AP) * MOD_Magic</v>
      </c>
      <c r="X132" s="296" t="str">
        <f ca="1">IFERROR(__xludf.DUMMYFUNCTION("""COMPUTED_VALUE"""),"=0")</f>
        <v>=0</v>
      </c>
      <c r="Y132" s="297" t="str">
        <f ca="1">IFERROR(__xludf.DUMMYFUNCTION("""COMPUTED_VALUE"""),"=(6 + 0,18 * Self_AP + 6 * ROUNDDOWN((Self_Level - 1) / 4)) * 6 * Calc!O10")</f>
        <v>=(6 + 0,18 * Self_AP + 6 * ROUNDDOWN((Self_Level - 1) / 4)) * 6 * Calc!O10</v>
      </c>
      <c r="Z132" s="281" t="str">
        <f ca="1">IFERROR(__xludf.DUMMYFUNCTION("""COMPUTED_VALUE"""),"=16")</f>
        <v>=16</v>
      </c>
      <c r="AA132" s="282" t="str">
        <f ca="1">IFERROR(__xludf.DUMMYFUNCTION("""COMPUTED_VALUE"""),"=14-P_W")</f>
        <v>=14-P_W</v>
      </c>
      <c r="AB132" s="282" t="str">
        <f ca="1">IFERROR(__xludf.DUMMYFUNCTION("""COMPUTED_VALUE"""),"=13-P_E")</f>
        <v>=13-P_E</v>
      </c>
      <c r="AC132" s="282" t="str">
        <f ca="1">IFERROR(__xludf.DUMMYFUNCTION("""COMPUTED_VALUE"""),"=90")</f>
        <v>=90</v>
      </c>
      <c r="AD132" s="283" t="str">
        <f ca="1">IFERROR(__xludf.DUMMYFUNCTION("""COMPUTED_VALUE"""),"=1")</f>
        <v>=1</v>
      </c>
      <c r="AE132" s="281" t="b">
        <f ca="1">IFERROR(__xludf.DUMMYFUNCTION("""COMPUTED_VALUE"""),FALSE)</f>
        <v>0</v>
      </c>
      <c r="AF132" s="282" t="str">
        <f ca="1">IFERROR(__xludf.DUMMYFUNCTION("""COMPUTED_VALUE"""),"=Image(""https://ddragon.leagueoflegends.com/cdn/11.19.1/img/champion/Twitch.png"")")</f>
        <v>=Image("https://ddragon.leagueoflegends.com/cdn/11.19.1/img/champion/Twitch.png")</v>
      </c>
      <c r="AG132" s="282" t="str">
        <f ca="1">IFERROR(__xludf.DUMMYFUNCTION("""COMPUTED_VALUE"""),"=IF(OR(REGEXMATCH(FORMULATEXT(U132);""HMOD"");NOT(P_Q&gt;0));0;U132)+IF(OR(REGEXMATCH(FORMULATEXT(V132);""HMOD"");NOT(P_W&gt;0));0;V132)+IF(OR(REGEXMATCH(FORMULATEXT(W132);""HMOD"");NOT(P_E&gt;0));0;W132)+IF(OR(REGEXMATCH(FORMULATEXT(X132);""HMOD"");NOT(P_R&gt;0));0;"&amp;"X132)+IF(REGEXMATCH(FORMULATEXT(Y132);""HMOD"");0;Y132)+Self_Proc_Item+Self_Proc_Summ+Self_Proc_Rune+3*Self_DPS")</f>
        <v>=IF(OR(REGEXMATCH(FORMULATEXT(U132);"HMOD");NOT(P_Q&gt;0));0;U132)+IF(OR(REGEXMATCH(FORMULATEXT(V132);"HMOD");NOT(P_W&gt;0));0;V132)+IF(OR(REGEXMATCH(FORMULATEXT(W132);"HMOD");NOT(P_E&gt;0));0;W132)+IF(OR(REGEXMATCH(FORMULATEXT(X132);"HMOD");NOT(P_R&gt;0));0;X132)+IF(REGEXMATCH(FORMULATEXT(Y132);"HMOD");0;Y132)+Self_Proc_Item+Self_Proc_Summ+Self_Proc_Rune+3*Self_DPS</v>
      </c>
      <c r="AH132" s="282" t="str">
        <f ca="1">IFERROR(__xludf.DUMMYFUNCTION("""COMPUTED_VALUE"""),"=0")</f>
        <v>=0</v>
      </c>
      <c r="AI132" s="282" t="b">
        <f ca="1">IFERROR(__xludf.DUMMYFUNCTION("""COMPUTED_VALUE"""),FALSE)</f>
        <v>0</v>
      </c>
      <c r="AJ132" s="283" t="b">
        <f ca="1">IFERROR(__xludf.DUMMYFUNCTION("""COMPUTED_VALUE"""),FALSE)</f>
        <v>0</v>
      </c>
    </row>
    <row r="133" spans="1:36">
      <c r="A133" s="267" t="str">
        <f ca="1">IFERROR(__xludf.DUMMYFUNCTION("""COMPUTED_VALUE"""),"Udyr")</f>
        <v>Udyr</v>
      </c>
      <c r="B133" s="287" t="str">
        <f ca="1">IFERROR(__xludf.DUMMYFUNCTION("""COMPUTED_VALUE"""),"=664")</f>
        <v>=664</v>
      </c>
      <c r="C133" s="287" t="str">
        <f ca="1">IFERROR(__xludf.DUMMYFUNCTION("""COMPUTED_VALUE"""),"=92")</f>
        <v>=92</v>
      </c>
      <c r="D133" s="288" t="str">
        <f ca="1">IFERROR(__xludf.DUMMYFUNCTION("""COMPUTED_VALUE"""),"=6")</f>
        <v>=6</v>
      </c>
      <c r="E133" s="289" t="str">
        <f ca="1">IFERROR(__xludf.DUMMYFUNCTION("""COMPUTED_VALUE"""),"=0,75")</f>
        <v>=0,75</v>
      </c>
      <c r="F133" s="288" t="str">
        <f ca="1">IFERROR(__xludf.DUMMYFUNCTION("""COMPUTED_VALUE"""),"=271")</f>
        <v>=271</v>
      </c>
      <c r="G133" s="288" t="str">
        <f ca="1">IFERROR(__xludf.DUMMYFUNCTION("""COMPUTED_VALUE"""),"=50")</f>
        <v>=50</v>
      </c>
      <c r="H133" s="288" t="str">
        <f ca="1">IFERROR(__xludf.DUMMYFUNCTION("""COMPUTED_VALUE"""),"=7,5")</f>
        <v>=7,5</v>
      </c>
      <c r="I133" s="289" t="str">
        <f ca="1">IFERROR(__xludf.DUMMYFUNCTION("""COMPUTED_VALUE"""),"=0,45")</f>
        <v>=0,45</v>
      </c>
      <c r="J133" s="290" t="str">
        <f ca="1">IFERROR(__xludf.DUMMYFUNCTION("""COMPUTED_VALUE"""),"=62")</f>
        <v>=62</v>
      </c>
      <c r="K133" s="288" t="str">
        <f ca="1">IFERROR(__xludf.DUMMYFUNCTION("""COMPUTED_VALUE"""),"=4")</f>
        <v>=4</v>
      </c>
      <c r="L133" s="291" t="str">
        <f ca="1">IFERROR(__xludf.DUMMYFUNCTION("""COMPUTED_VALUE"""),"=0,649")</f>
        <v>=0,649</v>
      </c>
      <c r="M133" s="291" t="str">
        <f ca="1">IFERROR(__xludf.DUMMYFUNCTION("""COMPUTED_VALUE"""),"=0,65")</f>
        <v>=0,65</v>
      </c>
      <c r="N133" s="292" t="str">
        <f ca="1">IFERROR(__xludf.DUMMYFUNCTION("""COMPUTED_VALUE"""),"=3%")</f>
        <v>=3%</v>
      </c>
      <c r="O133" s="287" t="str">
        <f ca="1">IFERROR(__xludf.DUMMYFUNCTION("""COMPUTED_VALUE"""),"=31")</f>
        <v>=31</v>
      </c>
      <c r="P133" s="287" t="str">
        <f ca="1">IFERROR(__xludf.DUMMYFUNCTION("""COMPUTED_VALUE"""),"=4,7")</f>
        <v>=4,7</v>
      </c>
      <c r="Q133" s="288" t="str">
        <f ca="1">IFERROR(__xludf.DUMMYFUNCTION("""COMPUTED_VALUE"""),"=32")</f>
        <v>=32</v>
      </c>
      <c r="R133" s="289" t="str">
        <f ca="1">IFERROR(__xludf.DUMMYFUNCTION("""COMPUTED_VALUE"""),"=2,05")</f>
        <v>=2,05</v>
      </c>
      <c r="S133" s="287" t="str">
        <f ca="1">IFERROR(__xludf.DUMMYFUNCTION("""COMPUTED_VALUE"""),"=350")</f>
        <v>=350</v>
      </c>
      <c r="T133" s="628" t="str">
        <f ca="1">IFERROR(__xludf.DUMMYFUNCTION("""COMPUTED_VALUE"""),"=125")</f>
        <v>=125</v>
      </c>
      <c r="U133" s="298" t="str">
        <f ca="1">IFERROR(__xludf.DUMMYFUNCTION("""COMPUTED_VALUE"""),"=((0,02 * P_Q + 0,04 + 0,0008 * Self_BoAD) * MOD_Phys + IF(Steroid_Q; 0,015 + 0,015 * Sc_Lin + 0,0008 * Self_AP; 0) * 3 * MOD_Magic + (0,02 + 0,02 * Sc_Lin + 0,0002 * Self_BoAD) * 2 * MOD_Phys) * E_MHP")</f>
        <v>=((0,02 * P_Q + 0,04 + 0,0008 * Self_BoAD) * MOD_Phys + IF(Steroid_Q; 0,015 + 0,015 * Sc_Lin + 0,0008 * Self_AP; 0) * 3 * MOD_Magic + (0,02 + 0,02 * Sc_Lin + 0,0002 * Self_BoAD) * 2 * MOD_Phys) * E_MHP</v>
      </c>
      <c r="V133" s="299" t="str">
        <f ca="1">IFERROR(__xludf.DUMMYFUNCTION("""COMPUTED_VALUE"""),"=(30 + 15 * P_W + 0,4 + Self_AP + (0,017 + 0,003 * P_W) * Self_MHP + IF(Steroid_W; 20 + 130 * Sc_Lin + 0,65 * Self_AP + 0,08 * Self_MHP; 0)) * MOD_SelfHeal")</f>
        <v>=(30 + 15 * P_W + 0,4 + Self_AP + (0,017 + 0,003 * P_W) * Self_MHP + IF(Steroid_W; 20 + 130 * Sc_Lin + 0,65 * Self_AP + 0,08 * Self_MHP; 0)) * MOD_SelfHeal</v>
      </c>
      <c r="W133" s="299" t="str">
        <f ca="1">IFERROR(__xludf.DUMMYFUNCTION("""COMPUTED_VALUE"""),"=0")</f>
        <v>=0</v>
      </c>
      <c r="X133" s="299" t="str">
        <f ca="1">IFERROR(__xludf.DUMMYFUNCTION("""COMPUTED_VALUE"""),"=(20 + 40 * Sc_Lin + 0,6 * Self_AP + IF(Steroid_R; 80 * P_R + 1,4 * Self_AP + IF(Steroid_Form; (0,08 + 0,08 * Sc_Lin + 0,00035 * Self_AP) * E_MHP; 0); 0)) * MOD_Magic")</f>
        <v>=(20 + 40 * Sc_Lin + 0,6 * Self_AP + IF(Steroid_R; 80 * P_R + 1,4 * Self_AP + IF(Steroid_Form; (0,08 + 0,08 * Sc_Lin + 0,00035 * Self_AP) * E_MHP; 0); 0)) * MOD_Magic</v>
      </c>
      <c r="Y133" s="300" t="str">
        <f ca="1">IFERROR(__xludf.DUMMYFUNCTION("""COMPUTED_VALUE"""),"=0")</f>
        <v>=0</v>
      </c>
      <c r="Z133" s="281" t="str">
        <f ca="1">IFERROR(__xludf.DUMMYFUNCTION("""COMPUTED_VALUE"""),"=6")</f>
        <v>=6</v>
      </c>
      <c r="AA133" s="282" t="str">
        <f ca="1">IFERROR(__xludf.DUMMYFUNCTION("""COMPUTED_VALUE"""),"=6")</f>
        <v>=6</v>
      </c>
      <c r="AB133" s="282" t="str">
        <f ca="1">IFERROR(__xludf.DUMMYFUNCTION("""COMPUTED_VALUE"""),"=6")</f>
        <v>=6</v>
      </c>
      <c r="AC133" s="282" t="str">
        <f ca="1">IFERROR(__xludf.DUMMYFUNCTION("""COMPUTED_VALUE"""),"=6")</f>
        <v>=6</v>
      </c>
      <c r="AD133" s="283" t="str">
        <f ca="1">IFERROR(__xludf.DUMMYFUNCTION("""COMPUTED_VALUE"""),"=1")</f>
        <v>=1</v>
      </c>
      <c r="AE133" s="281" t="b">
        <f ca="1">IFERROR(__xludf.DUMMYFUNCTION("""COMPUTED_VALUE"""),TRUE)</f>
        <v>1</v>
      </c>
      <c r="AF133" s="282" t="str">
        <f ca="1">IFERROR(__xludf.DUMMYFUNCTION("""COMPUTED_VALUE"""),"=Image(""https://ddragon.leagueoflegends.com/cdn/12.16.1/img/champion/Udyr.png"")")</f>
        <v>=Image("https://ddragon.leagueoflegends.com/cdn/12.16.1/img/champion/Udyr.png")</v>
      </c>
      <c r="AG133" s="282" t="str">
        <f ca="1">IFERROR(__xludf.DUMMYFUNCTION("""COMPUTED_VALUE"""),"=IF(OR(REGEXMATCH(FORMULATEXT(U133);""HMOD"");NOT(P_Q&gt;0));0;U133)+IF(OR(REGEXMATCH(FORMULATEXT(V133);""HMOD"");NOT(P_W&gt;0));0;V133)+IF(OR(REGEXMATCH(FORMULATEXT(W133);""HMOD"");NOT(P_E&gt;0));0;W133)+IF(OR(REGEXMATCH(FORMULATEXT(X133);""HMOD"");NOT(P_R&gt;0));0;"&amp;"X133)+IF(REGEXMATCH(FORMULATEXT(Y133);""HMOD"");0;Y133)+Self_Proc_Item+Self_Proc_Summ+Self_Proc_Rune+3*Self_DPS")</f>
        <v>=IF(OR(REGEXMATCH(FORMULATEXT(U133);"HMOD");NOT(P_Q&gt;0));0;U133)+IF(OR(REGEXMATCH(FORMULATEXT(V133);"HMOD");NOT(P_W&gt;0));0;V133)+IF(OR(REGEXMATCH(FORMULATEXT(W133);"HMOD");NOT(P_E&gt;0));0;W133)+IF(OR(REGEXMATCH(FORMULATEXT(X133);"HMOD");NOT(P_R&gt;0));0;X133)+IF(REGEXMATCH(FORMULATEXT(Y133);"HMOD");0;Y133)+Self_Proc_Item+Self_Proc_Summ+Self_Proc_Rune+3*Self_DPS</v>
      </c>
      <c r="AH133" s="282" t="str">
        <f ca="1">IFERROR(__xludf.DUMMYFUNCTION("""COMPUTED_VALUE"""),"=0")</f>
        <v>=0</v>
      </c>
      <c r="AI133" s="282" t="b">
        <f ca="1">IFERROR(__xludf.DUMMYFUNCTION("""COMPUTED_VALUE"""),FALSE)</f>
        <v>0</v>
      </c>
      <c r="AJ133" s="283" t="b">
        <f ca="1">IFERROR(__xludf.DUMMYFUNCTION("""COMPUTED_VALUE"""),FALSE)</f>
        <v>0</v>
      </c>
    </row>
    <row r="134" spans="1:36">
      <c r="A134" s="267" t="str">
        <f ca="1">IFERROR(__xludf.DUMMYFUNCTION("""COMPUTED_VALUE"""),"Urgot")</f>
        <v>Urgot</v>
      </c>
      <c r="B134" s="287" t="str">
        <f ca="1">IFERROR(__xludf.DUMMYFUNCTION("""COMPUTED_VALUE"""),"=655")</f>
        <v>=655</v>
      </c>
      <c r="C134" s="287" t="str">
        <f ca="1">IFERROR(__xludf.DUMMYFUNCTION("""COMPUTED_VALUE"""),"=102")</f>
        <v>=102</v>
      </c>
      <c r="D134" s="288" t="str">
        <f ca="1">IFERROR(__xludf.DUMMYFUNCTION("""COMPUTED_VALUE"""),"=7,5")</f>
        <v>=7,5</v>
      </c>
      <c r="E134" s="289" t="str">
        <f ca="1">IFERROR(__xludf.DUMMYFUNCTION("""COMPUTED_VALUE"""),"=0,7")</f>
        <v>=0,7</v>
      </c>
      <c r="F134" s="288" t="str">
        <f ca="1">IFERROR(__xludf.DUMMYFUNCTION("""COMPUTED_VALUE"""),"=340")</f>
        <v>=340</v>
      </c>
      <c r="G134" s="288" t="str">
        <f ca="1">IFERROR(__xludf.DUMMYFUNCTION("""COMPUTED_VALUE"""),"=45")</f>
        <v>=45</v>
      </c>
      <c r="H134" s="288" t="str">
        <f ca="1">IFERROR(__xludf.DUMMYFUNCTION("""COMPUTED_VALUE"""),"=7,25")</f>
        <v>=7,25</v>
      </c>
      <c r="I134" s="289" t="str">
        <f ca="1">IFERROR(__xludf.DUMMYFUNCTION("""COMPUTED_VALUE"""),"=0,8")</f>
        <v>=0,8</v>
      </c>
      <c r="J134" s="290" t="str">
        <f ca="1">IFERROR(__xludf.DUMMYFUNCTION("""COMPUTED_VALUE"""),"=63")</f>
        <v>=63</v>
      </c>
      <c r="K134" s="288" t="str">
        <f ca="1">IFERROR(__xludf.DUMMYFUNCTION("""COMPUTED_VALUE"""),"=4")</f>
        <v>=4</v>
      </c>
      <c r="L134" s="291" t="str">
        <f ca="1">IFERROR(__xludf.DUMMYFUNCTION("""COMPUTED_VALUE"""),"=0,625")</f>
        <v>=0,625</v>
      </c>
      <c r="M134" s="291" t="str">
        <f ca="1">IFERROR(__xludf.DUMMYFUNCTION("""COMPUTED_VALUE"""),"=0,625")</f>
        <v>=0,625</v>
      </c>
      <c r="N134" s="292" t="str">
        <f ca="1">IFERROR(__xludf.DUMMYFUNCTION("""COMPUTED_VALUE"""),"=3,75%")</f>
        <v>=3,75%</v>
      </c>
      <c r="O134" s="287" t="str">
        <f ca="1">IFERROR(__xludf.DUMMYFUNCTION("""COMPUTED_VALUE"""),"=36")</f>
        <v>=36</v>
      </c>
      <c r="P134" s="287" t="str">
        <f ca="1">IFERROR(__xludf.DUMMYFUNCTION("""COMPUTED_VALUE"""),"=5,45")</f>
        <v>=5,45</v>
      </c>
      <c r="Q134" s="288" t="str">
        <f ca="1">IFERROR(__xludf.DUMMYFUNCTION("""COMPUTED_VALUE"""),"=32")</f>
        <v>=32</v>
      </c>
      <c r="R134" s="289" t="str">
        <f ca="1">IFERROR(__xludf.DUMMYFUNCTION("""COMPUTED_VALUE"""),"=2,05")</f>
        <v>=2,05</v>
      </c>
      <c r="S134" s="287" t="str">
        <f ca="1">IFERROR(__xludf.DUMMYFUNCTION("""COMPUTED_VALUE"""),"=330-if(and(Steroid_W;P_W&gt;0);125;0)")</f>
        <v>=330-if(and(Steroid_W;P_W&gt;0);125;0)</v>
      </c>
      <c r="T134" s="628" t="str">
        <f ca="1">IFERROR(__xludf.DUMMYFUNCTION("""COMPUTED_VALUE"""),"=350")</f>
        <v>=350</v>
      </c>
      <c r="U134" s="295" t="str">
        <f ca="1">IFERROR(__xludf.DUMMYFUNCTION("""COMPUTED_VALUE"""),"=(45*P_Q-20+0,7*Self_AD)*MOD_Phys")</f>
        <v>=(45*P_Q-20+0,7*Self_AD)*MOD_Phys</v>
      </c>
      <c r="V134" s="296" t="str">
        <f ca="1">IFERROR(__xludf.DUMMYFUNCTION("""COMPUTED_VALUE"""),"=(12 + (0,165 + 0,035 * P_W) * Self_AD) * MOD_Hit + (OH_Phys + OH_Magic) * MOD_OH * 0,5")</f>
        <v>=(12 + (0,165 + 0,035 * P_W) * Self_AD) * MOD_Hit + (OH_Phys + OH_Magic) * MOD_OH * 0,5</v>
      </c>
      <c r="W134" s="296" t="str">
        <f ca="1">IFERROR(__xludf.DUMMYFUNCTION("""COMPUTED_VALUE"""),"=(60+30*P_E+Self_BoAD)*MOD_Phys")</f>
        <v>=(60+30*P_E+Self_BoAD)*MOD_Phys</v>
      </c>
      <c r="X134" s="296" t="str">
        <f ca="1">IFERROR(__xludf.DUMMYFUNCTION("""COMPUTED_VALUE"""),"=(0,5*Self_BoAD+125*P_R-25)*MOD_Phys")</f>
        <v>=(0,5*Self_BoAD+125*P_R-25)*MOD_Phys</v>
      </c>
      <c r="Y134" s="297" t="str">
        <f ca="1">IFERROR(__xludf.DUMMYFUNCTION("""COMPUTED_VALUE"""),"=IF(Self_Level&gt;=15;0,06*E_MHP+Self_AD;IF(Self_Level&gt;=13;0,06*E_MHP+0,88*Self_AD;IF(Self_Level&gt;=11;0,05*E_MHP+0,76*Self_AD;IF(Self_Level&gt;=9;0,04*E_MHP+0,64*Self_AD;IF(Self_Level&gt;=6;0,03*E_MHP+0,52*Self_AD;0,02*E_MHP+0,4*Self_AD)))))*MOD_Phys")</f>
        <v>=IF(Self_Level&gt;=15;0,06*E_MHP+Self_AD;IF(Self_Level&gt;=13;0,06*E_MHP+0,88*Self_AD;IF(Self_Level&gt;=11;0,05*E_MHP+0,76*Self_AD;IF(Self_Level&gt;=9;0,04*E_MHP+0,64*Self_AD;IF(Self_Level&gt;=6;0,03*E_MHP+0,52*Self_AD;0,02*E_MHP+0,4*Self_AD)))))*MOD_Phys</v>
      </c>
      <c r="Z134" s="281" t="str">
        <f ca="1">IFERROR(__xludf.DUMMYFUNCTION("""COMPUTED_VALUE"""),"=10,5-0,5*P_Q")</f>
        <v>=10,5-0,5*P_Q</v>
      </c>
      <c r="AA134" s="282" t="str">
        <f ca="1">IFERROR(__xludf.DUMMYFUNCTION("""COMPUTED_VALUE"""),"=15-3*P_W")</f>
        <v>=15-3*P_W</v>
      </c>
      <c r="AB134" s="282" t="str">
        <f ca="1">IFERROR(__xludf.DUMMYFUNCTION("""COMPUTED_VALUE"""),"=16,5 - 0,5 * P_E")</f>
        <v>=16,5 - 0,5 * P_E</v>
      </c>
      <c r="AC134" s="282" t="str">
        <f ca="1">IFERROR(__xludf.DUMMYFUNCTION("""COMPUTED_VALUE"""),"=115-15*P_R")</f>
        <v>=115-15*P_R</v>
      </c>
      <c r="AD134" s="283" t="str">
        <f ca="1">IFERROR(__xludf.DUMMYFUNCTION("""COMPUTED_VALUE"""),"=if(Self_Level&gt;=13;2,5;if(Self_Level&gt;=11;5;if(Self_Level&gt;=9;10;if(Self_Level&gt;=6;20;30))))")</f>
        <v>=if(Self_Level&gt;=13;2,5;if(Self_Level&gt;=11;5;if(Self_Level&gt;=9;10;if(Self_Level&gt;=6;20;30))))</v>
      </c>
      <c r="AE134" s="281" t="b">
        <f ca="1">IFERROR(__xludf.DUMMYFUNCTION("""COMPUTED_VALUE"""),FALSE)</f>
        <v>0</v>
      </c>
      <c r="AF134" s="282" t="str">
        <f ca="1">IFERROR(__xludf.DUMMYFUNCTION("""COMPUTED_VALUE"""),"=Image(""https://ddragon.leagueoflegends.com/cdn/11.19.1/img/champion/Urgot.png"")")</f>
        <v>=Image("https://ddragon.leagueoflegends.com/cdn/11.19.1/img/champion/Urgot.png")</v>
      </c>
      <c r="AG134" s="282" t="str">
        <f ca="1">IFERROR(__xludf.DUMMYFUNCTION("""COMPUTED_VALUE"""),"=IF(OR(REGEXMATCH(FORMULATEXT(U134);""HMOD"");NOT(P_Q&gt;0));0;U134)+IF(OR(REGEXMATCH(FORMULATEXT(V134);""HMOD"");NOT(P_W&gt;0));0;V134)+IF(OR(REGEXMATCH(FORMULATEXT(W134);""HMOD"");NOT(P_E&gt;0));0;W134)+IF(OR(REGEXMATCH(FORMULATEXT(X134);""HMOD"");NOT(P_R&gt;0));0;"&amp;"X134)+IF(REGEXMATCH(FORMULATEXT(Y134);""HMOD"");0;Y134)+Self_Proc_Item+Self_Proc_Summ+Self_Proc_Rune+3*Self_DPS")</f>
        <v>=IF(OR(REGEXMATCH(FORMULATEXT(U134);"HMOD");NOT(P_Q&gt;0));0;U134)+IF(OR(REGEXMATCH(FORMULATEXT(V134);"HMOD");NOT(P_W&gt;0));0;V134)+IF(OR(REGEXMATCH(FORMULATEXT(W134);"HMOD");NOT(P_E&gt;0));0;W134)+IF(OR(REGEXMATCH(FORMULATEXT(X134);"HMOD");NOT(P_R&gt;0));0;X134)+IF(REGEXMATCH(FORMULATEXT(Y134);"HMOD");0;Y134)+Self_Proc_Item+Self_Proc_Summ+Self_Proc_Rune+3*Self_DPS</v>
      </c>
      <c r="AH134" s="282" t="str">
        <f ca="1">IFERROR(__xludf.DUMMYFUNCTION("""COMPUTED_VALUE"""),"=0")</f>
        <v>=0</v>
      </c>
      <c r="AI134" s="282" t="b">
        <f ca="1">IFERROR(__xludf.DUMMYFUNCTION("""COMPUTED_VALUE"""),FALSE)</f>
        <v>0</v>
      </c>
      <c r="AJ134" s="283" t="b">
        <f ca="1">IFERROR(__xludf.DUMMYFUNCTION("""COMPUTED_VALUE"""),FALSE)</f>
        <v>0</v>
      </c>
    </row>
    <row r="135" spans="1:36">
      <c r="A135" s="267" t="str">
        <f ca="1">IFERROR(__xludf.DUMMYFUNCTION("""COMPUTED_VALUE"""),"Varus")</f>
        <v>Varus</v>
      </c>
      <c r="B135" s="287" t="str">
        <f ca="1">IFERROR(__xludf.DUMMYFUNCTION("""COMPUTED_VALUE"""),"=600")</f>
        <v>=600</v>
      </c>
      <c r="C135" s="287" t="str">
        <f ca="1">IFERROR(__xludf.DUMMYFUNCTION("""COMPUTED_VALUE"""),"=105")</f>
        <v>=105</v>
      </c>
      <c r="D135" s="288" t="str">
        <f ca="1">IFERROR(__xludf.DUMMYFUNCTION("""COMPUTED_VALUE"""),"=3,5")</f>
        <v>=3,5</v>
      </c>
      <c r="E135" s="289" t="str">
        <f ca="1">IFERROR(__xludf.DUMMYFUNCTION("""COMPUTED_VALUE"""),"=0,55")</f>
        <v>=0,55</v>
      </c>
      <c r="F135" s="288" t="str">
        <f ca="1">IFERROR(__xludf.DUMMYFUNCTION("""COMPUTED_VALUE"""),"=360")</f>
        <v>=360</v>
      </c>
      <c r="G135" s="288" t="str">
        <f ca="1">IFERROR(__xludf.DUMMYFUNCTION("""COMPUTED_VALUE"""),"=40")</f>
        <v>=40</v>
      </c>
      <c r="H135" s="288" t="str">
        <f ca="1">IFERROR(__xludf.DUMMYFUNCTION("""COMPUTED_VALUE"""),"=8")</f>
        <v>=8</v>
      </c>
      <c r="I135" s="289" t="str">
        <f ca="1">IFERROR(__xludf.DUMMYFUNCTION("""COMPUTED_VALUE"""),"=0,8")</f>
        <v>=0,8</v>
      </c>
      <c r="J135" s="290" t="str">
        <f ca="1">IFERROR(__xludf.DUMMYFUNCTION("""COMPUTED_VALUE"""),"=62")</f>
        <v>=62</v>
      </c>
      <c r="K135" s="288" t="str">
        <f ca="1">IFERROR(__xludf.DUMMYFUNCTION("""COMPUTED_VALUE"""),"=3,4")</f>
        <v>=3,4</v>
      </c>
      <c r="L135" s="291" t="str">
        <f ca="1">IFERROR(__xludf.DUMMYFUNCTION("""COMPUTED_VALUE"""),"=0,658")</f>
        <v>=0,658</v>
      </c>
      <c r="M135" s="291" t="str">
        <f ca="1">IFERROR(__xludf.DUMMYFUNCTION("""COMPUTED_VALUE"""),"=0,658")</f>
        <v>=0,658</v>
      </c>
      <c r="N135" s="292" t="str">
        <f ca="1">IFERROR(__xludf.DUMMYFUNCTION("""COMPUTED_VALUE"""),"=4%")</f>
        <v>=4%</v>
      </c>
      <c r="O135" s="287" t="str">
        <f ca="1">IFERROR(__xludf.DUMMYFUNCTION("""COMPUTED_VALUE"""),"=27")</f>
        <v>=27</v>
      </c>
      <c r="P135" s="287" t="str">
        <f ca="1">IFERROR(__xludf.DUMMYFUNCTION("""COMPUTED_VALUE"""),"=4,6")</f>
        <v>=4,6</v>
      </c>
      <c r="Q135" s="288" t="str">
        <f ca="1">IFERROR(__xludf.DUMMYFUNCTION("""COMPUTED_VALUE"""),"=30")</f>
        <v>=30</v>
      </c>
      <c r="R135" s="289" t="str">
        <f ca="1">IFERROR(__xludf.DUMMYFUNCTION("""COMPUTED_VALUE"""),"=1,3")</f>
        <v>=1,3</v>
      </c>
      <c r="S135" s="287" t="str">
        <f ca="1">IFERROR(__xludf.DUMMYFUNCTION("""COMPUTED_VALUE"""),"=330")</f>
        <v>=330</v>
      </c>
      <c r="T135" s="628" t="str">
        <f ca="1">IFERROR(__xludf.DUMMYFUNCTION("""COMPUTED_VALUE"""),"=575")</f>
        <v>=575</v>
      </c>
      <c r="U135" s="298" t="str">
        <f ca="1">IFERROR(__xludf.DUMMYFUNCTION("""COMPUTED_VALUE"""),"=IF(NOT(Steroid_Q);2/3;1)*(55*P_Q-40+(1,2+0,05*P_Q)*Self_AD)*MOD_Phys")</f>
        <v>=IF(NOT(Steroid_Q);2/3;1)*(55*P_Q-40+(1,2+0,05*P_Q)*Self_AD)*MOD_Phys</v>
      </c>
      <c r="V135" s="299" t="str">
        <f ca="1">IFERROR(__xludf.DUMMYFUNCTION("""COMPUTED_VALUE"""),"=((0,015 * P_W + 0,075 + 0,00075 * Self_AP) * E_MHP) * MOD_Magic * IF(Steroid_W; 1,8; 1)")</f>
        <v>=((0,015 * P_W + 0,075 + 0,00075 * Self_AP) * E_MHP) * MOD_Magic * IF(Steroid_W; 1,8; 1)</v>
      </c>
      <c r="W135" s="299" t="str">
        <f ca="1">IFERROR(__xludf.DUMMYFUNCTION("""COMPUTED_VALUE"""),"=(20 + 40 * P_E + 0,9 * Self_BoAD) * MOD_Phys")</f>
        <v>=(20 + 40 * P_E + 0,9 * Self_BoAD) * MOD_Phys</v>
      </c>
      <c r="X135" s="299" t="str">
        <f ca="1">IFERROR(__xludf.DUMMYFUNCTION("""COMPUTED_VALUE"""),"=(100 * P_R + 50 + Self_AP) * MOD_Magic")</f>
        <v>=(100 * P_R + 50 + Self_AP) * MOD_Magic</v>
      </c>
      <c r="Y135" s="300" t="str">
        <f ca="1">IFERROR(__xludf.DUMMYFUNCTION("""COMPUTED_VALUE"""),"=0")</f>
        <v>=0</v>
      </c>
      <c r="Z135" s="281" t="str">
        <f ca="1">IFERROR(__xludf.DUMMYFUNCTION("""COMPUTED_VALUE"""),"=17 - P_Q")</f>
        <v>=17 - P_Q</v>
      </c>
      <c r="AA135" s="282" t="str">
        <f ca="1">IFERROR(__xludf.DUMMYFUNCTION("""COMPUTED_VALUE"""),"=40")</f>
        <v>=40</v>
      </c>
      <c r="AB135" s="282" t="str">
        <f ca="1">IFERROR(__xludf.DUMMYFUNCTION("""COMPUTED_VALUE"""),"=20-2*P_E")</f>
        <v>=20-2*P_E</v>
      </c>
      <c r="AC135" s="282" t="str">
        <f ca="1">IFERROR(__xludf.DUMMYFUNCTION("""COMPUTED_VALUE"""),"=120-20*P_R")</f>
        <v>=120-20*P_R</v>
      </c>
      <c r="AD135" s="283" t="str">
        <f ca="1">IFERROR(__xludf.DUMMYFUNCTION("""COMPUTED_VALUE"""),"=1")</f>
        <v>=1</v>
      </c>
      <c r="AE135" s="281" t="b">
        <f ca="1">IFERROR(__xludf.DUMMYFUNCTION("""COMPUTED_VALUE"""),FALSE)</f>
        <v>0</v>
      </c>
      <c r="AF135" s="282" t="str">
        <f ca="1">IFERROR(__xludf.DUMMYFUNCTION("""COMPUTED_VALUE"""),"=Image(""https://ddragon.leagueoflegends.com/cdn/11.19.1/img/champion/Varus.png"")")</f>
        <v>=Image("https://ddragon.leagueoflegends.com/cdn/11.19.1/img/champion/Varus.png")</v>
      </c>
      <c r="AG135" s="282" t="str">
        <f ca="1">IFERROR(__xludf.DUMMYFUNCTION("""COMPUTED_VALUE"""),"=IF(OR(REGEXMATCH(FORMULATEXT(U135);""HMOD"");NOT(P_Q&gt;0));0;U135)+IF(OR(REGEXMATCH(FORMULATEXT(V135);""HMOD"");NOT(P_W&gt;0));0;V135)+IF(OR(REGEXMATCH(FORMULATEXT(W135);""HMOD"");NOT(P_E&gt;0));0;W135)+IF(OR(REGEXMATCH(FORMULATEXT(X135);""HMOD"");NOT(P_R&gt;0));0;"&amp;"X135)+IF(REGEXMATCH(FORMULATEXT(Y135);""HMOD"");0;Y135)+Self_Proc_Item+Self_Proc_Summ+Self_Proc_Rune+3*Self_DPS")</f>
        <v>=IF(OR(REGEXMATCH(FORMULATEXT(U135);"HMOD");NOT(P_Q&gt;0));0;U135)+IF(OR(REGEXMATCH(FORMULATEXT(V135);"HMOD");NOT(P_W&gt;0));0;V135)+IF(OR(REGEXMATCH(FORMULATEXT(W135);"HMOD");NOT(P_E&gt;0));0;W135)+IF(OR(REGEXMATCH(FORMULATEXT(X135);"HMOD");NOT(P_R&gt;0));0;X135)+IF(REGEXMATCH(FORMULATEXT(Y135);"HMOD");0;Y135)+Self_Proc_Item+Self_Proc_Summ+Self_Proc_Rune+3*Self_DPS</v>
      </c>
      <c r="AH135" s="282" t="str">
        <f ca="1">IFERROR(__xludf.DUMMYFUNCTION("""COMPUTED_VALUE"""),"=0")</f>
        <v>=0</v>
      </c>
      <c r="AI135" s="282" t="b">
        <f ca="1">IFERROR(__xludf.DUMMYFUNCTION("""COMPUTED_VALUE"""),FALSE)</f>
        <v>0</v>
      </c>
      <c r="AJ135" s="283" t="b">
        <f ca="1">IFERROR(__xludf.DUMMYFUNCTION("""COMPUTED_VALUE"""),FALSE)</f>
        <v>0</v>
      </c>
    </row>
    <row r="136" spans="1:36">
      <c r="A136" s="267" t="str">
        <f ca="1">IFERROR(__xludf.DUMMYFUNCTION("""COMPUTED_VALUE"""),"Vayne")</f>
        <v>Vayne</v>
      </c>
      <c r="B136" s="287" t="str">
        <f ca="1">IFERROR(__xludf.DUMMYFUNCTION("""COMPUTED_VALUE"""),"=550")</f>
        <v>=550</v>
      </c>
      <c r="C136" s="287" t="str">
        <f ca="1">IFERROR(__xludf.DUMMYFUNCTION("""COMPUTED_VALUE"""),"=103")</f>
        <v>=103</v>
      </c>
      <c r="D136" s="288" t="str">
        <f ca="1">IFERROR(__xludf.DUMMYFUNCTION("""COMPUTED_VALUE"""),"=3,5")</f>
        <v>=3,5</v>
      </c>
      <c r="E136" s="289" t="str">
        <f ca="1">IFERROR(__xludf.DUMMYFUNCTION("""COMPUTED_VALUE"""),"=0,55")</f>
        <v>=0,55</v>
      </c>
      <c r="F136" s="288" t="str">
        <f ca="1">IFERROR(__xludf.DUMMYFUNCTION("""COMPUTED_VALUE"""),"=232")</f>
        <v>=232</v>
      </c>
      <c r="G136" s="288" t="str">
        <f ca="1">IFERROR(__xludf.DUMMYFUNCTION("""COMPUTED_VALUE"""),"=35")</f>
        <v>=35</v>
      </c>
      <c r="H136" s="288" t="str">
        <f ca="1">IFERROR(__xludf.DUMMYFUNCTION("""COMPUTED_VALUE"""),"=7")</f>
        <v>=7</v>
      </c>
      <c r="I136" s="289" t="str">
        <f ca="1">IFERROR(__xludf.DUMMYFUNCTION("""COMPUTED_VALUE"""),"=0,4")</f>
        <v>=0,4</v>
      </c>
      <c r="J136" s="290" t="str">
        <f ca="1">IFERROR(__xludf.DUMMYFUNCTION("""COMPUTED_VALUE"""),"=60")</f>
        <v>=60</v>
      </c>
      <c r="K136" s="288" t="str">
        <f ca="1">IFERROR(__xludf.DUMMYFUNCTION("""COMPUTED_VALUE"""),"=2,36")</f>
        <v>=2,36</v>
      </c>
      <c r="L136" s="291" t="str">
        <f ca="1">IFERROR(__xludf.DUMMYFUNCTION("""COMPUTED_VALUE"""),"=0,658")</f>
        <v>=0,658</v>
      </c>
      <c r="M136" s="291" t="str">
        <f ca="1">IFERROR(__xludf.DUMMYFUNCTION("""COMPUTED_VALUE"""),"=0,658")</f>
        <v>=0,658</v>
      </c>
      <c r="N136" s="292" t="str">
        <f ca="1">IFERROR(__xludf.DUMMYFUNCTION("""COMPUTED_VALUE"""),"=3,3%")</f>
        <v>=3,3%</v>
      </c>
      <c r="O136" s="287" t="str">
        <f ca="1">IFERROR(__xludf.DUMMYFUNCTION("""COMPUTED_VALUE"""),"=23")</f>
        <v>=23</v>
      </c>
      <c r="P136" s="287" t="str">
        <f ca="1">IFERROR(__xludf.DUMMYFUNCTION("""COMPUTED_VALUE"""),"=4,6")</f>
        <v>=4,6</v>
      </c>
      <c r="Q136" s="288" t="str">
        <f ca="1">IFERROR(__xludf.DUMMYFUNCTION("""COMPUTED_VALUE"""),"=30")</f>
        <v>=30</v>
      </c>
      <c r="R136" s="289" t="str">
        <f ca="1">IFERROR(__xludf.DUMMYFUNCTION("""COMPUTED_VALUE"""),"=1,3")</f>
        <v>=1,3</v>
      </c>
      <c r="S136" s="287" t="str">
        <f ca="1">IFERROR(__xludf.DUMMYFUNCTION("""COMPUTED_VALUE"""),"=330")</f>
        <v>=330</v>
      </c>
      <c r="T136" s="628" t="str">
        <f ca="1">IFERROR(__xludf.DUMMYFUNCTION("""COMPUTED_VALUE"""),"=550")</f>
        <v>=550</v>
      </c>
      <c r="U136" s="295" t="str">
        <f ca="1">IFERROR(__xludf.DUMMYFUNCTION("""COMPUTED_VALUE"""),"=(0,65 + 0,1 * P_Q) * Self_AD * MOD_Phys  + 0,5 * Self_AP + Self_AD * (1 + Self_Crit * (Self_CritDMG - 1)) * MOD_Phys")</f>
        <v>=(0,65 + 0,1 * P_Q) * Self_AD * MOD_Phys  + 0,5 * Self_AP + Self_AD * (1 + Self_Crit * (Self_CritDMG - 1)) * MOD_Phys</v>
      </c>
      <c r="V136" s="296" t="str">
        <f ca="1">IFERROR(__xludf.DUMMYFUNCTION("""COMPUTED_VALUE"""),"=MAX((0,05 + 0,01 * P_W) * E_MHP; 35 + 15 * P_W) * Calc!O10")</f>
        <v>=MAX((0,05 + 0,01 * P_W) * E_MHP; 35 + 15 * P_W) * Calc!O10</v>
      </c>
      <c r="W136" s="296" t="str">
        <f ca="1">IFERROR(__xludf.DUMMYFUNCTION("""COMPUTED_VALUE"""),"=(35*P_E+15+0,5*Self_BoAD)*MOD_Phys*IF(Steroid_E;2,5;1)")</f>
        <v>=(35*P_E+15+0,5*Self_BoAD)*MOD_Phys*IF(Steroid_E;2,5;1)</v>
      </c>
      <c r="X136" s="296" t="str">
        <f ca="1">IFERROR(__xludf.DUMMYFUNCTION("""COMPUTED_VALUE"""),"=0")</f>
        <v>=0</v>
      </c>
      <c r="Y136" s="297" t="str">
        <f ca="1">IFERROR(__xludf.DUMMYFUNCTION("""COMPUTED_VALUE"""),"=0")</f>
        <v>=0</v>
      </c>
      <c r="Z136" s="281" t="str">
        <f ca="1">IFERROR(__xludf.DUMMYFUNCTION("""COMPUTED_VALUE"""),"=(4,5-0,5*P_Q)*if(and(P_R&gt;0;Steroid_R);1-(P_R*0,1+0,2);1)")</f>
        <v>=(4,5-0,5*P_Q)*if(and(P_R&gt;0;Steroid_R);1-(P_R*0,1+0,2);1)</v>
      </c>
      <c r="AA136" s="282" t="str">
        <f ca="1">IFERROR(__xludf.DUMMYFUNCTION("""COMPUTED_VALUE"""),"=if(Name=""Vayne"";3/Self_AS;1)")</f>
        <v>=if(Name="Vayne";3/Self_AS;1)</v>
      </c>
      <c r="AB136" s="282" t="str">
        <f ca="1">IFERROR(__xludf.DUMMYFUNCTION("""COMPUTED_VALUE"""),"=22-2*P_E")</f>
        <v>=22-2*P_E</v>
      </c>
      <c r="AC136" s="282" t="str">
        <f ca="1">IFERROR(__xludf.DUMMYFUNCTION("""COMPUTED_VALUE"""),"=115-15*P_R")</f>
        <v>=115-15*P_R</v>
      </c>
      <c r="AD136" s="283" t="str">
        <f ca="1">IFERROR(__xludf.DUMMYFUNCTION("""COMPUTED_VALUE"""),"=1")</f>
        <v>=1</v>
      </c>
      <c r="AE136" s="281" t="b">
        <f ca="1">IFERROR(__xludf.DUMMYFUNCTION("""COMPUTED_VALUE"""),FALSE)</f>
        <v>0</v>
      </c>
      <c r="AF136" s="282" t="str">
        <f ca="1">IFERROR(__xludf.DUMMYFUNCTION("""COMPUTED_VALUE"""),"=Image(""https://ddragon.leagueoflegends.com/cdn/11.19.1/img/champion/Vayne.png"")")</f>
        <v>=Image("https://ddragon.leagueoflegends.com/cdn/11.19.1/img/champion/Vayne.png")</v>
      </c>
      <c r="AG136" s="282" t="str">
        <f ca="1">IFERROR(__xludf.DUMMYFUNCTION("""COMPUTED_VALUE"""),"=IF(OR(REGEXMATCH(FORMULATEXT(U136);""HMOD"");NOT(P_Q&gt;0));0;U136)+IF(OR(REGEXMATCH(FORMULATEXT(V136);""HMOD"");NOT(P_W&gt;0));0;V136)+IF(OR(REGEXMATCH(FORMULATEXT(W136);""HMOD"");NOT(P_E&gt;0));0;W136)+IF(OR(REGEXMATCH(FORMULATEXT(X136);""HMOD"");NOT(P_R&gt;0));0;"&amp;"X136)+IF(REGEXMATCH(FORMULATEXT(Y136);""HMOD"");0;Y136)+Self_Proc_Item+Self_Proc_Summ+Self_Proc_Rune+3*Self_DPS")</f>
        <v>=IF(OR(REGEXMATCH(FORMULATEXT(U136);"HMOD");NOT(P_Q&gt;0));0;U136)+IF(OR(REGEXMATCH(FORMULATEXT(V136);"HMOD");NOT(P_W&gt;0));0;V136)+IF(OR(REGEXMATCH(FORMULATEXT(W136);"HMOD");NOT(P_E&gt;0));0;W136)+IF(OR(REGEXMATCH(FORMULATEXT(X136);"HMOD");NOT(P_R&gt;0));0;X136)+IF(REGEXMATCH(FORMULATEXT(Y136);"HMOD");0;Y136)+Self_Proc_Item+Self_Proc_Summ+Self_Proc_Rune+3*Self_DPS</v>
      </c>
      <c r="AH136" s="282" t="str">
        <f ca="1">IFERROR(__xludf.DUMMYFUNCTION("""COMPUTED_VALUE"""),"=0")</f>
        <v>=0</v>
      </c>
      <c r="AI136" s="282" t="b">
        <f ca="1">IFERROR(__xludf.DUMMYFUNCTION("""COMPUTED_VALUE"""),FALSE)</f>
        <v>0</v>
      </c>
      <c r="AJ136" s="283" t="b">
        <f ca="1">IFERROR(__xludf.DUMMYFUNCTION("""COMPUTED_VALUE"""),FALSE)</f>
        <v>0</v>
      </c>
    </row>
    <row r="137" spans="1:36">
      <c r="A137" s="267" t="str">
        <f ca="1">IFERROR(__xludf.DUMMYFUNCTION("""COMPUTED_VALUE"""),"Veigar")</f>
        <v>Veigar</v>
      </c>
      <c r="B137" s="287" t="str">
        <f ca="1">IFERROR(__xludf.DUMMYFUNCTION("""COMPUTED_VALUE"""),"=550")</f>
        <v>=550</v>
      </c>
      <c r="C137" s="287" t="str">
        <f ca="1">IFERROR(__xludf.DUMMYFUNCTION("""COMPUTED_VALUE"""),"=108")</f>
        <v>=108</v>
      </c>
      <c r="D137" s="288" t="str">
        <f ca="1">IFERROR(__xludf.DUMMYFUNCTION("""COMPUTED_VALUE"""),"=6,5")</f>
        <v>=6,5</v>
      </c>
      <c r="E137" s="289" t="str">
        <f ca="1">IFERROR(__xludf.DUMMYFUNCTION("""COMPUTED_VALUE"""),"=0,6")</f>
        <v>=0,6</v>
      </c>
      <c r="F137" s="288" t="str">
        <f ca="1">IFERROR(__xludf.DUMMYFUNCTION("""COMPUTED_VALUE"""),"=490")</f>
        <v>=490</v>
      </c>
      <c r="G137" s="288" t="str">
        <f ca="1">IFERROR(__xludf.DUMMYFUNCTION("""COMPUTED_VALUE"""),"=26")</f>
        <v>=26</v>
      </c>
      <c r="H137" s="288" t="str">
        <f ca="1">IFERROR(__xludf.DUMMYFUNCTION("""COMPUTED_VALUE"""),"=8")</f>
        <v>=8</v>
      </c>
      <c r="I137" s="289" t="str">
        <f ca="1">IFERROR(__xludf.DUMMYFUNCTION("""COMPUTED_VALUE"""),"=0,8")</f>
        <v>=0,8</v>
      </c>
      <c r="J137" s="290" t="str">
        <f ca="1">IFERROR(__xludf.DUMMYFUNCTION("""COMPUTED_VALUE"""),"=52")</f>
        <v>=52</v>
      </c>
      <c r="K137" s="288" t="str">
        <f ca="1">IFERROR(__xludf.DUMMYFUNCTION("""COMPUTED_VALUE"""),"=2,7")</f>
        <v>=2,7</v>
      </c>
      <c r="L137" s="291" t="str">
        <f ca="1">IFERROR(__xludf.DUMMYFUNCTION("""COMPUTED_VALUE"""),"=0,625")</f>
        <v>=0,625</v>
      </c>
      <c r="M137" s="291" t="str">
        <f ca="1">IFERROR(__xludf.DUMMYFUNCTION("""COMPUTED_VALUE"""),"=0,625")</f>
        <v>=0,625</v>
      </c>
      <c r="N137" s="292" t="str">
        <f ca="1">IFERROR(__xludf.DUMMYFUNCTION("""COMPUTED_VALUE"""),"=2,24%")</f>
        <v>=2,24%</v>
      </c>
      <c r="O137" s="287" t="str">
        <f ca="1">IFERROR(__xludf.DUMMYFUNCTION("""COMPUTED_VALUE"""),"=18")</f>
        <v>=18</v>
      </c>
      <c r="P137" s="287" t="str">
        <f ca="1">IFERROR(__xludf.DUMMYFUNCTION("""COMPUTED_VALUE"""),"=4")</f>
        <v>=4</v>
      </c>
      <c r="Q137" s="288" t="str">
        <f ca="1">IFERROR(__xludf.DUMMYFUNCTION("""COMPUTED_VALUE"""),"=32")</f>
        <v>=32</v>
      </c>
      <c r="R137" s="289" t="str">
        <f ca="1">IFERROR(__xludf.DUMMYFUNCTION("""COMPUTED_VALUE"""),"=1,3")</f>
        <v>=1,3</v>
      </c>
      <c r="S137" s="287" t="str">
        <f ca="1">IFERROR(__xludf.DUMMYFUNCTION("""COMPUTED_VALUE"""),"=340")</f>
        <v>=340</v>
      </c>
      <c r="T137" s="628" t="str">
        <f ca="1">IFERROR(__xludf.DUMMYFUNCTION("""COMPUTED_VALUE"""),"=550")</f>
        <v>=550</v>
      </c>
      <c r="U137" s="298" t="str">
        <f ca="1">IFERROR(__xludf.DUMMYFUNCTION("""COMPUTED_VALUE"""),"=(40 + 40 * P_Q + (0,4 + 0,05 * P_Q) * Self_AP) * MOD_Magic")</f>
        <v>=(40 + 40 * P_Q + (0,4 + 0,05 * P_Q) * Self_AP) * MOD_Magic</v>
      </c>
      <c r="V137" s="299" t="str">
        <f ca="1">IFERROR(__xludf.DUMMYFUNCTION("""COMPUTED_VALUE"""),"=(30 + 55 * P_W + (0,6 + 0,1 * P_W) * Self_AP) * MOD_Magic")</f>
        <v>=(30 + 55 * P_W + (0,6 + 0,1 * P_W) * Self_AP) * MOD_Magic</v>
      </c>
      <c r="W137" s="299" t="str">
        <f ca="1">IFERROR(__xludf.DUMMYFUNCTION("""COMPUTED_VALUE"""),"=0")</f>
        <v>=0</v>
      </c>
      <c r="X137" s="299" t="str">
        <f ca="1">IFERROR(__xludf.DUMMYFUNCTION("""COMPUTED_VALUE"""),"=(75*P_R+100+(0,6 + 0,05 * P_R)*Self_AP)*MOD_Magic*(1+(1-(IF(E_CHP&lt;(1/3)*100;(1/3)*100;E_CHP)-(1/3)*100)/(100-(1/3)*100)))")</f>
        <v>=(75*P_R+100+(0,6 + 0,05 * P_R)*Self_AP)*MOD_Magic*(1+(1-(IF(E_CHP&lt;(1/3)*100;(1/3)*100;E_CHP)-(1/3)*100)/(100-(1/3)*100)))</v>
      </c>
      <c r="Y137" s="300" t="str">
        <f ca="1">IFERROR(__xludf.DUMMYFUNCTION("""COMPUTED_VALUE"""),"=0")</f>
        <v>=0</v>
      </c>
      <c r="Z137" s="281" t="str">
        <f ca="1">IFERROR(__xludf.DUMMYFUNCTION("""COMPUTED_VALUE"""),"=6,5 - 0,5 * P_Q")</f>
        <v>=6,5 - 0,5 * P_Q</v>
      </c>
      <c r="AA137" s="282" t="str">
        <f ca="1">IFERROR(__xludf.DUMMYFUNCTION("""COMPUTED_VALUE"""),"=8*0,9^rounddown(Minion/50)")</f>
        <v>=8*0,9^rounddown(Minion/50)</v>
      </c>
      <c r="AB137" s="282" t="str">
        <f ca="1">IFERROR(__xludf.DUMMYFUNCTION("""COMPUTED_VALUE"""),"=22-2*P_E")</f>
        <v>=22-2*P_E</v>
      </c>
      <c r="AC137" s="282" t="str">
        <f ca="1">IFERROR(__xludf.DUMMYFUNCTION("""COMPUTED_VALUE"""),"=120-20*P_R")</f>
        <v>=120-20*P_R</v>
      </c>
      <c r="AD137" s="283" t="str">
        <f ca="1">IFERROR(__xludf.DUMMYFUNCTION("""COMPUTED_VALUE"""),"=1")</f>
        <v>=1</v>
      </c>
      <c r="AE137" s="281" t="b">
        <f ca="1">IFERROR(__xludf.DUMMYFUNCTION("""COMPUTED_VALUE"""),FALSE)</f>
        <v>0</v>
      </c>
      <c r="AF137" s="282" t="str">
        <f ca="1">IFERROR(__xludf.DUMMYFUNCTION("""COMPUTED_VALUE"""),"=Image(""https://ddragon.leagueoflegends.com/cdn/11.19.1/img/champion/Veigar.png"")")</f>
        <v>=Image("https://ddragon.leagueoflegends.com/cdn/11.19.1/img/champion/Veigar.png")</v>
      </c>
      <c r="AG137" s="282" t="str">
        <f ca="1">IFERROR(__xludf.DUMMYFUNCTION("""COMPUTED_VALUE"""),"=IF(OR(REGEXMATCH(FORMULATEXT(U137);""HMOD"");NOT(P_Q&gt;0));0;U137)+IF(OR(REGEXMATCH(FORMULATEXT(V137);""HMOD"");NOT(P_W&gt;0));0;V137)+IF(OR(REGEXMATCH(FORMULATEXT(W137);""HMOD"");NOT(P_E&gt;0));0;W137)+IF(OR(REGEXMATCH(FORMULATEXT(X137);""HMOD"");NOT(P_R&gt;0));0;"&amp;"X137)+IF(REGEXMATCH(FORMULATEXT(Y137);""HMOD"");0;Y137)+Self_Proc_Item+Self_Proc_Summ+Self_Proc_Rune+3*Self_DPS")</f>
        <v>=IF(OR(REGEXMATCH(FORMULATEXT(U137);"HMOD");NOT(P_Q&gt;0));0;U137)+IF(OR(REGEXMATCH(FORMULATEXT(V137);"HMOD");NOT(P_W&gt;0));0;V137)+IF(OR(REGEXMATCH(FORMULATEXT(W137);"HMOD");NOT(P_E&gt;0));0;W137)+IF(OR(REGEXMATCH(FORMULATEXT(X137);"HMOD");NOT(P_R&gt;0));0;X137)+IF(REGEXMATCH(FORMULATEXT(Y137);"HMOD");0;Y137)+Self_Proc_Item+Self_Proc_Summ+Self_Proc_Rune+3*Self_DPS</v>
      </c>
      <c r="AH137" s="282" t="str">
        <f ca="1">IFERROR(__xludf.DUMMYFUNCTION("""COMPUTED_VALUE"""),"=0")</f>
        <v>=0</v>
      </c>
      <c r="AI137" s="282" t="b">
        <f ca="1">IFERROR(__xludf.DUMMYFUNCTION("""COMPUTED_VALUE"""),FALSE)</f>
        <v>0</v>
      </c>
      <c r="AJ137" s="283" t="b">
        <f ca="1">IFERROR(__xludf.DUMMYFUNCTION("""COMPUTED_VALUE"""),FALSE)</f>
        <v>0</v>
      </c>
    </row>
    <row r="138" spans="1:36">
      <c r="A138" s="267" t="str">
        <f ca="1">IFERROR(__xludf.DUMMYFUNCTION("""COMPUTED_VALUE"""),"Vel'Koz")</f>
        <v>Vel'Koz</v>
      </c>
      <c r="B138" s="287" t="str">
        <f ca="1">IFERROR(__xludf.DUMMYFUNCTION("""COMPUTED_VALUE"""),"=590")</f>
        <v>=590</v>
      </c>
      <c r="C138" s="287" t="str">
        <f ca="1">IFERROR(__xludf.DUMMYFUNCTION("""COMPUTED_VALUE"""),"=102")</f>
        <v>=102</v>
      </c>
      <c r="D138" s="288" t="str">
        <f ca="1">IFERROR(__xludf.DUMMYFUNCTION("""COMPUTED_VALUE"""),"=5,5")</f>
        <v>=5,5</v>
      </c>
      <c r="E138" s="289" t="str">
        <f ca="1">IFERROR(__xludf.DUMMYFUNCTION("""COMPUTED_VALUE"""),"=0,55")</f>
        <v>=0,55</v>
      </c>
      <c r="F138" s="288" t="str">
        <f ca="1">IFERROR(__xludf.DUMMYFUNCTION("""COMPUTED_VALUE"""),"=469")</f>
        <v>=469</v>
      </c>
      <c r="G138" s="288" t="str">
        <f ca="1">IFERROR(__xludf.DUMMYFUNCTION("""COMPUTED_VALUE"""),"=21")</f>
        <v>=21</v>
      </c>
      <c r="H138" s="288" t="str">
        <f ca="1">IFERROR(__xludf.DUMMYFUNCTION("""COMPUTED_VALUE"""),"=8")</f>
        <v>=8</v>
      </c>
      <c r="I138" s="289" t="str">
        <f ca="1">IFERROR(__xludf.DUMMYFUNCTION("""COMPUTED_VALUE"""),"=0,8")</f>
        <v>=0,8</v>
      </c>
      <c r="J138" s="290" t="str">
        <f ca="1">IFERROR(__xludf.DUMMYFUNCTION("""COMPUTED_VALUE"""),"=55")</f>
        <v>=55</v>
      </c>
      <c r="K138" s="288" t="str">
        <f ca="1">IFERROR(__xludf.DUMMYFUNCTION("""COMPUTED_VALUE"""),"=3,14")</f>
        <v>=3,14</v>
      </c>
      <c r="L138" s="291" t="str">
        <f ca="1">IFERROR(__xludf.DUMMYFUNCTION("""COMPUTED_VALUE"""),"=0,625")</f>
        <v>=0,625</v>
      </c>
      <c r="M138" s="291" t="str">
        <f ca="1">IFERROR(__xludf.DUMMYFUNCTION("""COMPUTED_VALUE"""),"=0,625")</f>
        <v>=0,625</v>
      </c>
      <c r="N138" s="292" t="str">
        <f ca="1">IFERROR(__xludf.DUMMYFUNCTION("""COMPUTED_VALUE"""),"=1,36%")</f>
        <v>=1,36%</v>
      </c>
      <c r="O138" s="287" t="str">
        <f ca="1">IFERROR(__xludf.DUMMYFUNCTION("""COMPUTED_VALUE"""),"=22")</f>
        <v>=22</v>
      </c>
      <c r="P138" s="287" t="str">
        <f ca="1">IFERROR(__xludf.DUMMYFUNCTION("""COMPUTED_VALUE"""),"=4,7")</f>
        <v>=4,7</v>
      </c>
      <c r="Q138" s="288" t="str">
        <f ca="1">IFERROR(__xludf.DUMMYFUNCTION("""COMPUTED_VALUE"""),"=30")</f>
        <v>=30</v>
      </c>
      <c r="R138" s="289" t="str">
        <f ca="1">IFERROR(__xludf.DUMMYFUNCTION("""COMPUTED_VALUE"""),"=1,3")</f>
        <v>=1,3</v>
      </c>
      <c r="S138" s="287" t="str">
        <f ca="1">IFERROR(__xludf.DUMMYFUNCTION("""COMPUTED_VALUE"""),"=340")</f>
        <v>=340</v>
      </c>
      <c r="T138" s="628" t="str">
        <f ca="1">IFERROR(__xludf.DUMMYFUNCTION("""COMPUTED_VALUE"""),"=525")</f>
        <v>=525</v>
      </c>
      <c r="U138" s="295" t="str">
        <f ca="1">IFERROR(__xludf.DUMMYFUNCTION("""COMPUTED_VALUE"""),"=(0,9*Self_AP+40*P_Q+40)*MOD_Magic")</f>
        <v>=(0,9*Self_AP+40*P_Q+40)*MOD_Magic</v>
      </c>
      <c r="V138" s="296" t="str">
        <f ca="1">IFERROR(__xludf.DUMMYFUNCTION("""COMPUTED_VALUE"""),"=(0,45*Self_AP+50*P_W+25)*MOD_Magic")</f>
        <v>=(0,45*Self_AP+50*P_W+25)*MOD_Magic</v>
      </c>
      <c r="W138" s="296" t="str">
        <f ca="1">IFERROR(__xludf.DUMMYFUNCTION("""COMPUTED_VALUE"""),"=(0,3*Self_AP+30*P_E+40)*MOD_Magic")</f>
        <v>=(0,3*Self_AP+30*P_E+40)*MOD_Magic</v>
      </c>
      <c r="X138" s="296" t="str">
        <f ca="1">IFERROR(__xludf.DUMMYFUNCTION("""COMPUTED_VALUE"""),"=(1,25*Self_AP+175*P_R+275)*IF(Steroid_R;1*Calc!O10;MOD_Magic)")</f>
        <v>=(1,25*Self_AP+175*P_R+275)*IF(Steroid_R;1*Calc!O10;MOD_Magic)</v>
      </c>
      <c r="Y138" s="297" t="str">
        <f ca="1">IFERROR(__xludf.DUMMYFUNCTION("""COMPUTED_VALUE"""),"=(25+8*Self_Level+0,5*Self_AP)*Calc!O10")</f>
        <v>=(25+8*Self_Level+0,5*Self_AP)*Calc!O10</v>
      </c>
      <c r="Z138" s="281" t="str">
        <f ca="1">IFERROR(__xludf.DUMMYFUNCTION("""COMPUTED_VALUE"""),"=7")</f>
        <v>=7</v>
      </c>
      <c r="AA138" s="282" t="str">
        <f ca="1">IFERROR(__xludf.DUMMYFUNCTION("""COMPUTED_VALUE"""),"=20-P_W")</f>
        <v>=20-P_W</v>
      </c>
      <c r="AB138" s="282" t="str">
        <f ca="1">IFERROR(__xludf.DUMMYFUNCTION("""COMPUTED_VALUE"""),"=17 - P_E")</f>
        <v>=17 - P_E</v>
      </c>
      <c r="AC138" s="282" t="str">
        <f ca="1">IFERROR(__xludf.DUMMYFUNCTION("""COMPUTED_VALUE"""),"=140 - 20 * P_R")</f>
        <v>=140 - 20 * P_R</v>
      </c>
      <c r="AD138" s="283" t="str">
        <f ca="1">IFERROR(__xludf.DUMMYFUNCTION("""COMPUTED_VALUE"""),"=1")</f>
        <v>=1</v>
      </c>
      <c r="AE138" s="281" t="b">
        <f ca="1">IFERROR(__xludf.DUMMYFUNCTION("""COMPUTED_VALUE"""),FALSE)</f>
        <v>0</v>
      </c>
      <c r="AF138" s="282" t="str">
        <f ca="1">IFERROR(__xludf.DUMMYFUNCTION("""COMPUTED_VALUE"""),"=Image(""https://ddragon.leagueoflegends.com/cdn/11.19.1/img/champion/Velkoz.png"")")</f>
        <v>=Image("https://ddragon.leagueoflegends.com/cdn/11.19.1/img/champion/Velkoz.png")</v>
      </c>
      <c r="AG138" s="282" t="str">
        <f ca="1">IFERROR(__xludf.DUMMYFUNCTION("""COMPUTED_VALUE"""),"=IF(OR(REGEXMATCH(FORMULATEXT(U138);""HMOD"");NOT(P_Q&gt;0));0;U138)+IF(OR(REGEXMATCH(FORMULATEXT(V138);""HMOD"");NOT(P_W&gt;0));0;V138)+IF(OR(REGEXMATCH(FORMULATEXT(W138);""HMOD"");NOT(P_E&gt;0));0;W138)+IF(OR(REGEXMATCH(FORMULATEXT(X138);""HMOD"");NOT(P_R&gt;0));0;"&amp;"X138)+IF(REGEXMATCH(FORMULATEXT(Y138);""HMOD"");0;Y138)+Self_Proc_Item+Self_Proc_Summ+Self_Proc_Rune+3*Self_DPS")</f>
        <v>=IF(OR(REGEXMATCH(FORMULATEXT(U138);"HMOD");NOT(P_Q&gt;0));0;U138)+IF(OR(REGEXMATCH(FORMULATEXT(V138);"HMOD");NOT(P_W&gt;0));0;V138)+IF(OR(REGEXMATCH(FORMULATEXT(W138);"HMOD");NOT(P_E&gt;0));0;W138)+IF(OR(REGEXMATCH(FORMULATEXT(X138);"HMOD");NOT(P_R&gt;0));0;X138)+IF(REGEXMATCH(FORMULATEXT(Y138);"HMOD");0;Y138)+Self_Proc_Item+Self_Proc_Summ+Self_Proc_Rune+3*Self_DPS</v>
      </c>
      <c r="AH138" s="282" t="str">
        <f ca="1">IFERROR(__xludf.DUMMYFUNCTION("""COMPUTED_VALUE"""),"=0")</f>
        <v>=0</v>
      </c>
      <c r="AI138" s="282" t="b">
        <f ca="1">IFERROR(__xludf.DUMMYFUNCTION("""COMPUTED_VALUE"""),FALSE)</f>
        <v>0</v>
      </c>
      <c r="AJ138" s="283" t="b">
        <f ca="1">IFERROR(__xludf.DUMMYFUNCTION("""COMPUTED_VALUE"""),FALSE)</f>
        <v>0</v>
      </c>
    </row>
    <row r="139" spans="1:36">
      <c r="A139" s="267" t="str">
        <f ca="1">IFERROR(__xludf.DUMMYFUNCTION("""COMPUTED_VALUE"""),"Vex")</f>
        <v>Vex</v>
      </c>
      <c r="B139" s="287" t="str">
        <f ca="1">IFERROR(__xludf.DUMMYFUNCTION("""COMPUTED_VALUE"""),"=590")</f>
        <v>=590</v>
      </c>
      <c r="C139" s="287" t="str">
        <f ca="1">IFERROR(__xludf.DUMMYFUNCTION("""COMPUTED_VALUE"""),"=104")</f>
        <v>=104</v>
      </c>
      <c r="D139" s="288" t="str">
        <f ca="1">IFERROR(__xludf.DUMMYFUNCTION("""COMPUTED_VALUE"""),"=6,5")</f>
        <v>=6,5</v>
      </c>
      <c r="E139" s="289" t="str">
        <f ca="1">IFERROR(__xludf.DUMMYFUNCTION("""COMPUTED_VALUE"""),"=0,6")</f>
        <v>=0,6</v>
      </c>
      <c r="F139" s="288" t="str">
        <f ca="1">IFERROR(__xludf.DUMMYFUNCTION("""COMPUTED_VALUE"""),"=490")</f>
        <v>=490</v>
      </c>
      <c r="G139" s="288" t="str">
        <f ca="1">IFERROR(__xludf.DUMMYFUNCTION("""COMPUTED_VALUE"""),"=32")</f>
        <v>=32</v>
      </c>
      <c r="H139" s="288" t="str">
        <f ca="1">IFERROR(__xludf.DUMMYFUNCTION("""COMPUTED_VALUE"""),"=7,5")</f>
        <v>=7,5</v>
      </c>
      <c r="I139" s="289" t="str">
        <f ca="1">IFERROR(__xludf.DUMMYFUNCTION("""COMPUTED_VALUE"""),"=0,6")</f>
        <v>=0,6</v>
      </c>
      <c r="J139" s="290" t="str">
        <f ca="1">IFERROR(__xludf.DUMMYFUNCTION("""COMPUTED_VALUE"""),"=54")</f>
        <v>=54</v>
      </c>
      <c r="K139" s="288" t="str">
        <f ca="1">IFERROR(__xludf.DUMMYFUNCTION("""COMPUTED_VALUE"""),"=2,75")</f>
        <v>=2,75</v>
      </c>
      <c r="L139" s="291" t="str">
        <f ca="1">IFERROR(__xludf.DUMMYFUNCTION("""COMPUTED_VALUE"""),"=0,625")</f>
        <v>=0,625</v>
      </c>
      <c r="M139" s="291" t="str">
        <f ca="1">IFERROR(__xludf.DUMMYFUNCTION("""COMPUTED_VALUE"""),"=0,625")</f>
        <v>=0,625</v>
      </c>
      <c r="N139" s="292" t="str">
        <f ca="1">IFERROR(__xludf.DUMMYFUNCTION("""COMPUTED_VALUE"""),"=1%")</f>
        <v>=1%</v>
      </c>
      <c r="O139" s="287" t="str">
        <f ca="1">IFERROR(__xludf.DUMMYFUNCTION("""COMPUTED_VALUE"""),"=23")</f>
        <v>=23</v>
      </c>
      <c r="P139" s="287" t="str">
        <f ca="1">IFERROR(__xludf.DUMMYFUNCTION("""COMPUTED_VALUE"""),"=4,45")</f>
        <v>=4,45</v>
      </c>
      <c r="Q139" s="288" t="str">
        <f ca="1">IFERROR(__xludf.DUMMYFUNCTION("""COMPUTED_VALUE"""),"=28")</f>
        <v>=28</v>
      </c>
      <c r="R139" s="289" t="str">
        <f ca="1">IFERROR(__xludf.DUMMYFUNCTION("""COMPUTED_VALUE"""),"=1,3")</f>
        <v>=1,3</v>
      </c>
      <c r="S139" s="287" t="str">
        <f ca="1">IFERROR(__xludf.DUMMYFUNCTION("""COMPUTED_VALUE"""),"=335")</f>
        <v>=335</v>
      </c>
      <c r="T139" s="628" t="str">
        <f ca="1">IFERROR(__xludf.DUMMYFUNCTION("""COMPUTED_VALUE"""),"=550")</f>
        <v>=550</v>
      </c>
      <c r="U139" s="298" t="str">
        <f ca="1">IFERROR(__xludf.DUMMYFUNCTION("""COMPUTED_VALUE"""),"=(15 + 45 * P_Q + 0,7 * Self_AP) * MOD_Magic")</f>
        <v>=(15 + 45 * P_Q + 0,7 * Self_AP) * MOD_Magic</v>
      </c>
      <c r="V139" s="299" t="str">
        <f ca="1">IFERROR(__xludf.DUMMYFUNCTION("""COMPUTED_VALUE"""),"=(40 + 40 * P_W + 0,3 * Self_AP) * MOD_Magic")</f>
        <v>=(40 + 40 * P_W + 0,3 * Self_AP) * MOD_Magic</v>
      </c>
      <c r="W139" s="299" t="str">
        <f ca="1">IFERROR(__xludf.DUMMYFUNCTION("""COMPUTED_VALUE"""),"=(30 + 20 * P_E + (0,35 + 0,05 * P_E) * Self_AP) * MOD_Magic")</f>
        <v>=(30 + 20 * P_E + (0,35 + 0,05 * P_E) * Self_AP) * MOD_Magic</v>
      </c>
      <c r="X139" s="299" t="str">
        <f ca="1">IFERROR(__xludf.DUMMYFUNCTION("""COMPUTED_VALUE"""),"=(75 + 150 * P_R + 0,7 * Self_AP) * MOD_Magic")</f>
        <v>=(75 + 150 * P_R + 0,7 * Self_AP) * MOD_Magic</v>
      </c>
      <c r="Y139" s="300" t="str">
        <f ca="1">IFERROR(__xludf.DUMMYFUNCTION("""COMPUTED_VALUE"""),"=(30 + 110 * Sc_Lin + 0,2 * Self_AP) * MOD_Magic")</f>
        <v>=(30 + 110 * Sc_Lin + 0,2 * Self_AP) * MOD_Magic</v>
      </c>
      <c r="Z139" s="281" t="str">
        <f ca="1">IFERROR(__xludf.DUMMYFUNCTION("""COMPUTED_VALUE"""),"=9-P_Q")</f>
        <v>=9-P_Q</v>
      </c>
      <c r="AA139" s="282" t="str">
        <f ca="1">IFERROR(__xludf.DUMMYFUNCTION("""COMPUTED_VALUE"""),"=22 - 2 * P_W")</f>
        <v>=22 - 2 * P_W</v>
      </c>
      <c r="AB139" s="282" t="str">
        <f ca="1">IFERROR(__xludf.DUMMYFUNCTION("""COMPUTED_VALUE"""),"=13")</f>
        <v>=13</v>
      </c>
      <c r="AC139" s="282" t="str">
        <f ca="1">IFERROR(__xludf.DUMMYFUNCTION("""COMPUTED_VALUE"""),"=160 - 20 * P_R")</f>
        <v>=160 - 20 * P_R</v>
      </c>
      <c r="AD139" s="283" t="str">
        <f ca="1">IFERROR(__xludf.DUMMYFUNCTION("""COMPUTED_VALUE"""),"=25 - 9 * Sc_Lin")</f>
        <v>=25 - 9 * Sc_Lin</v>
      </c>
      <c r="AE139" s="281" t="b">
        <f ca="1">IFERROR(__xludf.DUMMYFUNCTION("""COMPUTED_VALUE"""),FALSE)</f>
        <v>0</v>
      </c>
      <c r="AF139" s="282" t="str">
        <f ca="1">IFERROR(__xludf.DUMMYFUNCTION("""COMPUTED_VALUE"""),"=Image(""https://ddragon.leagueoflegends.com/cdn/11.19.1/img/champion/Vex.png"")")</f>
        <v>=Image("https://ddragon.leagueoflegends.com/cdn/11.19.1/img/champion/Vex.png")</v>
      </c>
      <c r="AG139" s="282" t="str">
        <f ca="1">IFERROR(__xludf.DUMMYFUNCTION("""COMPUTED_VALUE"""),"=IF(OR(REGEXMATCH(FORMULATEXT(U139);""HMOD"");NOT(P_Q&gt;0));0;U139)+IF(OR(REGEXMATCH(FORMULATEXT(V139);""HMOD"");NOT(P_W&gt;0));0;V139)+IF(OR(REGEXMATCH(FORMULATEXT(W139);""HMOD"");NOT(P_E&gt;0));0;W139)+IF(OR(REGEXMATCH(FORMULATEXT(X139);""HMOD"");NOT(P_R&gt;0));0;"&amp;"X139)+IF(REGEXMATCH(FORMULATEXT(Y139);""HMOD"");0;Y139)+Self_Proc_Item+Self_Proc_Summ+Self_Proc_Rune+3*Self_DPS")</f>
        <v>=IF(OR(REGEXMATCH(FORMULATEXT(U139);"HMOD");NOT(P_Q&gt;0));0;U139)+IF(OR(REGEXMATCH(FORMULATEXT(V139);"HMOD");NOT(P_W&gt;0));0;V139)+IF(OR(REGEXMATCH(FORMULATEXT(W139);"HMOD");NOT(P_E&gt;0));0;W139)+IF(OR(REGEXMATCH(FORMULATEXT(X139);"HMOD");NOT(P_R&gt;0));0;X139)+IF(REGEXMATCH(FORMULATEXT(Y139);"HMOD");0;Y139)+Self_Proc_Item+Self_Proc_Summ+Self_Proc_Rune+3*Self_DPS</v>
      </c>
      <c r="AH139" s="282" t="str">
        <f ca="1">IFERROR(__xludf.DUMMYFUNCTION("""COMPUTED_VALUE"""),"=0")</f>
        <v>=0</v>
      </c>
      <c r="AI139" s="282" t="b">
        <f ca="1">IFERROR(__xludf.DUMMYFUNCTION("""COMPUTED_VALUE"""),FALSE)</f>
        <v>0</v>
      </c>
      <c r="AJ139" s="283" t="b">
        <f ca="1">IFERROR(__xludf.DUMMYFUNCTION("""COMPUTED_VALUE"""),FALSE)</f>
        <v>0</v>
      </c>
    </row>
    <row r="140" spans="1:36">
      <c r="A140" s="267" t="str">
        <f ca="1">IFERROR(__xludf.DUMMYFUNCTION("""COMPUTED_VALUE"""),"Vi")</f>
        <v>Vi</v>
      </c>
      <c r="B140" s="287" t="str">
        <f ca="1">IFERROR(__xludf.DUMMYFUNCTION("""COMPUTED_VALUE"""),"=655")</f>
        <v>=655</v>
      </c>
      <c r="C140" s="287" t="str">
        <f ca="1">IFERROR(__xludf.DUMMYFUNCTION("""COMPUTED_VALUE"""),"=99")</f>
        <v>=99</v>
      </c>
      <c r="D140" s="288" t="str">
        <f ca="1">IFERROR(__xludf.DUMMYFUNCTION("""COMPUTED_VALUE"""),"=10")</f>
        <v>=10</v>
      </c>
      <c r="E140" s="289" t="str">
        <f ca="1">IFERROR(__xludf.DUMMYFUNCTION("""COMPUTED_VALUE"""),"=1")</f>
        <v>=1</v>
      </c>
      <c r="F140" s="288" t="str">
        <f ca="1">IFERROR(__xludf.DUMMYFUNCTION("""COMPUTED_VALUE"""),"=296")</f>
        <v>=296</v>
      </c>
      <c r="G140" s="288" t="str">
        <f ca="1">IFERROR(__xludf.DUMMYFUNCTION("""COMPUTED_VALUE"""),"=65")</f>
        <v>=65</v>
      </c>
      <c r="H140" s="288" t="str">
        <f ca="1">IFERROR(__xludf.DUMMYFUNCTION("""COMPUTED_VALUE"""),"=8,1")</f>
        <v>=8,1</v>
      </c>
      <c r="I140" s="289" t="str">
        <f ca="1">IFERROR(__xludf.DUMMYFUNCTION("""COMPUTED_VALUE"""),"=0,65")</f>
        <v>=0,65</v>
      </c>
      <c r="J140" s="290" t="str">
        <f ca="1">IFERROR(__xludf.DUMMYFUNCTION("""COMPUTED_VALUE"""),"=64")</f>
        <v>=64</v>
      </c>
      <c r="K140" s="288" t="str">
        <f ca="1">IFERROR(__xludf.DUMMYFUNCTION("""COMPUTED_VALUE"""),"=3,5")</f>
        <v>=3,5</v>
      </c>
      <c r="L140" s="291" t="str">
        <f ca="1">IFERROR(__xludf.DUMMYFUNCTION("""COMPUTED_VALUE"""),"=0,644")</f>
        <v>=0,644</v>
      </c>
      <c r="M140" s="291" t="str">
        <f ca="1">IFERROR(__xludf.DUMMYFUNCTION("""COMPUTED_VALUE"""),"=0,644")</f>
        <v>=0,644</v>
      </c>
      <c r="N140" s="292" t="str">
        <f ca="1">IFERROR(__xludf.DUMMYFUNCTION("""COMPUTED_VALUE"""),"=2%")</f>
        <v>=2%</v>
      </c>
      <c r="O140" s="287" t="str">
        <f ca="1">IFERROR(__xludf.DUMMYFUNCTION("""COMPUTED_VALUE"""),"=30")</f>
        <v>=30</v>
      </c>
      <c r="P140" s="287" t="str">
        <f ca="1">IFERROR(__xludf.DUMMYFUNCTION("""COMPUTED_VALUE"""),"=4,7")</f>
        <v>=4,7</v>
      </c>
      <c r="Q140" s="288" t="str">
        <f ca="1">IFERROR(__xludf.DUMMYFUNCTION("""COMPUTED_VALUE"""),"=32")</f>
        <v>=32</v>
      </c>
      <c r="R140" s="289" t="str">
        <f ca="1">IFERROR(__xludf.DUMMYFUNCTION("""COMPUTED_VALUE"""),"=2,05")</f>
        <v>=2,05</v>
      </c>
      <c r="S140" s="287" t="str">
        <f ca="1">IFERROR(__xludf.DUMMYFUNCTION("""COMPUTED_VALUE"""),"=340")</f>
        <v>=340</v>
      </c>
      <c r="T140" s="628" t="str">
        <f ca="1">IFERROR(__xludf.DUMMYFUNCTION("""COMPUTED_VALUE"""),"=125")</f>
        <v>=125</v>
      </c>
      <c r="U140" s="295" t="str">
        <f ca="1">IFERROR(__xludf.DUMMYFUNCTION("""COMPUTED_VALUE"""),"=(40 + 50 * P_Q + 1,6 * Self_BoAD) * MOD_Phys")</f>
        <v>=(40 + 50 * P_Q + 1,6 * Self_BoAD) * MOD_Phys</v>
      </c>
      <c r="V140" s="296" t="str">
        <f ca="1">IFERROR(__xludf.DUMMYFUNCTION("""COMPUTED_VALUE"""),"=((0,015*P_W+0,025+(0,01/35)*Self_BoAD)*E_MHP)*MOD_Phys")</f>
        <v>=((0,015*P_W+0,025+(0,01/35)*Self_BoAD)*E_MHP)*MOD_Phys</v>
      </c>
      <c r="W140" s="296" t="str">
        <f ca="1">IFERROR(__xludf.DUMMYFUNCTION("""COMPUTED_VALUE"""),"=(1,1*Self_AD+0,9*Self_AP+20*P_E-10)*MOD_Phys*(1+Self_Crit*(Self_CritDMG-1))")</f>
        <v>=(1,1*Self_AD+0,9*Self_AP+20*P_E-10)*MOD_Phys*(1+Self_Crit*(Self_CritDMG-1))</v>
      </c>
      <c r="X140" s="296" t="str">
        <f ca="1">IFERROR(__xludf.DUMMYFUNCTION("""COMPUTED_VALUE"""),"=(175*P_R-25+1,1*Self_BoAD)*MOD_Phys")</f>
        <v>=(175*P_R-25+1,1*Self_BoAD)*MOD_Phys</v>
      </c>
      <c r="Y140" s="297" t="str">
        <f ca="1">IFERROR(__xludf.DUMMYFUNCTION("""COMPUTED_VALUE"""),"=0,13 * Self_MHP * MOD_Heal")</f>
        <v>=0,13 * Self_MHP * MOD_Heal</v>
      </c>
      <c r="Z140" s="281" t="str">
        <f ca="1">IFERROR(__xludf.DUMMYFUNCTION("""COMPUTED_VALUE"""),"=13,5-1,5*P_Q")</f>
        <v>=13,5-1,5*P_Q</v>
      </c>
      <c r="AA140" s="282" t="str">
        <f ca="1">IFERROR(__xludf.DUMMYFUNCTION("""COMPUTED_VALUE"""),"=3/if(Self_AS&gt;0;Self_AS;1)")</f>
        <v>=3/if(Self_AS&gt;0;Self_AS;1)</v>
      </c>
      <c r="AB140" s="282" t="str">
        <f ca="1">IFERROR(__xludf.DUMMYFUNCTION("""COMPUTED_VALUE"""),"=1")</f>
        <v>=1</v>
      </c>
      <c r="AC140" s="282" t="str">
        <f ca="1">IFERROR(__xludf.DUMMYFUNCTION("""COMPUTED_VALUE"""),"=140 - 20 * P_R")</f>
        <v>=140 - 20 * P_R</v>
      </c>
      <c r="AD140" s="283" t="str">
        <f ca="1">IFERROR(__xludf.DUMMYFUNCTION("""COMPUTED_VALUE"""),"=16,5-0,5*if(Self_Level&lt;=9;Self_Level;9)")</f>
        <v>=16,5-0,5*if(Self_Level&lt;=9;Self_Level;9)</v>
      </c>
      <c r="AE140" s="281" t="b">
        <f ca="1">IFERROR(__xludf.DUMMYFUNCTION("""COMPUTED_VALUE"""),TRUE)</f>
        <v>1</v>
      </c>
      <c r="AF140" s="282" t="str">
        <f ca="1">IFERROR(__xludf.DUMMYFUNCTION("""COMPUTED_VALUE"""),"=Image(""https://ddragon.leagueoflegends.com/cdn/11.19.1/img/champion/Vi.png"")")</f>
        <v>=Image("https://ddragon.leagueoflegends.com/cdn/11.19.1/img/champion/Vi.png")</v>
      </c>
      <c r="AG140" s="282" t="str">
        <f ca="1">IFERROR(__xludf.DUMMYFUNCTION("""COMPUTED_VALUE"""),"=IF(OR(REGEXMATCH(FORMULATEXT(U140);""HMOD"");NOT(P_Q&gt;0));0;U140)+IF(OR(REGEXMATCH(FORMULATEXT(V140);""HMOD"");NOT(P_W&gt;0));0;V140)+IF(OR(REGEXMATCH(FORMULATEXT(W140);""HMOD"");NOT(P_E&gt;0));0;W140)+IF(OR(REGEXMATCH(FORMULATEXT(X140);""HMOD"");NOT(P_R&gt;0));0;"&amp;"X140)+IF(REGEXMATCH(FORMULATEXT(Y140);""HMOD"");0;Y140)+Self_Proc_Item+Self_Proc_Summ+Self_Proc_Rune+3*Self_DPS")</f>
        <v>=IF(OR(REGEXMATCH(FORMULATEXT(U140);"HMOD");NOT(P_Q&gt;0));0;U140)+IF(OR(REGEXMATCH(FORMULATEXT(V140);"HMOD");NOT(P_W&gt;0));0;V140)+IF(OR(REGEXMATCH(FORMULATEXT(W140);"HMOD");NOT(P_E&gt;0));0;W140)+IF(OR(REGEXMATCH(FORMULATEXT(X140);"HMOD");NOT(P_R&gt;0));0;X140)+IF(REGEXMATCH(FORMULATEXT(Y140);"HMOD");0;Y140)+Self_Proc_Item+Self_Proc_Summ+Self_Proc_Rune+3*Self_DPS</v>
      </c>
      <c r="AH140" s="282" t="str">
        <f ca="1">IFERROR(__xludf.DUMMYFUNCTION("""COMPUTED_VALUE"""),"=0")</f>
        <v>=0</v>
      </c>
      <c r="AI140" s="282" t="b">
        <f ca="1">IFERROR(__xludf.DUMMYFUNCTION("""COMPUTED_VALUE"""),FALSE)</f>
        <v>0</v>
      </c>
      <c r="AJ140" s="283" t="b">
        <f ca="1">IFERROR(__xludf.DUMMYFUNCTION("""COMPUTED_VALUE"""),FALSE)</f>
        <v>0</v>
      </c>
    </row>
    <row r="141" spans="1:36">
      <c r="A141" s="267" t="str">
        <f ca="1">IFERROR(__xludf.DUMMYFUNCTION("""COMPUTED_VALUE"""),"Viego")</f>
        <v>Viego</v>
      </c>
      <c r="B141" s="287" t="str">
        <f ca="1">IFERROR(__xludf.DUMMYFUNCTION("""COMPUTED_VALUE"""),"=630")</f>
        <v>=630</v>
      </c>
      <c r="C141" s="287" t="str">
        <f ca="1">IFERROR(__xludf.DUMMYFUNCTION("""COMPUTED_VALUE"""),"=109")</f>
        <v>=109</v>
      </c>
      <c r="D141" s="288" t="str">
        <f ca="1">IFERROR(__xludf.DUMMYFUNCTION("""COMPUTED_VALUE"""),"=8")</f>
        <v>=8</v>
      </c>
      <c r="E141" s="289" t="str">
        <f ca="1">IFERROR(__xludf.DUMMYFUNCTION("""COMPUTED_VALUE"""),"=0,7")</f>
        <v>=0,7</v>
      </c>
      <c r="F141" s="288" t="str">
        <f ca="1">IFERROR(__xludf.DUMMYFUNCTION("""COMPUTED_VALUE"""),"=0")</f>
        <v>=0</v>
      </c>
      <c r="G141" s="288" t="str">
        <f ca="1">IFERROR(__xludf.DUMMYFUNCTION("""COMPUTED_VALUE"""),"=0")</f>
        <v>=0</v>
      </c>
      <c r="H141" s="288" t="str">
        <f ca="1">IFERROR(__xludf.DUMMYFUNCTION("""COMPUTED_VALUE"""),"=0")</f>
        <v>=0</v>
      </c>
      <c r="I141" s="289" t="str">
        <f ca="1">IFERROR(__xludf.DUMMYFUNCTION("""COMPUTED_VALUE"""),"=0")</f>
        <v>=0</v>
      </c>
      <c r="J141" s="290" t="str">
        <f ca="1">IFERROR(__xludf.DUMMYFUNCTION("""COMPUTED_VALUE"""),"=57")</f>
        <v>=57</v>
      </c>
      <c r="K141" s="288" t="str">
        <f ca="1">IFERROR(__xludf.DUMMYFUNCTION("""COMPUTED_VALUE"""),"=3,5")</f>
        <v>=3,5</v>
      </c>
      <c r="L141" s="291" t="str">
        <f ca="1">IFERROR(__xludf.DUMMYFUNCTION("""COMPUTED_VALUE"""),"=0,658")</f>
        <v>=0,658</v>
      </c>
      <c r="M141" s="291" t="str">
        <f ca="1">IFERROR(__xludf.DUMMYFUNCTION("""COMPUTED_VALUE"""),"=0,658")</f>
        <v>=0,658</v>
      </c>
      <c r="N141" s="292" t="str">
        <f ca="1">IFERROR(__xludf.DUMMYFUNCTION("""COMPUTED_VALUE"""),"=2,5%")</f>
        <v>=2,5%</v>
      </c>
      <c r="O141" s="287" t="str">
        <f ca="1">IFERROR(__xludf.DUMMYFUNCTION("""COMPUTED_VALUE"""),"=34")</f>
        <v>=34</v>
      </c>
      <c r="P141" s="287" t="str">
        <f ca="1">IFERROR(__xludf.DUMMYFUNCTION("""COMPUTED_VALUE"""),"=5,2")</f>
        <v>=5,2</v>
      </c>
      <c r="Q141" s="288" t="str">
        <f ca="1">IFERROR(__xludf.DUMMYFUNCTION("""COMPUTED_VALUE"""),"=32")</f>
        <v>=32</v>
      </c>
      <c r="R141" s="289" t="str">
        <f ca="1">IFERROR(__xludf.DUMMYFUNCTION("""COMPUTED_VALUE"""),"=2,05")</f>
        <v>=2,05</v>
      </c>
      <c r="S141" s="287" t="str">
        <f ca="1">IFERROR(__xludf.DUMMYFUNCTION("""COMPUTED_VALUE"""),"=345")</f>
        <v>=345</v>
      </c>
      <c r="T141" s="628" t="str">
        <f ca="1">IFERROR(__xludf.DUMMYFUNCTION("""COMPUTED_VALUE"""),"=200")</f>
        <v>=200</v>
      </c>
      <c r="U141" s="298" t="str">
        <f ca="1">IFERROR(__xludf.DUMMYFUNCTION("""COMPUTED_VALUE"""),"=(15 * P_Q + 0,7 * Self_AD) * MOD_Phys * (1 + Self_Crit)")</f>
        <v>=(15 * P_Q + 0,7 * Self_AD) * MOD_Phys * (1 + Self_Crit)</v>
      </c>
      <c r="V141" s="299" t="str">
        <f ca="1">IFERROR(__xludf.DUMMYFUNCTION("""COMPUTED_VALUE"""),"=(25+55*P_W+Self_AP)*MOD_Magic")</f>
        <v>=(25+55*P_W+Self_AP)*MOD_Magic</v>
      </c>
      <c r="W141" s="299" t="str">
        <f ca="1">IFERROR(__xludf.DUMMYFUNCTION("""COMPUTED_VALUE"""),"=0")</f>
        <v>=0</v>
      </c>
      <c r="X141" s="299" t="str">
        <f ca="1">IFERROR(__xludf.DUMMYFUNCTION("""COMPUTED_VALUE"""),"=1,2 * Self_AD * MOD_Phys * (1 + Self_Crit) + OH_True + OH_Magic + OH_Phys + (0,08 + 0,04 * P_R + 0,0005 * Self_BoAD) * E_MisHPV * MOD_Phys")</f>
        <v>=1,2 * Self_AD * MOD_Phys * (1 + Self_Crit) + OH_True + OH_Magic + OH_Phys + (0,08 + 0,04 * P_R + 0,0005 * Self_BoAD) * E_MisHPV * MOD_Phys</v>
      </c>
      <c r="Y141" s="300" t="str">
        <f ca="1">IFERROR(__xludf.DUMMYFUNCTION("""COMPUTED_VALUE"""),"=(0,02 + 0,00025 * Self_BoAD + 0,0002 * Self_AP + 0,05 * Self_BoAS) * MOD_Heal * E_MHP")</f>
        <v>=(0,02 + 0,00025 * Self_BoAD + 0,0002 * Self_AP + 0,05 * Self_BoAS) * MOD_Heal * E_MHP</v>
      </c>
      <c r="Z141" s="281" t="str">
        <f ca="1">IFERROR(__xludf.DUMMYFUNCTION("""COMPUTED_VALUE"""),"=5,5-0,5*P_Q")</f>
        <v>=5,5-0,5*P_Q</v>
      </c>
      <c r="AA141" s="282" t="str">
        <f ca="1">IFERROR(__xludf.DUMMYFUNCTION("""COMPUTED_VALUE"""),"=8")</f>
        <v>=8</v>
      </c>
      <c r="AB141" s="282" t="str">
        <f ca="1">IFERROR(__xludf.DUMMYFUNCTION("""COMPUTED_VALUE"""),"=16-2*P_E")</f>
        <v>=16-2*P_E</v>
      </c>
      <c r="AC141" s="282" t="str">
        <f ca="1">IFERROR(__xludf.DUMMYFUNCTION("""COMPUTED_VALUE"""),"=140 - 20 * P_R")</f>
        <v>=140 - 20 * P_R</v>
      </c>
      <c r="AD141" s="283" t="str">
        <f ca="1">IFERROR(__xludf.DUMMYFUNCTION("""COMPUTED_VALUE"""),"=1")</f>
        <v>=1</v>
      </c>
      <c r="AE141" s="281" t="b">
        <f ca="1">IFERROR(__xludf.DUMMYFUNCTION("""COMPUTED_VALUE"""),TRUE)</f>
        <v>1</v>
      </c>
      <c r="AF141" s="282" t="str">
        <f ca="1">IFERROR(__xludf.DUMMYFUNCTION("""COMPUTED_VALUE"""),"=Image(""https://ddragon.leagueoflegends.com/cdn/11.2.1/img/champion/Viego.png"")")</f>
        <v>=Image("https://ddragon.leagueoflegends.com/cdn/11.2.1/img/champion/Viego.png")</v>
      </c>
      <c r="AG141" s="282" t="str">
        <f ca="1">IFERROR(__xludf.DUMMYFUNCTION("""COMPUTED_VALUE"""),"=IF(OR(REGEXMATCH(FORMULATEXT(U141);""HMOD"");NOT(P_Q&gt;0));0;U141)+IF(OR(REGEXMATCH(FORMULATEXT(V141);""HMOD"");NOT(P_W&gt;0));0;V141)+IF(OR(REGEXMATCH(FORMULATEXT(W141);""HMOD"");NOT(P_E&gt;0));0;W141)+IF(OR(REGEXMATCH(FORMULATEXT(X141);""HMOD"");NOT(P_R&gt;0));0;"&amp;"X141)+IF(REGEXMATCH(FORMULATEXT(Y141);""HMOD"");0;Y141)+Self_Proc_Item+Self_Proc_Summ+Self_Proc_Rune+3*Self_DPS")</f>
        <v>=IF(OR(REGEXMATCH(FORMULATEXT(U141);"HMOD");NOT(P_Q&gt;0));0;U141)+IF(OR(REGEXMATCH(FORMULATEXT(V141);"HMOD");NOT(P_W&gt;0));0;V141)+IF(OR(REGEXMATCH(FORMULATEXT(W141);"HMOD");NOT(P_E&gt;0));0;W141)+IF(OR(REGEXMATCH(FORMULATEXT(X141);"HMOD");NOT(P_R&gt;0));0;X141)+IF(REGEXMATCH(FORMULATEXT(Y141);"HMOD");0;Y141)+Self_Proc_Item+Self_Proc_Summ+Self_Proc_Rune+3*Self_DPS</v>
      </c>
      <c r="AH141" s="282" t="str">
        <f ca="1">IFERROR(__xludf.DUMMYFUNCTION("""COMPUTED_VALUE"""),"=0")</f>
        <v>=0</v>
      </c>
      <c r="AI141" s="282" t="b">
        <f ca="1">IFERROR(__xludf.DUMMYFUNCTION("""COMPUTED_VALUE"""),FALSE)</f>
        <v>0</v>
      </c>
      <c r="AJ141" s="283" t="b">
        <f ca="1">IFERROR(__xludf.DUMMYFUNCTION("""COMPUTED_VALUE"""),TRUE)</f>
        <v>1</v>
      </c>
    </row>
    <row r="142" spans="1:36">
      <c r="A142" s="267" t="str">
        <f ca="1">IFERROR(__xludf.DUMMYFUNCTION("""COMPUTED_VALUE"""),"Viktor")</f>
        <v>Viktor</v>
      </c>
      <c r="B142" s="287" t="str">
        <f ca="1">IFERROR(__xludf.DUMMYFUNCTION("""COMPUTED_VALUE"""),"=600")</f>
        <v>=600</v>
      </c>
      <c r="C142" s="287" t="str">
        <f ca="1">IFERROR(__xludf.DUMMYFUNCTION("""COMPUTED_VALUE"""),"=104")</f>
        <v>=104</v>
      </c>
      <c r="D142" s="288" t="str">
        <f ca="1">IFERROR(__xludf.DUMMYFUNCTION("""COMPUTED_VALUE"""),"=8")</f>
        <v>=8</v>
      </c>
      <c r="E142" s="289" t="str">
        <f ca="1">IFERROR(__xludf.DUMMYFUNCTION("""COMPUTED_VALUE"""),"=0,65")</f>
        <v>=0,65</v>
      </c>
      <c r="F142" s="288" t="str">
        <f ca="1">IFERROR(__xludf.DUMMYFUNCTION("""COMPUTED_VALUE"""),"=405")</f>
        <v>=405</v>
      </c>
      <c r="G142" s="288" t="str">
        <f ca="1">IFERROR(__xludf.DUMMYFUNCTION("""COMPUTED_VALUE"""),"=45")</f>
        <v>=45</v>
      </c>
      <c r="H142" s="288" t="str">
        <f ca="1">IFERROR(__xludf.DUMMYFUNCTION("""COMPUTED_VALUE"""),"=8")</f>
        <v>=8</v>
      </c>
      <c r="I142" s="289" t="str">
        <f ca="1">IFERROR(__xludf.DUMMYFUNCTION("""COMPUTED_VALUE"""),"=0,8")</f>
        <v>=0,8</v>
      </c>
      <c r="J142" s="290" t="str">
        <f ca="1">IFERROR(__xludf.DUMMYFUNCTION("""COMPUTED_VALUE"""),"=53")</f>
        <v>=53</v>
      </c>
      <c r="K142" s="288" t="str">
        <f ca="1">IFERROR(__xludf.DUMMYFUNCTION("""COMPUTED_VALUE"""),"=3")</f>
        <v>=3</v>
      </c>
      <c r="L142" s="291" t="str">
        <f ca="1">IFERROR(__xludf.DUMMYFUNCTION("""COMPUTED_VALUE"""),"=0,658")</f>
        <v>=0,658</v>
      </c>
      <c r="M142" s="291" t="str">
        <f ca="1">IFERROR(__xludf.DUMMYFUNCTION("""COMPUTED_VALUE"""),"=0,658")</f>
        <v>=0,658</v>
      </c>
      <c r="N142" s="292" t="str">
        <f ca="1">IFERROR(__xludf.DUMMYFUNCTION("""COMPUTED_VALUE"""),"=2,11%")</f>
        <v>=2,11%</v>
      </c>
      <c r="O142" s="287" t="str">
        <f ca="1">IFERROR(__xludf.DUMMYFUNCTION("""COMPUTED_VALUE"""),"=23")</f>
        <v>=23</v>
      </c>
      <c r="P142" s="287" t="str">
        <f ca="1">IFERROR(__xludf.DUMMYFUNCTION("""COMPUTED_VALUE"""),"=5,2")</f>
        <v>=5,2</v>
      </c>
      <c r="Q142" s="288" t="str">
        <f ca="1">IFERROR(__xludf.DUMMYFUNCTION("""COMPUTED_VALUE"""),"=30")</f>
        <v>=30</v>
      </c>
      <c r="R142" s="289" t="str">
        <f ca="1">IFERROR(__xludf.DUMMYFUNCTION("""COMPUTED_VALUE"""),"=1,3")</f>
        <v>=1,3</v>
      </c>
      <c r="S142" s="287" t="str">
        <f ca="1">IFERROR(__xludf.DUMMYFUNCTION("""COMPUTED_VALUE"""),"=335")</f>
        <v>=335</v>
      </c>
      <c r="T142" s="628" t="str">
        <f ca="1">IFERROR(__xludf.DUMMYFUNCTION("""COMPUTED_VALUE"""),"=525")</f>
        <v>=525</v>
      </c>
      <c r="U142" s="295" t="str">
        <f ca="1">IFERROR(__xludf.DUMMYFUNCTION("""COMPUTED_VALUE"""),"=(Self_AP+Self_AD+40*P_Q+40)*MOD_Magic")</f>
        <v>=(Self_AP+Self_AD+40*P_Q+40)*MOD_Magic</v>
      </c>
      <c r="V142" s="296" t="str">
        <f ca="1">IFERROR(__xludf.DUMMYFUNCTION("""COMPUTED_VALUE"""),"=0")</f>
        <v>=0</v>
      </c>
      <c r="W142" s="296" t="str">
        <f ca="1">IFERROR(__xludf.DUMMYFUNCTION("""COMPUTED_VALUE"""),"=IF(Steroid_E;(0,8*Self_AP+30*P_E-10)*MOD_Magic;0)+(0,5*Self_AP+40*P_E+30)*MOD_Magic")</f>
        <v>=IF(Steroid_E;(0,8*Self_AP+30*P_E-10)*MOD_Magic;0)+(0,5*Self_AP+40*P_E+30)*MOD_Magic</v>
      </c>
      <c r="X142" s="296" t="str">
        <f ca="1">IFERROR(__xludf.DUMMYFUNCTION("""COMPUTED_VALUE"""),"=((0,45*Self_AP+40*P_R+25)*6+0,5*Self_AP+75*P_R+25)*MOD_Magic")</f>
        <v>=((0,45*Self_AP+40*P_R+25)*6+0,5*Self_AP+75*P_R+25)*MOD_Magic</v>
      </c>
      <c r="Y142" s="297" t="str">
        <f ca="1">IFERROR(__xludf.DUMMYFUNCTION("""COMPUTED_VALUE"""),"=0")</f>
        <v>=0</v>
      </c>
      <c r="Z142" s="281" t="str">
        <f ca="1">IFERROR(__xludf.DUMMYFUNCTION("""COMPUTED_VALUE"""),"=10 - P_Q")</f>
        <v>=10 - P_Q</v>
      </c>
      <c r="AA142" s="282" t="str">
        <f ca="1">IFERROR(__xludf.DUMMYFUNCTION("""COMPUTED_VALUE"""),"=18 - P_W")</f>
        <v>=18 - P_W</v>
      </c>
      <c r="AB142" s="282" t="str">
        <f ca="1">IFERROR(__xludf.DUMMYFUNCTION("""COMPUTED_VALUE"""),"=13-P_E")</f>
        <v>=13-P_E</v>
      </c>
      <c r="AC142" s="282" t="str">
        <f ca="1">IFERROR(__xludf.DUMMYFUNCTION("""COMPUTED_VALUE"""),"=140 - 20 * P_R")</f>
        <v>=140 - 20 * P_R</v>
      </c>
      <c r="AD142" s="283" t="str">
        <f ca="1">IFERROR(__xludf.DUMMYFUNCTION("""COMPUTED_VALUE"""),"=1")</f>
        <v>=1</v>
      </c>
      <c r="AE142" s="281" t="b">
        <f ca="1">IFERROR(__xludf.DUMMYFUNCTION("""COMPUTED_VALUE"""),FALSE)</f>
        <v>0</v>
      </c>
      <c r="AF142" s="282" t="str">
        <f ca="1">IFERROR(__xludf.DUMMYFUNCTION("""COMPUTED_VALUE"""),"=Image(""https://ddragon.leagueoflegends.com/cdn/11.19.1/img/champion/Viktor.png"")")</f>
        <v>=Image("https://ddragon.leagueoflegends.com/cdn/11.19.1/img/champion/Viktor.png")</v>
      </c>
      <c r="AG142" s="282" t="str">
        <f ca="1">IFERROR(__xludf.DUMMYFUNCTION("""COMPUTED_VALUE"""),"=IF(OR(REGEXMATCH(FORMULATEXT(U142);""HMOD"");NOT(P_Q&gt;0));0;U142)+IF(OR(REGEXMATCH(FORMULATEXT(V142);""HMOD"");NOT(P_W&gt;0));0;V142)+IF(OR(REGEXMATCH(FORMULATEXT(W142);""HMOD"");NOT(P_E&gt;0));0;W142)+IF(OR(REGEXMATCH(FORMULATEXT(X142);""HMOD"");NOT(P_R&gt;0));0;"&amp;"X142)+IF(REGEXMATCH(FORMULATEXT(Y142);""HMOD"");0;Y142)+Self_Proc_Item+Self_Proc_Summ+Self_Proc_Rune+3*Self_DPS")</f>
        <v>=IF(OR(REGEXMATCH(FORMULATEXT(U142);"HMOD");NOT(P_Q&gt;0));0;U142)+IF(OR(REGEXMATCH(FORMULATEXT(V142);"HMOD");NOT(P_W&gt;0));0;V142)+IF(OR(REGEXMATCH(FORMULATEXT(W142);"HMOD");NOT(P_E&gt;0));0;W142)+IF(OR(REGEXMATCH(FORMULATEXT(X142);"HMOD");NOT(P_R&gt;0));0;X142)+IF(REGEXMATCH(FORMULATEXT(Y142);"HMOD");0;Y142)+Self_Proc_Item+Self_Proc_Summ+Self_Proc_Rune+3*Self_DPS</v>
      </c>
      <c r="AH142" s="282" t="str">
        <f ca="1">IFERROR(__xludf.DUMMYFUNCTION("""COMPUTED_VALUE"""),"=0")</f>
        <v>=0</v>
      </c>
      <c r="AI142" s="282" t="b">
        <f ca="1">IFERROR(__xludf.DUMMYFUNCTION("""COMPUTED_VALUE"""),FALSE)</f>
        <v>0</v>
      </c>
      <c r="AJ142" s="283" t="b">
        <f ca="1">IFERROR(__xludf.DUMMYFUNCTION("""COMPUTED_VALUE"""),FALSE)</f>
        <v>0</v>
      </c>
    </row>
    <row r="143" spans="1:36">
      <c r="A143" s="267" t="str">
        <f ca="1">IFERROR(__xludf.DUMMYFUNCTION("""COMPUTED_VALUE"""),"Vladimir")</f>
        <v>Vladimir</v>
      </c>
      <c r="B143" s="287" t="str">
        <f ca="1">IFERROR(__xludf.DUMMYFUNCTION("""COMPUTED_VALUE"""),"=607")</f>
        <v>=607</v>
      </c>
      <c r="C143" s="287" t="str">
        <f ca="1">IFERROR(__xludf.DUMMYFUNCTION("""COMPUTED_VALUE"""),"=110")</f>
        <v>=110</v>
      </c>
      <c r="D143" s="288" t="str">
        <f ca="1">IFERROR(__xludf.DUMMYFUNCTION("""COMPUTED_VALUE"""),"=7")</f>
        <v>=7</v>
      </c>
      <c r="E143" s="289" t="str">
        <f ca="1">IFERROR(__xludf.DUMMYFUNCTION("""COMPUTED_VALUE"""),"=0,6")</f>
        <v>=0,6</v>
      </c>
      <c r="F143" s="288" t="str">
        <f ca="1">IFERROR(__xludf.DUMMYFUNCTION("""COMPUTED_VALUE"""),"=2")</f>
        <v>=2</v>
      </c>
      <c r="G143" s="288" t="str">
        <f ca="1">IFERROR(__xludf.DUMMYFUNCTION("""COMPUTED_VALUE"""),"=0")</f>
        <v>=0</v>
      </c>
      <c r="H143" s="288" t="str">
        <f ca="1">IFERROR(__xludf.DUMMYFUNCTION("""COMPUTED_VALUE"""),"=0")</f>
        <v>=0</v>
      </c>
      <c r="I143" s="289" t="str">
        <f ca="1">IFERROR(__xludf.DUMMYFUNCTION("""COMPUTED_VALUE"""),"=0")</f>
        <v>=0</v>
      </c>
      <c r="J143" s="290" t="str">
        <f ca="1">IFERROR(__xludf.DUMMYFUNCTION("""COMPUTED_VALUE"""),"=55")</f>
        <v>=55</v>
      </c>
      <c r="K143" s="288" t="str">
        <f ca="1">IFERROR(__xludf.DUMMYFUNCTION("""COMPUTED_VALUE"""),"=3")</f>
        <v>=3</v>
      </c>
      <c r="L143" s="291" t="str">
        <f ca="1">IFERROR(__xludf.DUMMYFUNCTION("""COMPUTED_VALUE"""),"=0,658")</f>
        <v>=0,658</v>
      </c>
      <c r="M143" s="291" t="str">
        <f ca="1">IFERROR(__xludf.DUMMYFUNCTION("""COMPUTED_VALUE"""),"=0,658")</f>
        <v>=0,658</v>
      </c>
      <c r="N143" s="292" t="str">
        <f ca="1">IFERROR(__xludf.DUMMYFUNCTION("""COMPUTED_VALUE"""),"=2%")</f>
        <v>=2%</v>
      </c>
      <c r="O143" s="287" t="str">
        <f ca="1">IFERROR(__xludf.DUMMYFUNCTION("""COMPUTED_VALUE"""),"=27")</f>
        <v>=27</v>
      </c>
      <c r="P143" s="287" t="str">
        <f ca="1">IFERROR(__xludf.DUMMYFUNCTION("""COMPUTED_VALUE"""),"=4,5")</f>
        <v>=4,5</v>
      </c>
      <c r="Q143" s="288" t="str">
        <f ca="1">IFERROR(__xludf.DUMMYFUNCTION("""COMPUTED_VALUE"""),"=30")</f>
        <v>=30</v>
      </c>
      <c r="R143" s="289" t="str">
        <f ca="1">IFERROR(__xludf.DUMMYFUNCTION("""COMPUTED_VALUE"""),"=1,3")</f>
        <v>=1,3</v>
      </c>
      <c r="S143" s="287" t="str">
        <f ca="1">IFERROR(__xludf.DUMMYFUNCTION("""COMPUTED_VALUE"""),"=330")</f>
        <v>=330</v>
      </c>
      <c r="T143" s="628" t="str">
        <f ca="1">IFERROR(__xludf.DUMMYFUNCTION("""COMPUTED_VALUE"""),"=450")</f>
        <v>=450</v>
      </c>
      <c r="U143" s="298" t="str">
        <f ca="1">IFERROR(__xludf.DUMMYFUNCTION("""COMPUTED_VALUE"""),"=(0,6*Self_AP+20*P_Q+60)*IF(Steroid_Q;1,85;1)*MOD_Magic")</f>
        <v>=(0,6*Self_AP+20*P_Q+60)*IF(Steroid_Q;1,85;1)*MOD_Magic</v>
      </c>
      <c r="V143" s="299" t="str">
        <f ca="1">IFERROR(__xludf.DUMMYFUNCTION("""COMPUTED_VALUE"""),"=(0,1*Self_BoHP+55*P_W+25)*MOD_Magic")</f>
        <v>=(0,1*Self_BoHP+55*P_W+25)*MOD_Magic</v>
      </c>
      <c r="W143" s="299" t="str">
        <f ca="1">IFERROR(__xludf.DUMMYFUNCTION("""COMPUTED_VALUE"""),"=IF(Steroid_E;0,8*Self_AP+0,06*Self_MHP+30*P_E+30;0,35*Self_AP+0,015*Self_MHP+15*P_E+15)*MOD_Magic")</f>
        <v>=IF(Steroid_E;0,8*Self_AP+0,06*Self_MHP+30*P_E+30;0,35*Self_AP+0,015*Self_MHP+15*P_E+15)*MOD_Magic</v>
      </c>
      <c r="X143" s="299" t="str">
        <f ca="1">IFERROR(__xludf.DUMMYFUNCTION("""COMPUTED_VALUE"""),"=(0,7*Self_AP+100*P_R+50)*MOD_Magic")</f>
        <v>=(0,7*Self_AP+100*P_R+50)*MOD_Magic</v>
      </c>
      <c r="Y143" s="300" t="str">
        <f ca="1">IFERROR(__xludf.DUMMYFUNCTION("""COMPUTED_VALUE"""),"=0")</f>
        <v>=0</v>
      </c>
      <c r="Z143" s="281" t="str">
        <f ca="1">IFERROR(__xludf.DUMMYFUNCTION("""COMPUTED_VALUE"""),"=10,1 - 1,1 * P_Q")</f>
        <v>=10,1 - 1,1 * P_Q</v>
      </c>
      <c r="AA143" s="282" t="str">
        <f ca="1">IFERROR(__xludf.DUMMYFUNCTION("""COMPUTED_VALUE"""),"=31-3*P_W")</f>
        <v>=31-3*P_W</v>
      </c>
      <c r="AB143" s="282" t="str">
        <f ca="1">IFERROR(__xludf.DUMMYFUNCTION("""COMPUTED_VALUE"""),"=15-2*P_E")</f>
        <v>=15-2*P_E</v>
      </c>
      <c r="AC143" s="282" t="str">
        <f ca="1">IFERROR(__xludf.DUMMYFUNCTION("""COMPUTED_VALUE"""),"=150")</f>
        <v>=150</v>
      </c>
      <c r="AD143" s="283" t="str">
        <f ca="1">IFERROR(__xludf.DUMMYFUNCTION("""COMPUTED_VALUE"""),"=1")</f>
        <v>=1</v>
      </c>
      <c r="AE143" s="281" t="b">
        <f ca="1">IFERROR(__xludf.DUMMYFUNCTION("""COMPUTED_VALUE"""),TRUE)</f>
        <v>1</v>
      </c>
      <c r="AF143" s="282" t="str">
        <f ca="1">IFERROR(__xludf.DUMMYFUNCTION("""COMPUTED_VALUE"""),"=Image(""https://ddragon.leagueoflegends.com/cdn/11.19.1/img/champion/Vladimir.png"")")</f>
        <v>=Image("https://ddragon.leagueoflegends.com/cdn/11.19.1/img/champion/Vladimir.png")</v>
      </c>
      <c r="AG143" s="282" t="str">
        <f ca="1">IFERROR(__xludf.DUMMYFUNCTION("""COMPUTED_VALUE"""),"=IF(OR(REGEXMATCH(FORMULATEXT(U143);""HMOD"");NOT(P_Q&gt;0));0;U143)+IF(OR(REGEXMATCH(FORMULATEXT(V143);""HMOD"");NOT(P_W&gt;0));0;V143)+IF(OR(REGEXMATCH(FORMULATEXT(W143);""HMOD"");NOT(P_E&gt;0));0;W143)+IF(OR(REGEXMATCH(FORMULATEXT(X143);""HMOD"");NOT(P_R&gt;0));0;"&amp;"X143)+IF(REGEXMATCH(FORMULATEXT(Y143);""HMOD"");0;Y143)+Self_Proc_Item+Self_Proc_Summ+Self_Proc_Rune+3*Self_DPS")</f>
        <v>=IF(OR(REGEXMATCH(FORMULATEXT(U143);"HMOD");NOT(P_Q&gt;0));0;U143)+IF(OR(REGEXMATCH(FORMULATEXT(V143);"HMOD");NOT(P_W&gt;0));0;V143)+IF(OR(REGEXMATCH(FORMULATEXT(W143);"HMOD");NOT(P_E&gt;0));0;W143)+IF(OR(REGEXMATCH(FORMULATEXT(X143);"HMOD");NOT(P_R&gt;0));0;X143)+IF(REGEXMATCH(FORMULATEXT(Y143);"HMOD");0;Y143)+Self_Proc_Item+Self_Proc_Summ+Self_Proc_Rune+3*Self_DPS</v>
      </c>
      <c r="AH143" s="282" t="str">
        <f ca="1">IFERROR(__xludf.DUMMYFUNCTION("""COMPUTED_VALUE"""),"=0")</f>
        <v>=0</v>
      </c>
      <c r="AI143" s="282" t="b">
        <f ca="1">IFERROR(__xludf.DUMMYFUNCTION("""COMPUTED_VALUE"""),FALSE)</f>
        <v>0</v>
      </c>
      <c r="AJ143" s="283" t="b">
        <f ca="1">IFERROR(__xludf.DUMMYFUNCTION("""COMPUTED_VALUE"""),TRUE)</f>
        <v>1</v>
      </c>
    </row>
    <row r="144" spans="1:36">
      <c r="A144" s="267" t="str">
        <f ca="1">IFERROR(__xludf.DUMMYFUNCTION("""COMPUTED_VALUE"""),"Volibear")</f>
        <v>Volibear</v>
      </c>
      <c r="B144" s="287" t="str">
        <f ca="1">IFERROR(__xludf.DUMMYFUNCTION("""COMPUTED_VALUE"""),"=650")</f>
        <v>=650</v>
      </c>
      <c r="C144" s="287" t="str">
        <f ca="1">IFERROR(__xludf.DUMMYFUNCTION("""COMPUTED_VALUE"""),"=104")</f>
        <v>=104</v>
      </c>
      <c r="D144" s="288" t="str">
        <f ca="1">IFERROR(__xludf.DUMMYFUNCTION("""COMPUTED_VALUE"""),"=9")</f>
        <v>=9</v>
      </c>
      <c r="E144" s="289" t="str">
        <f ca="1">IFERROR(__xludf.DUMMYFUNCTION("""COMPUTED_VALUE"""),"=0,65")</f>
        <v>=0,65</v>
      </c>
      <c r="F144" s="288" t="str">
        <f ca="1">IFERROR(__xludf.DUMMYFUNCTION("""COMPUTED_VALUE"""),"=350")</f>
        <v>=350</v>
      </c>
      <c r="G144" s="288" t="str">
        <f ca="1">IFERROR(__xludf.DUMMYFUNCTION("""COMPUTED_VALUE"""),"=70")</f>
        <v>=70</v>
      </c>
      <c r="H144" s="288" t="str">
        <f ca="1">IFERROR(__xludf.DUMMYFUNCTION("""COMPUTED_VALUE"""),"=6,25")</f>
        <v>=6,25</v>
      </c>
      <c r="I144" s="289" t="str">
        <f ca="1">IFERROR(__xludf.DUMMYFUNCTION("""COMPUTED_VALUE"""),"=0,5")</f>
        <v>=0,5</v>
      </c>
      <c r="J144" s="290" t="str">
        <f ca="1">IFERROR(__xludf.DUMMYFUNCTION("""COMPUTED_VALUE"""),"=60")</f>
        <v>=60</v>
      </c>
      <c r="K144" s="288" t="str">
        <f ca="1">IFERROR(__xludf.DUMMYFUNCTION("""COMPUTED_VALUE"""),"=3,5")</f>
        <v>=3,5</v>
      </c>
      <c r="L144" s="291" t="str">
        <f ca="1">IFERROR(__xludf.DUMMYFUNCTION("""COMPUTED_VALUE"""),"=0,625")</f>
        <v>=0,625</v>
      </c>
      <c r="M144" s="291" t="str">
        <f ca="1">IFERROR(__xludf.DUMMYFUNCTION("""COMPUTED_VALUE"""),"=0,7")</f>
        <v>=0,7</v>
      </c>
      <c r="N144" s="292" t="str">
        <f ca="1">IFERROR(__xludf.DUMMYFUNCTION("""COMPUTED_VALUE"""),"=2%")</f>
        <v>=2%</v>
      </c>
      <c r="O144" s="287" t="str">
        <f ca="1">IFERROR(__xludf.DUMMYFUNCTION("""COMPUTED_VALUE"""),"=31")</f>
        <v>=31</v>
      </c>
      <c r="P144" s="287" t="str">
        <f ca="1">IFERROR(__xludf.DUMMYFUNCTION("""COMPUTED_VALUE"""),"=5,2")</f>
        <v>=5,2</v>
      </c>
      <c r="Q144" s="288" t="str">
        <f ca="1">IFERROR(__xludf.DUMMYFUNCTION("""COMPUTED_VALUE"""),"=32")</f>
        <v>=32</v>
      </c>
      <c r="R144" s="289" t="str">
        <f ca="1">IFERROR(__xludf.DUMMYFUNCTION("""COMPUTED_VALUE"""),"=2,05")</f>
        <v>=2,05</v>
      </c>
      <c r="S144" s="287" t="str">
        <f ca="1">IFERROR(__xludf.DUMMYFUNCTION("""COMPUTED_VALUE"""),"=340")</f>
        <v>=340</v>
      </c>
      <c r="T144" s="628" t="str">
        <f ca="1">IFERROR(__xludf.DUMMYFUNCTION("""COMPUTED_VALUE"""),"=150")</f>
        <v>=150</v>
      </c>
      <c r="U144" s="295" t="str">
        <f ca="1">IFERROR(__xludf.DUMMYFUNCTION("""COMPUTED_VALUE"""),"=(P_Q*20+Self_AD+1,2*Self_BoAD - 10)*MOD_Phys*IF(Steroid_P;Self_CritDMG;1)")</f>
        <v>=(P_Q*20+Self_AD+1,2*Self_BoAD - 10)*MOD_Phys*IF(Steroid_P;Self_CritDMG;1)</v>
      </c>
      <c r="V144" s="296" t="str">
        <f ca="1">IFERROR(__xludf.DUMMYFUNCTION("""COMPUTED_VALUE"""),"=((-15 + 25 * P_W + 0,06 * Self_BoHP + Self_AD) * MOD_Phys + OH_Phys + OH_Magic + OH_True) * IF(Steroid_W; 1,5; 1)")</f>
        <v>=((-15 + 25 * P_W + 0,06 * Self_BoHP + Self_AD) * MOD_Phys + OH_Phys + OH_Magic + OH_True) * IF(Steroid_W; 1,5; 1)</v>
      </c>
      <c r="W144" s="296" t="str">
        <f ca="1">IFERROR(__xludf.DUMMYFUNCTION("""COMPUTED_VALUE"""),"=(50+30*P_E+0,8*Self_AP+(0,01*P_E+0,08)*E_MHP)*MOD_Magic")</f>
        <v>=(50+30*P_E+0,8*Self_AP+(0,01*P_E+0,08)*E_MHP)*MOD_Magic</v>
      </c>
      <c r="X144" s="296" t="str">
        <f ca="1">IFERROR(__xludf.DUMMYFUNCTION("""COMPUTED_VALUE"""),"=(1,25*Self_AP+200*P_R+2,5*Self_BoAD+100)*MOD_Phys")</f>
        <v>=(1,25*Self_AP+200*P_R+2,5*Self_BoAD+100)*MOD_Phys</v>
      </c>
      <c r="Y144" s="297" t="str">
        <f ca="1">IFERROR(__xludf.DUMMYFUNCTION("""COMPUTED_VALUE"""),"=(0,4 * Self_AP + 10 + Self_Level + MAX(Self_Level - 3; 0) + MAX(Self_Level - 6; 0) + MAX(Self_Level - 13; 0)) * MOD_Magic")</f>
        <v>=(0,4 * Self_AP + 10 + Self_Level + MAX(Self_Level - 3; 0) + MAX(Self_Level - 6; 0) + MAX(Self_Level - 13; 0)) * MOD_Magic</v>
      </c>
      <c r="Z144" s="307" t="str">
        <f ca="1">IFERROR(__xludf.DUMMYFUNCTION("""COMPUTED_VALUE"""),"=15-P_Q")</f>
        <v>=15-P_Q</v>
      </c>
      <c r="AA144" s="282" t="str">
        <f ca="1">IFERROR(__xludf.DUMMYFUNCTION("""COMPUTED_VALUE"""),"=5")</f>
        <v>=5</v>
      </c>
      <c r="AB144" s="282" t="str">
        <f ca="1">IFERROR(__xludf.DUMMYFUNCTION("""COMPUTED_VALUE"""),"=13")</f>
        <v>=13</v>
      </c>
      <c r="AC144" s="282" t="str">
        <f ca="1">IFERROR(__xludf.DUMMYFUNCTION("""COMPUTED_VALUE"""),"=150-P_R*10")</f>
        <v>=150-P_R*10</v>
      </c>
      <c r="AD144" s="283" t="str">
        <f ca="1">IFERROR(__xludf.DUMMYFUNCTION("""COMPUTED_VALUE"""),"=1")</f>
        <v>=1</v>
      </c>
      <c r="AE144" s="281" t="b">
        <f ca="1">IFERROR(__xludf.DUMMYFUNCTION("""COMPUTED_VALUE"""),TRUE)</f>
        <v>1</v>
      </c>
      <c r="AF144" s="282" t="str">
        <f ca="1">IFERROR(__xludf.DUMMYFUNCTION("""COMPUTED_VALUE"""),"=Image(""https://ddragon.leagueoflegends.com/cdn/11.19.1/img/champion/Volibear.png"")")</f>
        <v>=Image("https://ddragon.leagueoflegends.com/cdn/11.19.1/img/champion/Volibear.png")</v>
      </c>
      <c r="AG144" s="282" t="str">
        <f ca="1">IFERROR(__xludf.DUMMYFUNCTION("""COMPUTED_VALUE"""),"=IF(OR(REGEXMATCH(FORMULATEXT(U144);""HMOD"");NOT(P_Q&gt;0));0;U144)+IF(OR(REGEXMATCH(FORMULATEXT(V144);""HMOD"");NOT(P_W&gt;0));0;V144)+IF(OR(REGEXMATCH(FORMULATEXT(W144);""HMOD"");NOT(P_E&gt;0));0;W144)+IF(OR(REGEXMATCH(FORMULATEXT(X144);""HMOD"");NOT(P_R&gt;0));0;"&amp;"X144)+IF(REGEXMATCH(FORMULATEXT(Y144);""HMOD"");0;Y144)+Self_Proc_Item+Self_Proc_Summ+Self_Proc_Rune+3*Self_DPS")</f>
        <v>=IF(OR(REGEXMATCH(FORMULATEXT(U144);"HMOD");NOT(P_Q&gt;0));0;U144)+IF(OR(REGEXMATCH(FORMULATEXT(V144);"HMOD");NOT(P_W&gt;0));0;V144)+IF(OR(REGEXMATCH(FORMULATEXT(W144);"HMOD");NOT(P_E&gt;0));0;W144)+IF(OR(REGEXMATCH(FORMULATEXT(X144);"HMOD");NOT(P_R&gt;0));0;X144)+IF(REGEXMATCH(FORMULATEXT(Y144);"HMOD");0;Y144)+Self_Proc_Item+Self_Proc_Summ+Self_Proc_Rune+3*Self_DPS</v>
      </c>
      <c r="AH144" s="282" t="str">
        <f ca="1">IFERROR(__xludf.DUMMYFUNCTION("""COMPUTED_VALUE"""),"=0")</f>
        <v>=0</v>
      </c>
      <c r="AI144" s="282" t="b">
        <f ca="1">IFERROR(__xludf.DUMMYFUNCTION("""COMPUTED_VALUE"""),FALSE)</f>
        <v>0</v>
      </c>
      <c r="AJ144" s="283" t="b">
        <f ca="1">IFERROR(__xludf.DUMMYFUNCTION("""COMPUTED_VALUE"""),FALSE)</f>
        <v>0</v>
      </c>
    </row>
    <row r="145" spans="1:36">
      <c r="A145" s="301" t="str">
        <f ca="1">IFERROR(__xludf.DUMMYFUNCTION("""COMPUTED_VALUE"""),"Warwick")</f>
        <v>Warwick</v>
      </c>
      <c r="B145" s="282" t="str">
        <f ca="1">IFERROR(__xludf.DUMMYFUNCTION("""COMPUTED_VALUE"""),"=620")</f>
        <v>=620</v>
      </c>
      <c r="C145" s="282" t="str">
        <f ca="1">IFERROR(__xludf.DUMMYFUNCTION("""COMPUTED_VALUE"""),"=99")</f>
        <v>=99</v>
      </c>
      <c r="D145" s="282" t="str">
        <f ca="1">IFERROR(__xludf.DUMMYFUNCTION("""COMPUTED_VALUE"""),"=4")</f>
        <v>=4</v>
      </c>
      <c r="E145" s="302" t="str">
        <f ca="1">IFERROR(__xludf.DUMMYFUNCTION("""COMPUTED_VALUE"""),"=0,75")</f>
        <v>=0,75</v>
      </c>
      <c r="F145" s="282" t="str">
        <f ca="1">IFERROR(__xludf.DUMMYFUNCTION("""COMPUTED_VALUE"""),"=280")</f>
        <v>=280</v>
      </c>
      <c r="G145" s="282" t="str">
        <f ca="1">IFERROR(__xludf.DUMMYFUNCTION("""COMPUTED_VALUE"""),"=35")</f>
        <v>=35</v>
      </c>
      <c r="H145" s="282" t="str">
        <f ca="1">IFERROR(__xludf.DUMMYFUNCTION("""COMPUTED_VALUE"""),"=7,5")</f>
        <v>=7,5</v>
      </c>
      <c r="I145" s="302" t="str">
        <f ca="1">IFERROR(__xludf.DUMMYFUNCTION("""COMPUTED_VALUE"""),"=0,575")</f>
        <v>=0,575</v>
      </c>
      <c r="J145" s="303" t="str">
        <f ca="1">IFERROR(__xludf.DUMMYFUNCTION("""COMPUTED_VALUE"""),"=65")</f>
        <v>=65</v>
      </c>
      <c r="K145" s="282" t="str">
        <f ca="1">IFERROR(__xludf.DUMMYFUNCTION("""COMPUTED_VALUE"""),"=3")</f>
        <v>=3</v>
      </c>
      <c r="L145" s="304" t="str">
        <f ca="1">IFERROR(__xludf.DUMMYFUNCTION("""COMPUTED_VALUE"""),"=0,638")</f>
        <v>=0,638</v>
      </c>
      <c r="M145" s="304" t="str">
        <f ca="1">IFERROR(__xludf.DUMMYFUNCTION("""COMPUTED_VALUE"""),"=0,638")</f>
        <v>=0,638</v>
      </c>
      <c r="N145" s="305" t="str">
        <f ca="1">IFERROR(__xludf.DUMMYFUNCTION("""COMPUTED_VALUE"""),"=2,3%")</f>
        <v>=2,3%</v>
      </c>
      <c r="O145" s="282" t="str">
        <f ca="1">IFERROR(__xludf.DUMMYFUNCTION("""COMPUTED_VALUE"""),"=33")</f>
        <v>=33</v>
      </c>
      <c r="P145" s="282" t="str">
        <f ca="1">IFERROR(__xludf.DUMMYFUNCTION("""COMPUTED_VALUE"""),"=4,4")</f>
        <v>=4,4</v>
      </c>
      <c r="Q145" s="282" t="str">
        <f ca="1">IFERROR(__xludf.DUMMYFUNCTION("""COMPUTED_VALUE"""),"=32")</f>
        <v>=32</v>
      </c>
      <c r="R145" s="302" t="str">
        <f ca="1">IFERROR(__xludf.DUMMYFUNCTION("""COMPUTED_VALUE"""),"=2,05")</f>
        <v>=2,05</v>
      </c>
      <c r="S145" s="282" t="str">
        <f ca="1">IFERROR(__xludf.DUMMYFUNCTION("""COMPUTED_VALUE"""),"=335")</f>
        <v>=335</v>
      </c>
      <c r="T145" s="283" t="str">
        <f ca="1">IFERROR(__xludf.DUMMYFUNCTION("""COMPUTED_VALUE"""),"=125")</f>
        <v>=125</v>
      </c>
      <c r="U145" s="298" t="str">
        <f ca="1">IFERROR(__xludf.DUMMYFUNCTION("""COMPUTED_VALUE"""),"=(1,2*Self_AD+Self_AP+(0,05+0,01*P_Q)*E_MHP)*MOD_Magic+OH_Magic+OH_Phys+OH_True")</f>
        <v>=(1,2*Self_AD+Self_AP+(0,05+0,01*P_Q)*E_MHP)*MOD_Magic+OH_Magic+OH_Phys+OH_True</v>
      </c>
      <c r="V145" s="299" t="str">
        <f ca="1">IFERROR(__xludf.DUMMYFUNCTION("""COMPUTED_VALUE"""),"=0")</f>
        <v>=0</v>
      </c>
      <c r="W145" s="299" t="str">
        <f ca="1">IFERROR(__xludf.DUMMYFUNCTION("""COMPUTED_VALUE"""),"=0")</f>
        <v>=0</v>
      </c>
      <c r="X145" s="299" t="str">
        <f ca="1">IFERROR(__xludf.DUMMYFUNCTION("""COMPUTED_VALUE"""),"=(1,67*Self_BoAD+175*P_R)*MOD_Magic+5*(OH_Phys+OH_Magic)")</f>
        <v>=(1,67*Self_BoAD+175*P_R)*MOD_Magic+5*(OH_Phys+OH_Magic)</v>
      </c>
      <c r="Y145" s="300" t="str">
        <f ca="1">IFERROR(__xludf.DUMMYFUNCTION("""COMPUTED_VALUE"""),"=(10+2*Self_Level+0,15*Self_BoAD+0,1*Self_AP)*MOD_Magic")</f>
        <v>=(10+2*Self_Level+0,15*Self_BoAD+0,1*Self_AP)*MOD_Magic</v>
      </c>
      <c r="Z145" s="308" t="str">
        <f ca="1">IFERROR(__xludf.DUMMYFUNCTION("""COMPUTED_VALUE"""),"=6")</f>
        <v>=6</v>
      </c>
      <c r="AA145" s="309" t="str">
        <f ca="1">IFERROR(__xludf.DUMMYFUNCTION("""COMPUTED_VALUE"""),"=135-15*P_W")</f>
        <v>=135-15*P_W</v>
      </c>
      <c r="AB145" s="282" t="str">
        <f ca="1">IFERROR(__xludf.DUMMYFUNCTION("""COMPUTED_VALUE"""),"=16-P_E")</f>
        <v>=16-P_E</v>
      </c>
      <c r="AC145" s="282" t="str">
        <f ca="1">IFERROR(__xludf.DUMMYFUNCTION("""COMPUTED_VALUE"""),"=130-20*P_R")</f>
        <v>=130-20*P_R</v>
      </c>
      <c r="AD145" s="283" t="str">
        <f ca="1">IFERROR(__xludf.DUMMYFUNCTION("""COMPUTED_VALUE"""),"=1")</f>
        <v>=1</v>
      </c>
      <c r="AE145" s="281" t="b">
        <f ca="1">IFERROR(__xludf.DUMMYFUNCTION("""COMPUTED_VALUE"""),TRUE)</f>
        <v>1</v>
      </c>
      <c r="AF145" s="282" t="str">
        <f ca="1">IFERROR(__xludf.DUMMYFUNCTION("""COMPUTED_VALUE"""),"=Image(""https://ddragon.leagueoflegends.com/cdn/11.19.1/img/champion/Warwick.png"")")</f>
        <v>=Image("https://ddragon.leagueoflegends.com/cdn/11.19.1/img/champion/Warwick.png")</v>
      </c>
      <c r="AG145" s="282" t="str">
        <f ca="1">IFERROR(__xludf.DUMMYFUNCTION("""COMPUTED_VALUE"""),"=IF(OR(REGEXMATCH(FORMULATEXT(U145);""HMOD"");NOT(P_Q&gt;0));0;U145)+IF(OR(REGEXMATCH(FORMULATEXT(V145);""HMOD"");NOT(P_W&gt;0));0;V145)+IF(OR(REGEXMATCH(FORMULATEXT(W145);""HMOD"");NOT(P_E&gt;0));0;W145)+IF(OR(REGEXMATCH(FORMULATEXT(X145);""HMOD"");NOT(P_R&gt;0));0;"&amp;"X145)+IF(REGEXMATCH(FORMULATEXT(Y145);""HMOD"");0;Y145)+Self_Proc_Item+Self_Proc_Summ+Self_Proc_Rune+3*Self_DPS")</f>
        <v>=IF(OR(REGEXMATCH(FORMULATEXT(U145);"HMOD");NOT(P_Q&gt;0));0;U145)+IF(OR(REGEXMATCH(FORMULATEXT(V145);"HMOD");NOT(P_W&gt;0));0;V145)+IF(OR(REGEXMATCH(FORMULATEXT(W145);"HMOD");NOT(P_E&gt;0));0;W145)+IF(OR(REGEXMATCH(FORMULATEXT(X145);"HMOD");NOT(P_R&gt;0));0;X145)+IF(REGEXMATCH(FORMULATEXT(Y145);"HMOD");0;Y145)+Self_Proc_Item+Self_Proc_Summ+Self_Proc_Rune+3*Self_DPS</v>
      </c>
      <c r="AH145" s="282" t="str">
        <f ca="1">IFERROR(__xludf.DUMMYFUNCTION("""COMPUTED_VALUE"""),"=0")</f>
        <v>=0</v>
      </c>
      <c r="AI145" s="282" t="b">
        <f ca="1">IFERROR(__xludf.DUMMYFUNCTION("""COMPUTED_VALUE"""),FALSE)</f>
        <v>0</v>
      </c>
      <c r="AJ145" s="283" t="b">
        <f ca="1">IFERROR(__xludf.DUMMYFUNCTION("""COMPUTED_VALUE"""),FALSE)</f>
        <v>0</v>
      </c>
    </row>
    <row r="146" spans="1:36">
      <c r="A146" s="267" t="str">
        <f ca="1">IFERROR(__xludf.DUMMYFUNCTION("""COMPUTED_VALUE"""),"Wukong")</f>
        <v>Wukong</v>
      </c>
      <c r="B146" s="287" t="str">
        <f ca="1">IFERROR(__xludf.DUMMYFUNCTION("""COMPUTED_VALUE"""),"=610")</f>
        <v>=610</v>
      </c>
      <c r="C146" s="287" t="str">
        <f ca="1">IFERROR(__xludf.DUMMYFUNCTION("""COMPUTED_VALUE"""),"=99")</f>
        <v>=99</v>
      </c>
      <c r="D146" s="288" t="str">
        <f ca="1">IFERROR(__xludf.DUMMYFUNCTION("""COMPUTED_VALUE"""),"=3,5")</f>
        <v>=3,5</v>
      </c>
      <c r="E146" s="289" t="str">
        <f ca="1">IFERROR(__xludf.DUMMYFUNCTION("""COMPUTED_VALUE"""),"=0,65")</f>
        <v>=0,65</v>
      </c>
      <c r="F146" s="288" t="str">
        <f ca="1">IFERROR(__xludf.DUMMYFUNCTION("""COMPUTED_VALUE"""),"=300")</f>
        <v>=300</v>
      </c>
      <c r="G146" s="288" t="str">
        <f ca="1">IFERROR(__xludf.DUMMYFUNCTION("""COMPUTED_VALUE"""),"=65")</f>
        <v>=65</v>
      </c>
      <c r="H146" s="288" t="str">
        <f ca="1">IFERROR(__xludf.DUMMYFUNCTION("""COMPUTED_VALUE"""),"=8")</f>
        <v>=8</v>
      </c>
      <c r="I146" s="289" t="str">
        <f ca="1">IFERROR(__xludf.DUMMYFUNCTION("""COMPUTED_VALUE"""),"=0,65")</f>
        <v>=0,65</v>
      </c>
      <c r="J146" s="290" t="str">
        <f ca="1">IFERROR(__xludf.DUMMYFUNCTION("""COMPUTED_VALUE"""),"=68")</f>
        <v>=68</v>
      </c>
      <c r="K146" s="288" t="str">
        <f ca="1">IFERROR(__xludf.DUMMYFUNCTION("""COMPUTED_VALUE"""),"=3,5")</f>
        <v>=3,5</v>
      </c>
      <c r="L146" s="291" t="str">
        <f ca="1">IFERROR(__xludf.DUMMYFUNCTION("""COMPUTED_VALUE"""),"=0,68")</f>
        <v>=0,68</v>
      </c>
      <c r="M146" s="291" t="str">
        <f ca="1">IFERROR(__xludf.DUMMYFUNCTION("""COMPUTED_VALUE"""),"=0,658")</f>
        <v>=0,658</v>
      </c>
      <c r="N146" s="292" t="str">
        <f ca="1">IFERROR(__xludf.DUMMYFUNCTION("""COMPUTED_VALUE"""),"=3%")</f>
        <v>=3%</v>
      </c>
      <c r="O146" s="287" t="str">
        <f ca="1">IFERROR(__xludf.DUMMYFUNCTION("""COMPUTED_VALUE"""),"=31")</f>
        <v>=31</v>
      </c>
      <c r="P146" s="287" t="str">
        <f ca="1">IFERROR(__xludf.DUMMYFUNCTION("""COMPUTED_VALUE"""),"=4,7")</f>
        <v>=4,7</v>
      </c>
      <c r="Q146" s="288" t="str">
        <f ca="1">IFERROR(__xludf.DUMMYFUNCTION("""COMPUTED_VALUE"""),"=28")</f>
        <v>=28</v>
      </c>
      <c r="R146" s="289" t="str">
        <f ca="1">IFERROR(__xludf.DUMMYFUNCTION("""COMPUTED_VALUE"""),"=2,05")</f>
        <v>=2,05</v>
      </c>
      <c r="S146" s="287" t="str">
        <f ca="1">IFERROR(__xludf.DUMMYFUNCTION("""COMPUTED_VALUE"""),"=340")</f>
        <v>=340</v>
      </c>
      <c r="T146" s="628" t="str">
        <f ca="1">IFERROR(__xludf.DUMMYFUNCTION("""COMPUTED_VALUE"""),"=175")</f>
        <v>=175</v>
      </c>
      <c r="U146" s="295" t="str">
        <f ca="1">IFERROR(__xludf.DUMMYFUNCTION("""COMPUTED_VALUE"""),"=(25 * P_Q - 5 + 0,45 * Self_BoAD) * MOD_Phys")</f>
        <v>=(25 * P_Q - 5 + 0,45 * Self_BoAD) * MOD_Phys</v>
      </c>
      <c r="V146" s="296" t="str">
        <f ca="1">IFERROR(__xludf.DUMMYFUNCTION("""COMPUTED_VALUE"""),"=0")</f>
        <v>=0</v>
      </c>
      <c r="W146" s="296" t="str">
        <f ca="1">IFERROR(__xludf.DUMMYFUNCTION("""COMPUTED_VALUE"""),"=(50*P_E+30+Self_AP)*MOD_Magic")</f>
        <v>=(50*P_E+30+Self_AP)*MOD_Magic</v>
      </c>
      <c r="X146" s="296" t="str">
        <f ca="1">IFERROR(__xludf.DUMMYFUNCTION("""COMPUTED_VALUE"""),"=IF(Steroid_R;2;1)*(2,75*Self_AD+(0,02+0,02*P_R)*E_MisHPV)*MOD_Phys")</f>
        <v>=IF(Steroid_R;2;1)*(2,75*Self_AD+(0,02+0,02*P_R)*E_MisHPV)*MOD_Phys</v>
      </c>
      <c r="Y146" s="297" t="str">
        <f ca="1">IFERROR(__xludf.DUMMYFUNCTION("""COMPUTED_VALUE"""),"=0")</f>
        <v>=0</v>
      </c>
      <c r="Z146" s="281" t="str">
        <f ca="1">IFERROR(__xludf.DUMMYFUNCTION("""COMPUTED_VALUE"""),"=8,5-0,5*P_Q")</f>
        <v>=8,5-0,5*P_Q</v>
      </c>
      <c r="AA146" s="282" t="str">
        <f ca="1">IFERROR(__xludf.DUMMYFUNCTION("""COMPUTED_VALUE"""),"=24-2*P_W")</f>
        <v>=24-2*P_W</v>
      </c>
      <c r="AB146" s="282" t="str">
        <f ca="1">IFERROR(__xludf.DUMMYFUNCTION("""COMPUTED_VALUE"""),"=10,5-0,5*P_E")</f>
        <v>=10,5-0,5*P_E</v>
      </c>
      <c r="AC146" s="282" t="str">
        <f ca="1">IFERROR(__xludf.DUMMYFUNCTION("""COMPUTED_VALUE"""),"=150-20*P_R")</f>
        <v>=150-20*P_R</v>
      </c>
      <c r="AD146" s="283" t="str">
        <f ca="1">IFERROR(__xludf.DUMMYFUNCTION("""COMPUTED_VALUE"""),"=1")</f>
        <v>=1</v>
      </c>
      <c r="AE146" s="281" t="b">
        <f ca="1">IFERROR(__xludf.DUMMYFUNCTION("""COMPUTED_VALUE"""),TRUE)</f>
        <v>1</v>
      </c>
      <c r="AF146" s="282" t="str">
        <f ca="1">IFERROR(__xludf.DUMMYFUNCTION("""COMPUTED_VALUE"""),"=Image(""https://ddragon.leagueoflegends.com/cdn/11.19.1/img/champion/MonkeyKing.png"")")</f>
        <v>=Image("https://ddragon.leagueoflegends.com/cdn/11.19.1/img/champion/MonkeyKing.png")</v>
      </c>
      <c r="AG146" s="282" t="str">
        <f ca="1">IFERROR(__xludf.DUMMYFUNCTION("""COMPUTED_VALUE"""),"=IF(OR(REGEXMATCH(FORMULATEXT(U146);""HMOD"");NOT(P_Q&gt;0));0;U146)+IF(OR(REGEXMATCH(FORMULATEXT(V146);""HMOD"");NOT(P_W&gt;0));0;V146)+IF(OR(REGEXMATCH(FORMULATEXT(W146);""HMOD"");NOT(P_E&gt;0));0;W146)+IF(OR(REGEXMATCH(FORMULATEXT(X146);""HMOD"");NOT(P_R&gt;0));0;"&amp;"X146)+IF(REGEXMATCH(FORMULATEXT(Y146);""HMOD"");0;Y146)+Self_Proc_Item+Self_Proc_Summ+Self_Proc_Rune+3*Self_DPS")</f>
        <v>=IF(OR(REGEXMATCH(FORMULATEXT(U146);"HMOD");NOT(P_Q&gt;0));0;U146)+IF(OR(REGEXMATCH(FORMULATEXT(V146);"HMOD");NOT(P_W&gt;0));0;V146)+IF(OR(REGEXMATCH(FORMULATEXT(W146);"HMOD");NOT(P_E&gt;0));0;W146)+IF(OR(REGEXMATCH(FORMULATEXT(X146);"HMOD");NOT(P_R&gt;0));0;X146)+IF(REGEXMATCH(FORMULATEXT(Y146);"HMOD");0;Y146)+Self_Proc_Item+Self_Proc_Summ+Self_Proc_Rune+3*Self_DPS</v>
      </c>
      <c r="AH146" s="282" t="str">
        <f ca="1">IFERROR(__xludf.DUMMYFUNCTION("""COMPUTED_VALUE"""),"=0")</f>
        <v>=0</v>
      </c>
      <c r="AI146" s="282" t="b">
        <f ca="1">IFERROR(__xludf.DUMMYFUNCTION("""COMPUTED_VALUE"""),FALSE)</f>
        <v>0</v>
      </c>
      <c r="AJ146" s="283" t="b">
        <f ca="1">IFERROR(__xludf.DUMMYFUNCTION("""COMPUTED_VALUE"""),FALSE)</f>
        <v>0</v>
      </c>
    </row>
    <row r="147" spans="1:36">
      <c r="A147" s="301" t="str">
        <f ca="1">IFERROR(__xludf.DUMMYFUNCTION("""COMPUTED_VALUE"""),"Xayah")</f>
        <v>Xayah</v>
      </c>
      <c r="B147" s="282" t="str">
        <f ca="1">IFERROR(__xludf.DUMMYFUNCTION("""COMPUTED_VALUE"""),"=660")</f>
        <v>=660</v>
      </c>
      <c r="C147" s="282" t="str">
        <f ca="1">IFERROR(__xludf.DUMMYFUNCTION("""COMPUTED_VALUE"""),"=102")</f>
        <v>=102</v>
      </c>
      <c r="D147" s="282" t="str">
        <f ca="1">IFERROR(__xludf.DUMMYFUNCTION("""COMPUTED_VALUE"""),"=3")</f>
        <v>=3</v>
      </c>
      <c r="E147" s="302" t="str">
        <f ca="1">IFERROR(__xludf.DUMMYFUNCTION("""COMPUTED_VALUE"""),"=0,75")</f>
        <v>=0,75</v>
      </c>
      <c r="F147" s="282" t="str">
        <f ca="1">IFERROR(__xludf.DUMMYFUNCTION("""COMPUTED_VALUE"""),"=340")</f>
        <v>=340</v>
      </c>
      <c r="G147" s="282" t="str">
        <f ca="1">IFERROR(__xludf.DUMMYFUNCTION("""COMPUTED_VALUE"""),"=40")</f>
        <v>=40</v>
      </c>
      <c r="H147" s="282" t="str">
        <f ca="1">IFERROR(__xludf.DUMMYFUNCTION("""COMPUTED_VALUE"""),"=8,25")</f>
        <v>=8,25</v>
      </c>
      <c r="I147" s="302" t="str">
        <f ca="1">IFERROR(__xludf.DUMMYFUNCTION("""COMPUTED_VALUE"""),"=0,8")</f>
        <v>=0,8</v>
      </c>
      <c r="J147" s="303" t="str">
        <f ca="1">IFERROR(__xludf.DUMMYFUNCTION("""COMPUTED_VALUE"""),"=60")</f>
        <v>=60</v>
      </c>
      <c r="K147" s="282" t="str">
        <f ca="1">IFERROR(__xludf.DUMMYFUNCTION("""COMPUTED_VALUE"""),"=3,5")</f>
        <v>=3,5</v>
      </c>
      <c r="L147" s="304" t="str">
        <f ca="1">IFERROR(__xludf.DUMMYFUNCTION("""COMPUTED_VALUE"""),"=0,625")</f>
        <v>=0,625</v>
      </c>
      <c r="M147" s="304" t="str">
        <f ca="1">IFERROR(__xludf.DUMMYFUNCTION("""COMPUTED_VALUE"""),"=0,625")</f>
        <v>=0,625</v>
      </c>
      <c r="N147" s="305" t="str">
        <f ca="1">IFERROR(__xludf.DUMMYFUNCTION("""COMPUTED_VALUE"""),"=3,9%")</f>
        <v>=3,9%</v>
      </c>
      <c r="O147" s="282" t="str">
        <f ca="1">IFERROR(__xludf.DUMMYFUNCTION("""COMPUTED_VALUE"""),"=25")</f>
        <v>=25</v>
      </c>
      <c r="P147" s="282" t="str">
        <f ca="1">IFERROR(__xludf.DUMMYFUNCTION("""COMPUTED_VALUE"""),"=4,2")</f>
        <v>=4,2</v>
      </c>
      <c r="Q147" s="282" t="str">
        <f ca="1">IFERROR(__xludf.DUMMYFUNCTION("""COMPUTED_VALUE"""),"=30")</f>
        <v>=30</v>
      </c>
      <c r="R147" s="302" t="str">
        <f ca="1">IFERROR(__xludf.DUMMYFUNCTION("""COMPUTED_VALUE"""),"=1,3")</f>
        <v>=1,3</v>
      </c>
      <c r="S147" s="282" t="str">
        <f ca="1">IFERROR(__xludf.DUMMYFUNCTION("""COMPUTED_VALUE"""),"=330")</f>
        <v>=330</v>
      </c>
      <c r="T147" s="283" t="str">
        <f ca="1">IFERROR(__xludf.DUMMYFUNCTION("""COMPUTED_VALUE"""),"=525")</f>
        <v>=525</v>
      </c>
      <c r="U147" s="298" t="str">
        <f ca="1">IFERROR(__xludf.DUMMYFUNCTION("""COMPUTED_VALUE"""),"=(30 * P_Q + 60 + Self_BoAD) * MOD_Phys")</f>
        <v>=(30 * P_Q + 60 + Self_BoAD) * MOD_Phys</v>
      </c>
      <c r="V147" s="299" t="str">
        <f ca="1">IFERROR(__xludf.DUMMYFUNCTION("""COMPUTED_VALUE"""),"=(1,2*Self_AD)*MOD_Hit")</f>
        <v>=(1,2*Self_AD)*MOD_Hit</v>
      </c>
      <c r="W147" s="299" t="str">
        <f ca="1">IFERROR(__xludf.DUMMYFUNCTION("""COMPUTED_VALUE"""),"=IF(Steroid_E; 5,25; 2,85) * (40 + 10 * P_E + 0,6 * Self_BoAD) * (1 + 0,75 * Self_Crit) * MOD_Phys")</f>
        <v>=IF(Steroid_E; 5,25; 2,85) * (40 + 10 * P_E + 0,6 * Self_BoAD) * (1 + 0,75 * Self_Crit) * MOD_Phys</v>
      </c>
      <c r="X147" s="299" t="str">
        <f ca="1">IFERROR(__xludf.DUMMYFUNCTION("""COMPUTED_VALUE"""),"=(100 * P_R + Self_BoAD + 100) * MOD_Phys")</f>
        <v>=(100 * P_R + Self_BoAD + 100) * MOD_Phys</v>
      </c>
      <c r="Y147" s="300" t="str">
        <f ca="1">IFERROR(__xludf.DUMMYFUNCTION("""COMPUTED_VALUE"""),"=(0,3+ROUNDDOWN((Self_Level-1)/6)*0,1)*Self_AD*MOD_Phys")</f>
        <v>=(0,3+ROUNDDOWN((Self_Level-1)/6)*0,1)*Self_AD*MOD_Phys</v>
      </c>
      <c r="Z147" s="281" t="str">
        <f ca="1">IFERROR(__xludf.DUMMYFUNCTION("""COMPUTED_VALUE"""),"=10,5-0,5*P_Q")</f>
        <v>=10,5-0,5*P_Q</v>
      </c>
      <c r="AA147" s="282" t="str">
        <f ca="1">IFERROR(__xludf.DUMMYFUNCTION("""COMPUTED_VALUE"""),"=21-P_W")</f>
        <v>=21-P_W</v>
      </c>
      <c r="AB147" s="282" t="str">
        <f ca="1">IFERROR(__xludf.DUMMYFUNCTION("""COMPUTED_VALUE"""),"=11,5-0,5*P_E")</f>
        <v>=11,5-0,5*P_E</v>
      </c>
      <c r="AC147" s="282" t="str">
        <f ca="1">IFERROR(__xludf.DUMMYFUNCTION("""COMPUTED_VALUE"""),"=160 - 20 * P_R")</f>
        <v>=160 - 20 * P_R</v>
      </c>
      <c r="AD147" s="283" t="str">
        <f ca="1">IFERROR(__xludf.DUMMYFUNCTION("""COMPUTED_VALUE"""),"=1")</f>
        <v>=1</v>
      </c>
      <c r="AE147" s="281" t="b">
        <f ca="1">IFERROR(__xludf.DUMMYFUNCTION("""COMPUTED_VALUE"""),FALSE)</f>
        <v>0</v>
      </c>
      <c r="AF147" s="282" t="str">
        <f ca="1">IFERROR(__xludf.DUMMYFUNCTION("""COMPUTED_VALUE"""),"=Image(""https://ddragon.leagueoflegends.com/cdn/11.19.1/img/champion/Xayah.png"")")</f>
        <v>=Image("https://ddragon.leagueoflegends.com/cdn/11.19.1/img/champion/Xayah.png")</v>
      </c>
      <c r="AG147" s="282" t="str">
        <f ca="1">IFERROR(__xludf.DUMMYFUNCTION("""COMPUTED_VALUE"""),"=IF(OR(REGEXMATCH(FORMULATEXT(U147);""HMOD"");NOT(P_Q&gt;0));0;U147)+IF(OR(REGEXMATCH(FORMULATEXT(V147);""HMOD"");NOT(P_W&gt;0));0;V147)+IF(OR(REGEXMATCH(FORMULATEXT(W147);""HMOD"");NOT(P_E&gt;0));0;W147)+IF(OR(REGEXMATCH(FORMULATEXT(X147);""HMOD"");NOT(P_R&gt;0));0;"&amp;"X147)+IF(REGEXMATCH(FORMULATEXT(Y147);""HMOD"");0;Y147)+Self_Proc_Item+Self_Proc_Summ+Self_Proc_Rune+3*Self_DPS")</f>
        <v>=IF(OR(REGEXMATCH(FORMULATEXT(U147);"HMOD");NOT(P_Q&gt;0));0;U147)+IF(OR(REGEXMATCH(FORMULATEXT(V147);"HMOD");NOT(P_W&gt;0));0;V147)+IF(OR(REGEXMATCH(FORMULATEXT(W147);"HMOD");NOT(P_E&gt;0));0;W147)+IF(OR(REGEXMATCH(FORMULATEXT(X147);"HMOD");NOT(P_R&gt;0));0;X147)+IF(REGEXMATCH(FORMULATEXT(Y147);"HMOD");0;Y147)+Self_Proc_Item+Self_Proc_Summ+Self_Proc_Rune+3*Self_DPS</v>
      </c>
      <c r="AH147" s="282" t="str">
        <f ca="1">IFERROR(__xludf.DUMMYFUNCTION("""COMPUTED_VALUE"""),"=0")</f>
        <v>=0</v>
      </c>
      <c r="AI147" s="282" t="b">
        <f ca="1">IFERROR(__xludf.DUMMYFUNCTION("""COMPUTED_VALUE"""),FALSE)</f>
        <v>0</v>
      </c>
      <c r="AJ147" s="283" t="b">
        <f ca="1">IFERROR(__xludf.DUMMYFUNCTION("""COMPUTED_VALUE"""),FALSE)</f>
        <v>0</v>
      </c>
    </row>
    <row r="148" spans="1:36">
      <c r="A148" s="267" t="str">
        <f ca="1">IFERROR(__xludf.DUMMYFUNCTION("""COMPUTED_VALUE"""),"Xerath")</f>
        <v>Xerath</v>
      </c>
      <c r="B148" s="287" t="str">
        <f ca="1">IFERROR(__xludf.DUMMYFUNCTION("""COMPUTED_VALUE"""),"=596")</f>
        <v>=596</v>
      </c>
      <c r="C148" s="287" t="str">
        <f ca="1">IFERROR(__xludf.DUMMYFUNCTION("""COMPUTED_VALUE"""),"=106")</f>
        <v>=106</v>
      </c>
      <c r="D148" s="288" t="str">
        <f ca="1">IFERROR(__xludf.DUMMYFUNCTION("""COMPUTED_VALUE"""),"=5,5")</f>
        <v>=5,5</v>
      </c>
      <c r="E148" s="289" t="str">
        <f ca="1">IFERROR(__xludf.DUMMYFUNCTION("""COMPUTED_VALUE"""),"=0,55")</f>
        <v>=0,55</v>
      </c>
      <c r="F148" s="288" t="str">
        <f ca="1">IFERROR(__xludf.DUMMYFUNCTION("""COMPUTED_VALUE"""),"=459")</f>
        <v>=459</v>
      </c>
      <c r="G148" s="288" t="str">
        <f ca="1">IFERROR(__xludf.DUMMYFUNCTION("""COMPUTED_VALUE"""),"=22")</f>
        <v>=22</v>
      </c>
      <c r="H148" s="288" t="str">
        <f ca="1">IFERROR(__xludf.DUMMYFUNCTION("""COMPUTED_VALUE"""),"=8")</f>
        <v>=8</v>
      </c>
      <c r="I148" s="289" t="str">
        <f ca="1">IFERROR(__xludf.DUMMYFUNCTION("""COMPUTED_VALUE"""),"=0,8")</f>
        <v>=0,8</v>
      </c>
      <c r="J148" s="290" t="str">
        <f ca="1">IFERROR(__xludf.DUMMYFUNCTION("""COMPUTED_VALUE"""),"=55")</f>
        <v>=55</v>
      </c>
      <c r="K148" s="288" t="str">
        <f ca="1">IFERROR(__xludf.DUMMYFUNCTION("""COMPUTED_VALUE"""),"=3")</f>
        <v>=3</v>
      </c>
      <c r="L148" s="291" t="str">
        <f ca="1">IFERROR(__xludf.DUMMYFUNCTION("""COMPUTED_VALUE"""),"=0,658")</f>
        <v>=0,658</v>
      </c>
      <c r="M148" s="291" t="str">
        <f ca="1">IFERROR(__xludf.DUMMYFUNCTION("""COMPUTED_VALUE"""),"=0,658")</f>
        <v>=0,658</v>
      </c>
      <c r="N148" s="292" t="str">
        <f ca="1">IFERROR(__xludf.DUMMYFUNCTION("""COMPUTED_VALUE"""),"=1,36%")</f>
        <v>=1,36%</v>
      </c>
      <c r="O148" s="287" t="str">
        <f ca="1">IFERROR(__xludf.DUMMYFUNCTION("""COMPUTED_VALUE"""),"=22")</f>
        <v>=22</v>
      </c>
      <c r="P148" s="287" t="str">
        <f ca="1">IFERROR(__xludf.DUMMYFUNCTION("""COMPUTED_VALUE"""),"=4,7")</f>
        <v>=4,7</v>
      </c>
      <c r="Q148" s="288" t="str">
        <f ca="1">IFERROR(__xludf.DUMMYFUNCTION("""COMPUTED_VALUE"""),"=30")</f>
        <v>=30</v>
      </c>
      <c r="R148" s="289" t="str">
        <f ca="1">IFERROR(__xludf.DUMMYFUNCTION("""COMPUTED_VALUE"""),"=1,3")</f>
        <v>=1,3</v>
      </c>
      <c r="S148" s="287" t="str">
        <f ca="1">IFERROR(__xludf.DUMMYFUNCTION("""COMPUTED_VALUE"""),"=340")</f>
        <v>=340</v>
      </c>
      <c r="T148" s="628" t="str">
        <f ca="1">IFERROR(__xludf.DUMMYFUNCTION("""COMPUTED_VALUE"""),"=525")</f>
        <v>=525</v>
      </c>
      <c r="U148" s="295" t="str">
        <f ca="1">IFERROR(__xludf.DUMMYFUNCTION("""COMPUTED_VALUE"""),"=(0,85 * Self_AP + 40 * P_Q + 30) * MOD_Magic")</f>
        <v>=(0,85 * Self_AP + 40 * P_Q + 30) * MOD_Magic</v>
      </c>
      <c r="V148" s="296" t="str">
        <f ca="1">IFERROR(__xludf.DUMMYFUNCTION("""COMPUTED_VALUE"""),"=(Self_AP + 35 * P_W + 15) * MOD_Magic * IF(Steroid_W; 5 / 3; 1)")</f>
        <v>=(Self_AP + 35 * P_W + 15) * MOD_Magic * IF(Steroid_W; 5 / 3; 1)</v>
      </c>
      <c r="W148" s="296" t="str">
        <f ca="1">IFERROR(__xludf.DUMMYFUNCTION("""COMPUTED_VALUE"""),"=(0,45*Self_AP+30*P_E+50)*MOD_Magic")</f>
        <v>=(0,45*Self_AP+30*P_E+50)*MOD_Magic</v>
      </c>
      <c r="X148" s="296" t="str">
        <f ca="1">IFERROR(__xludf.DUMMYFUNCTION("""COMPUTED_VALUE"""),"=((0,45*Self_AP+50*P_R+150)*(P_R+2))*MOD_Magic")</f>
        <v>=((0,45*Self_AP+50*P_R+150)*(P_R+2))*MOD_Magic</v>
      </c>
      <c r="Y148" s="297" t="str">
        <f ca="1">IFERROR(__xludf.DUMMYFUNCTION("""COMPUTED_VALUE"""),"=0")</f>
        <v>=0</v>
      </c>
      <c r="Z148" s="281" t="str">
        <f ca="1">IFERROR(__xludf.DUMMYFUNCTION("""COMPUTED_VALUE"""),"=10 - P_Q")</f>
        <v>=10 - P_Q</v>
      </c>
      <c r="AA148" s="282" t="str">
        <f ca="1">IFERROR(__xludf.DUMMYFUNCTION("""COMPUTED_VALUE"""),"=15-P_W")</f>
        <v>=15-P_W</v>
      </c>
      <c r="AB148" s="282" t="str">
        <f ca="1">IFERROR(__xludf.DUMMYFUNCTION("""COMPUTED_VALUE"""),"=13,5 - 0,5 * P_E")</f>
        <v>=13,5 - 0,5 * P_E</v>
      </c>
      <c r="AC148" s="282" t="str">
        <f ca="1">IFERROR(__xludf.DUMMYFUNCTION("""COMPUTED_VALUE"""),"=145 - 15 * P_R")</f>
        <v>=145 - 15 * P_R</v>
      </c>
      <c r="AD148" s="283" t="str">
        <f ca="1">IFERROR(__xludf.DUMMYFUNCTION("""COMPUTED_VALUE"""),"=1")</f>
        <v>=1</v>
      </c>
      <c r="AE148" s="281" t="b">
        <f ca="1">IFERROR(__xludf.DUMMYFUNCTION("""COMPUTED_VALUE"""),FALSE)</f>
        <v>0</v>
      </c>
      <c r="AF148" s="282" t="str">
        <f ca="1">IFERROR(__xludf.DUMMYFUNCTION("""COMPUTED_VALUE"""),"=Image(""https://ddragon.leagueoflegends.com/cdn/11.19.1/img/champion/Xerath.png"")")</f>
        <v>=Image("https://ddragon.leagueoflegends.com/cdn/11.19.1/img/champion/Xerath.png")</v>
      </c>
      <c r="AG148" s="282" t="str">
        <f ca="1">IFERROR(__xludf.DUMMYFUNCTION("""COMPUTED_VALUE"""),"=IF(OR(REGEXMATCH(FORMULATEXT(U148);""HMOD"");NOT(P_Q&gt;0));0;U148)+IF(OR(REGEXMATCH(FORMULATEXT(V148);""HMOD"");NOT(P_W&gt;0));0;V148)+IF(OR(REGEXMATCH(FORMULATEXT(W148);""HMOD"");NOT(P_E&gt;0));0;W148)+IF(OR(REGEXMATCH(FORMULATEXT(X148);""HMOD"");NOT(P_R&gt;0));0;"&amp;"X148)+IF(REGEXMATCH(FORMULATEXT(Y148);""HMOD"");0;Y148)+Self_Proc_Item+Self_Proc_Summ+Self_Proc_Rune+3*Self_DPS")</f>
        <v>=IF(OR(REGEXMATCH(FORMULATEXT(U148);"HMOD");NOT(P_Q&gt;0));0;U148)+IF(OR(REGEXMATCH(FORMULATEXT(V148);"HMOD");NOT(P_W&gt;0));0;V148)+IF(OR(REGEXMATCH(FORMULATEXT(W148);"HMOD");NOT(P_E&gt;0));0;W148)+IF(OR(REGEXMATCH(FORMULATEXT(X148);"HMOD");NOT(P_R&gt;0));0;X148)+IF(REGEXMATCH(FORMULATEXT(Y148);"HMOD");0;Y148)+Self_Proc_Item+Self_Proc_Summ+Self_Proc_Rune+3*Self_DPS</v>
      </c>
      <c r="AH148" s="282" t="str">
        <f ca="1">IFERROR(__xludf.DUMMYFUNCTION("""COMPUTED_VALUE"""),"=0")</f>
        <v>=0</v>
      </c>
      <c r="AI148" s="282" t="b">
        <f ca="1">IFERROR(__xludf.DUMMYFUNCTION("""COMPUTED_VALUE"""),FALSE)</f>
        <v>0</v>
      </c>
      <c r="AJ148" s="283" t="b">
        <f ca="1">IFERROR(__xludf.DUMMYFUNCTION("""COMPUTED_VALUE"""),FALSE)</f>
        <v>0</v>
      </c>
    </row>
    <row r="149" spans="1:36">
      <c r="A149" s="267" t="str">
        <f ca="1">IFERROR(__xludf.DUMMYFUNCTION("""COMPUTED_VALUE"""),"Xin Zhao")</f>
        <v>Xin Zhao</v>
      </c>
      <c r="B149" s="287" t="str">
        <f ca="1">IFERROR(__xludf.DUMMYFUNCTION("""COMPUTED_VALUE"""),"=640")</f>
        <v>=640</v>
      </c>
      <c r="C149" s="287" t="str">
        <f ca="1">IFERROR(__xludf.DUMMYFUNCTION("""COMPUTED_VALUE"""),"=106")</f>
        <v>=106</v>
      </c>
      <c r="D149" s="288" t="str">
        <f ca="1">IFERROR(__xludf.DUMMYFUNCTION("""COMPUTED_VALUE"""),"=8")</f>
        <v>=8</v>
      </c>
      <c r="E149" s="289" t="str">
        <f ca="1">IFERROR(__xludf.DUMMYFUNCTION("""COMPUTED_VALUE"""),"=0,7")</f>
        <v>=0,7</v>
      </c>
      <c r="F149" s="288" t="str">
        <f ca="1">IFERROR(__xludf.DUMMYFUNCTION("""COMPUTED_VALUE"""),"=274")</f>
        <v>=274</v>
      </c>
      <c r="G149" s="288" t="str">
        <f ca="1">IFERROR(__xludf.DUMMYFUNCTION("""COMPUTED_VALUE"""),"=55")</f>
        <v>=55</v>
      </c>
      <c r="H149" s="288" t="str">
        <f ca="1">IFERROR(__xludf.DUMMYFUNCTION("""COMPUTED_VALUE"""),"=7,3")</f>
        <v>=7,3</v>
      </c>
      <c r="I149" s="289" t="str">
        <f ca="1">IFERROR(__xludf.DUMMYFUNCTION("""COMPUTED_VALUE"""),"=0,45")</f>
        <v>=0,45</v>
      </c>
      <c r="J149" s="290" t="str">
        <f ca="1">IFERROR(__xludf.DUMMYFUNCTION("""COMPUTED_VALUE"""),"=63")</f>
        <v>=63</v>
      </c>
      <c r="K149" s="288" t="str">
        <f ca="1">IFERROR(__xludf.DUMMYFUNCTION("""COMPUTED_VALUE"""),"=3")</f>
        <v>=3</v>
      </c>
      <c r="L149" s="291" t="str">
        <f ca="1">IFERROR(__xludf.DUMMYFUNCTION("""COMPUTED_VALUE"""),"=0,645")</f>
        <v>=0,645</v>
      </c>
      <c r="M149" s="291" t="str">
        <f ca="1">IFERROR(__xludf.DUMMYFUNCTION("""COMPUTED_VALUE"""),"=0,645")</f>
        <v>=0,645</v>
      </c>
      <c r="N149" s="292" t="str">
        <f ca="1">IFERROR(__xludf.DUMMYFUNCTION("""COMPUTED_VALUE"""),"=3,5%")</f>
        <v>=3,5%</v>
      </c>
      <c r="O149" s="287" t="str">
        <f ca="1">IFERROR(__xludf.DUMMYFUNCTION("""COMPUTED_VALUE"""),"=35")</f>
        <v>=35</v>
      </c>
      <c r="P149" s="287" t="str">
        <f ca="1">IFERROR(__xludf.DUMMYFUNCTION("""COMPUTED_VALUE"""),"=4,7")</f>
        <v>=4,7</v>
      </c>
      <c r="Q149" s="288" t="str">
        <f ca="1">IFERROR(__xludf.DUMMYFUNCTION("""COMPUTED_VALUE"""),"=32")</f>
        <v>=32</v>
      </c>
      <c r="R149" s="289" t="str">
        <f ca="1">IFERROR(__xludf.DUMMYFUNCTION("""COMPUTED_VALUE"""),"=2,05")</f>
        <v>=2,05</v>
      </c>
      <c r="S149" s="287" t="str">
        <f ca="1">IFERROR(__xludf.DUMMYFUNCTION("""COMPUTED_VALUE"""),"=345")</f>
        <v>=345</v>
      </c>
      <c r="T149" s="628" t="str">
        <f ca="1">IFERROR(__xludf.DUMMYFUNCTION("""COMPUTED_VALUE"""),"=175")</f>
        <v>=175</v>
      </c>
      <c r="U149" s="298" t="str">
        <f ca="1">IFERROR(__xludf.DUMMYFUNCTION("""COMPUTED_VALUE"""),"=(27 * P_Q + 21 + 1,2 * Self_BoAD) * MOD_Phys")</f>
        <v>=(27 * P_Q + 21 + 1,2 * Self_BoAD) * MOD_Phys</v>
      </c>
      <c r="V149" s="299" t="str">
        <f ca="1">IFERROR(__xludf.DUMMYFUNCTION("""COMPUTED_VALUE"""),"=(35+45*P_W+1,2*Self_AD+0,65*Self_AP)*MOD_Phys*(1+0,33*Self_Crit)")</f>
        <v>=(35+45*P_W+1,2*Self_AD+0,65*Self_AP)*MOD_Phys*(1+0,33*Self_Crit)</v>
      </c>
      <c r="W149" s="299" t="str">
        <f ca="1">IFERROR(__xludf.DUMMYFUNCTION("""COMPUTED_VALUE"""),"=(25+25*P_E+0,6*Self_AP)*MOD_Magic")</f>
        <v>=(25+25*P_E+0,6*Self_AP)*MOD_Magic</v>
      </c>
      <c r="X149" s="299" t="str">
        <f ca="1">IFERROR(__xludf.DUMMYFUNCTION("""COMPUTED_VALUE"""),"=(100*P_R-25+Self_BoAD+0,15*E_CHPV+1,1*Self_AP)*MOD_Phys")</f>
        <v>=(100*P_R-25+Self_BoAD+0,15*E_CHPV+1,1*Self_AP)*MOD_Phys</v>
      </c>
      <c r="Y149" s="300" t="str">
        <f ca="1">IFERROR(__xludf.DUMMYFUNCTION("""COMPUTED_VALUE"""),"=(ROUNDDOWN((Self_Level-1)/5)*0,15+1,15)*Self_AD*MOD_Phys")</f>
        <v>=(ROUNDDOWN((Self_Level-1)/5)*0,15+1,15)*Self_AD*MOD_Phys</v>
      </c>
      <c r="Z149" s="281" t="str">
        <f ca="1">IFERROR(__xludf.DUMMYFUNCTION("""COMPUTED_VALUE"""),"=7,5-0,5*P_Q")</f>
        <v>=7,5-0,5*P_Q</v>
      </c>
      <c r="AA149" s="282" t="str">
        <f ca="1">IFERROR(__xludf.DUMMYFUNCTION("""COMPUTED_VALUE"""),"=13-P_W")</f>
        <v>=13-P_W</v>
      </c>
      <c r="AB149" s="282" t="str">
        <f ca="1">IFERROR(__xludf.DUMMYFUNCTION("""COMPUTED_VALUE"""),"=11")</f>
        <v>=11</v>
      </c>
      <c r="AC149" s="282" t="str">
        <f ca="1">IFERROR(__xludf.DUMMYFUNCTION("""COMPUTED_VALUE"""),"=130 - 10 * P_R")</f>
        <v>=130 - 10 * P_R</v>
      </c>
      <c r="AD149" s="283" t="str">
        <f ca="1">IFERROR(__xludf.DUMMYFUNCTION("""COMPUTED_VALUE"""),"=1")</f>
        <v>=1</v>
      </c>
      <c r="AE149" s="281" t="b">
        <f ca="1">IFERROR(__xludf.DUMMYFUNCTION("""COMPUTED_VALUE"""),TRUE)</f>
        <v>1</v>
      </c>
      <c r="AF149" s="282" t="str">
        <f ca="1">IFERROR(__xludf.DUMMYFUNCTION("""COMPUTED_VALUE"""),"=Image(""https://ddragon.leagueoflegends.com/cdn/11.19.1/img/champion/XinZhao.png"")")</f>
        <v>=Image("https://ddragon.leagueoflegends.com/cdn/11.19.1/img/champion/XinZhao.png")</v>
      </c>
      <c r="AG149" s="282" t="str">
        <f ca="1">IFERROR(__xludf.DUMMYFUNCTION("""COMPUTED_VALUE"""),"=IF(OR(REGEXMATCH(FORMULATEXT(U149);""HMOD"");NOT(P_Q&gt;0));0;U149)+IF(OR(REGEXMATCH(FORMULATEXT(V149);""HMOD"");NOT(P_W&gt;0));0;V149)+IF(OR(REGEXMATCH(FORMULATEXT(W149);""HMOD"");NOT(P_E&gt;0));0;W149)+IF(OR(REGEXMATCH(FORMULATEXT(X149);""HMOD"");NOT(P_R&gt;0));0;"&amp;"X149)+IF(REGEXMATCH(FORMULATEXT(Y149);""HMOD"");0;Y149)+Self_Proc_Item+Self_Proc_Summ+Self_Proc_Rune+3*Self_DPS")</f>
        <v>=IF(OR(REGEXMATCH(FORMULATEXT(U149);"HMOD");NOT(P_Q&gt;0));0;U149)+IF(OR(REGEXMATCH(FORMULATEXT(V149);"HMOD");NOT(P_W&gt;0));0;V149)+IF(OR(REGEXMATCH(FORMULATEXT(W149);"HMOD");NOT(P_E&gt;0));0;W149)+IF(OR(REGEXMATCH(FORMULATEXT(X149);"HMOD");NOT(P_R&gt;0));0;X149)+IF(REGEXMATCH(FORMULATEXT(Y149);"HMOD");0;Y149)+Self_Proc_Item+Self_Proc_Summ+Self_Proc_Rune+3*Self_DPS</v>
      </c>
      <c r="AH149" s="282" t="str">
        <f ca="1">IFERROR(__xludf.DUMMYFUNCTION("""COMPUTED_VALUE"""),"=0")</f>
        <v>=0</v>
      </c>
      <c r="AI149" s="282" t="b">
        <f ca="1">IFERROR(__xludf.DUMMYFUNCTION("""COMPUTED_VALUE"""),FALSE)</f>
        <v>0</v>
      </c>
      <c r="AJ149" s="283" t="b">
        <f ca="1">IFERROR(__xludf.DUMMYFUNCTION("""COMPUTED_VALUE"""),FALSE)</f>
        <v>0</v>
      </c>
    </row>
    <row r="150" spans="1:36">
      <c r="A150" s="267" t="str">
        <f ca="1">IFERROR(__xludf.DUMMYFUNCTION("""COMPUTED_VALUE"""),"Yasuo")</f>
        <v>Yasuo</v>
      </c>
      <c r="B150" s="287" t="str">
        <f ca="1">IFERROR(__xludf.DUMMYFUNCTION("""COMPUTED_VALUE"""),"=590")</f>
        <v>=590</v>
      </c>
      <c r="C150" s="287" t="str">
        <f ca="1">IFERROR(__xludf.DUMMYFUNCTION("""COMPUTED_VALUE"""),"=110")</f>
        <v>=110</v>
      </c>
      <c r="D150" s="288" t="str">
        <f ca="1">IFERROR(__xludf.DUMMYFUNCTION("""COMPUTED_VALUE"""),"=6,5")</f>
        <v>=6,5</v>
      </c>
      <c r="E150" s="289" t="str">
        <f ca="1">IFERROR(__xludf.DUMMYFUNCTION("""COMPUTED_VALUE"""),"=0,9")</f>
        <v>=0,9</v>
      </c>
      <c r="F150" s="288" t="str">
        <f ca="1">IFERROR(__xludf.DUMMYFUNCTION("""COMPUTED_VALUE"""),"=100")</f>
        <v>=100</v>
      </c>
      <c r="G150" s="288" t="str">
        <f ca="1">IFERROR(__xludf.DUMMYFUNCTION("""COMPUTED_VALUE"""),"=0")</f>
        <v>=0</v>
      </c>
      <c r="H150" s="288" t="str">
        <f ca="1">IFERROR(__xludf.DUMMYFUNCTION("""COMPUTED_VALUE"""),"=0")</f>
        <v>=0</v>
      </c>
      <c r="I150" s="289" t="str">
        <f ca="1">IFERROR(__xludf.DUMMYFUNCTION("""COMPUTED_VALUE"""),"=0")</f>
        <v>=0</v>
      </c>
      <c r="J150" s="290" t="str">
        <f ca="1">IFERROR(__xludf.DUMMYFUNCTION("""COMPUTED_VALUE"""),"=60")</f>
        <v>=60</v>
      </c>
      <c r="K150" s="288" t="str">
        <f ca="1">IFERROR(__xludf.DUMMYFUNCTION("""COMPUTED_VALUE"""),"=3")</f>
        <v>=3</v>
      </c>
      <c r="L150" s="291" t="str">
        <f ca="1">IFERROR(__xludf.DUMMYFUNCTION("""COMPUTED_VALUE"""),"=0,697")</f>
        <v>=0,697</v>
      </c>
      <c r="M150" s="291" t="str">
        <f ca="1">IFERROR(__xludf.DUMMYFUNCTION("""COMPUTED_VALUE"""),"=0,67")</f>
        <v>=0,67</v>
      </c>
      <c r="N150" s="292" t="str">
        <f ca="1">IFERROR(__xludf.DUMMYFUNCTION("""COMPUTED_VALUE"""),"=3,5%")</f>
        <v>=3,5%</v>
      </c>
      <c r="O150" s="287" t="str">
        <f ca="1">IFERROR(__xludf.DUMMYFUNCTION("""COMPUTED_VALUE"""),"=30")</f>
        <v>=30</v>
      </c>
      <c r="P150" s="287" t="str">
        <f ca="1">IFERROR(__xludf.DUMMYFUNCTION("""COMPUTED_VALUE"""),"=4,6")</f>
        <v>=4,6</v>
      </c>
      <c r="Q150" s="288" t="str">
        <f ca="1">IFERROR(__xludf.DUMMYFUNCTION("""COMPUTED_VALUE"""),"=32")</f>
        <v>=32</v>
      </c>
      <c r="R150" s="289" t="str">
        <f ca="1">IFERROR(__xludf.DUMMYFUNCTION("""COMPUTED_VALUE"""),"=2,05")</f>
        <v>=2,05</v>
      </c>
      <c r="S150" s="287" t="str">
        <f ca="1">IFERROR(__xludf.DUMMYFUNCTION("""COMPUTED_VALUE"""),"=345")</f>
        <v>=345</v>
      </c>
      <c r="T150" s="628" t="str">
        <f ca="1">IFERROR(__xludf.DUMMYFUNCTION("""COMPUTED_VALUE"""),"=175")</f>
        <v>=175</v>
      </c>
      <c r="U150" s="295" t="str">
        <f ca="1">IFERROR(__xludf.DUMMYFUNCTION("""COMPUTED_VALUE"""),"=(Self_AD * 1,05 - 5 + 25 * P_Q) * MOD_Phys * (1 + Self_Crit * (Self_CritDMG - 1)) + OH_Phys + OH_Magic + OH_True")</f>
        <v>=(Self_AD * 1,05 - 5 + 25 * P_Q) * MOD_Phys * (1 + Self_Crit * (Self_CritDMG - 1)) + OH_Phys + OH_Magic + OH_True</v>
      </c>
      <c r="V150" s="296" t="str">
        <f ca="1">IFERROR(__xludf.DUMMYFUNCTION("""COMPUTED_VALUE"""),"=0")</f>
        <v>=0</v>
      </c>
      <c r="W150" s="296" t="str">
        <f ca="1">IFERROR(__xludf.DUMMYFUNCTION("""COMPUTED_VALUE"""),"=(0,2 * Self_BoAD + 0,6 * Self_AP + (10 * P_E + 50)) * MOD_Magic * IF(Steroid_E; 1,6 + 0,4 * Sc_Lin; 1)")</f>
        <v>=(0,2 * Self_BoAD + 0,6 * Self_AP + (10 * P_E + 50)) * MOD_Magic * IF(Steroid_E; 1,6 + 0,4 * Sc_Lin; 1)</v>
      </c>
      <c r="X150" s="296" t="str">
        <f ca="1">IFERROR(__xludf.DUMMYFUNCTION("""COMPUTED_VALUE"""),"=(1,5*Self_BoAD+150*P_R+50)*MOD_Phys")</f>
        <v>=(1,5*Self_BoAD+150*P_R+50)*MOD_Phys</v>
      </c>
      <c r="Y150" s="297" t="str">
        <f ca="1">IFERROR(__xludf.DUMMYFUNCTION("""COMPUTED_VALUE"""),"=0")</f>
        <v>=0</v>
      </c>
      <c r="Z150" s="281" t="str">
        <f ca="1">IFERROR(__xludf.DUMMYFUNCTION("""COMPUTED_VALUE"""),"=MAX(4 - (1/3) * (Self_BoAS / 0,139375); 1,33)")</f>
        <v>=MAX(4 - (1/3) * (Self_BoAS / 0,139375); 1,33)</v>
      </c>
      <c r="AA150" s="282" t="str">
        <f ca="1">IFERROR(__xludf.DUMMYFUNCTION("""COMPUTED_VALUE"""),"=27 - 2 * P_W")</f>
        <v>=27 - 2 * P_W</v>
      </c>
      <c r="AB150" s="282" t="str">
        <f ca="1">IFERROR(__xludf.DUMMYFUNCTION("""COMPUTED_VALUE"""),"=0,6-0,1*P_E")</f>
        <v>=0,6-0,1*P_E</v>
      </c>
      <c r="AC150" s="282" t="str">
        <f ca="1">IFERROR(__xludf.DUMMYFUNCTION("""COMPUTED_VALUE"""),"=90-20*P_R")</f>
        <v>=90-20*P_R</v>
      </c>
      <c r="AD150" s="283" t="str">
        <f ca="1">IFERROR(__xludf.DUMMYFUNCTION("""COMPUTED_VALUE"""),"=1")</f>
        <v>=1</v>
      </c>
      <c r="AE150" s="281" t="b">
        <f ca="1">IFERROR(__xludf.DUMMYFUNCTION("""COMPUTED_VALUE"""),TRUE)</f>
        <v>1</v>
      </c>
      <c r="AF150" s="282" t="str">
        <f ca="1">IFERROR(__xludf.DUMMYFUNCTION("""COMPUTED_VALUE"""),"=Image(""https://ddragon.leagueoflegends.com/cdn/11.19.1/img/champion/Yasuo.png"")")</f>
        <v>=Image("https://ddragon.leagueoflegends.com/cdn/11.19.1/img/champion/Yasuo.png")</v>
      </c>
      <c r="AG150" s="282" t="str">
        <f ca="1">IFERROR(__xludf.DUMMYFUNCTION("""COMPUTED_VALUE"""),"=IF(OR(REGEXMATCH(FORMULATEXT(U150);""HMOD"");NOT(P_Q&gt;0));0;U150)+IF(OR(REGEXMATCH(FORMULATEXT(V150);""HMOD"");NOT(P_W&gt;0));0;V150)+IF(OR(REGEXMATCH(FORMULATEXT(W150);""HMOD"");NOT(P_E&gt;0));0;W150)+IF(OR(REGEXMATCH(FORMULATEXT(X150);""HMOD"");NOT(P_R&gt;0));0;"&amp;"X150)+IF(REGEXMATCH(FORMULATEXT(Y150);""HMOD"");0;Y150)+Self_Proc_Item+Self_Proc_Summ+Self_Proc_Rune+3*Self_DPS")</f>
        <v>=IF(OR(REGEXMATCH(FORMULATEXT(U150);"HMOD");NOT(P_Q&gt;0));0;U150)+IF(OR(REGEXMATCH(FORMULATEXT(V150);"HMOD");NOT(P_W&gt;0));0;V150)+IF(OR(REGEXMATCH(FORMULATEXT(W150);"HMOD");NOT(P_E&gt;0));0;W150)+IF(OR(REGEXMATCH(FORMULATEXT(X150);"HMOD");NOT(P_R&gt;0));0;X150)+IF(REGEXMATCH(FORMULATEXT(Y150);"HMOD");0;Y150)+Self_Proc_Item+Self_Proc_Summ+Self_Proc_Rune+3*Self_DPS</v>
      </c>
      <c r="AH150" s="282" t="str">
        <f ca="1">IFERROR(__xludf.DUMMYFUNCTION("""COMPUTED_VALUE"""),"=0")</f>
        <v>=0</v>
      </c>
      <c r="AI150" s="282" t="b">
        <f ca="1">IFERROR(__xludf.DUMMYFUNCTION("""COMPUTED_VALUE"""),FALSE)</f>
        <v>0</v>
      </c>
      <c r="AJ150" s="283" t="b">
        <f ca="1">IFERROR(__xludf.DUMMYFUNCTION("""COMPUTED_VALUE"""),TRUE)</f>
        <v>1</v>
      </c>
    </row>
    <row r="151" spans="1:36">
      <c r="A151" s="267" t="str">
        <f ca="1">IFERROR(__xludf.DUMMYFUNCTION("""COMPUTED_VALUE"""),"Yone")</f>
        <v>Yone</v>
      </c>
      <c r="B151" s="287" t="str">
        <f ca="1">IFERROR(__xludf.DUMMYFUNCTION("""COMPUTED_VALUE"""),"=620")</f>
        <v>=620</v>
      </c>
      <c r="C151" s="287" t="str">
        <f ca="1">IFERROR(__xludf.DUMMYFUNCTION("""COMPUTED_VALUE"""),"=105")</f>
        <v>=105</v>
      </c>
      <c r="D151" s="288" t="str">
        <f ca="1">IFERROR(__xludf.DUMMYFUNCTION("""COMPUTED_VALUE"""),"=7,5")</f>
        <v>=7,5</v>
      </c>
      <c r="E151" s="289" t="str">
        <f ca="1">IFERROR(__xludf.DUMMYFUNCTION("""COMPUTED_VALUE"""),"=0,75")</f>
        <v>=0,75</v>
      </c>
      <c r="F151" s="288" t="str">
        <f ca="1">IFERROR(__xludf.DUMMYFUNCTION("""COMPUTED_VALUE"""),"=0")</f>
        <v>=0</v>
      </c>
      <c r="G151" s="288" t="str">
        <f ca="1">IFERROR(__xludf.DUMMYFUNCTION("""COMPUTED_VALUE"""),"=0")</f>
        <v>=0</v>
      </c>
      <c r="H151" s="288" t="str">
        <f ca="1">IFERROR(__xludf.DUMMYFUNCTION("""COMPUTED_VALUE"""),"=0")</f>
        <v>=0</v>
      </c>
      <c r="I151" s="289" t="str">
        <f ca="1">IFERROR(__xludf.DUMMYFUNCTION("""COMPUTED_VALUE"""),"=0")</f>
        <v>=0</v>
      </c>
      <c r="J151" s="290" t="str">
        <f ca="1">IFERROR(__xludf.DUMMYFUNCTION("""COMPUTED_VALUE"""),"=60")</f>
        <v>=60</v>
      </c>
      <c r="K151" s="288" t="str">
        <f ca="1">IFERROR(__xludf.DUMMYFUNCTION("""COMPUTED_VALUE"""),"=2")</f>
        <v>=2</v>
      </c>
      <c r="L151" s="291" t="str">
        <f ca="1">IFERROR(__xludf.DUMMYFUNCTION("""COMPUTED_VALUE"""),"=0,625")</f>
        <v>=0,625</v>
      </c>
      <c r="M151" s="291" t="str">
        <f ca="1">IFERROR(__xludf.DUMMYFUNCTION("""COMPUTED_VALUE"""),"=0,625")</f>
        <v>=0,625</v>
      </c>
      <c r="N151" s="292" t="str">
        <f ca="1">IFERROR(__xludf.DUMMYFUNCTION("""COMPUTED_VALUE"""),"=3,5%")</f>
        <v>=3,5%</v>
      </c>
      <c r="O151" s="287" t="str">
        <f ca="1">IFERROR(__xludf.DUMMYFUNCTION("""COMPUTED_VALUE"""),"=30")</f>
        <v>=30</v>
      </c>
      <c r="P151" s="287" t="str">
        <f ca="1">IFERROR(__xludf.DUMMYFUNCTION("""COMPUTED_VALUE"""),"=4,6")</f>
        <v>=4,6</v>
      </c>
      <c r="Q151" s="288" t="str">
        <f ca="1">IFERROR(__xludf.DUMMYFUNCTION("""COMPUTED_VALUE"""),"=32")</f>
        <v>=32</v>
      </c>
      <c r="R151" s="289" t="str">
        <f ca="1">IFERROR(__xludf.DUMMYFUNCTION("""COMPUTED_VALUE"""),"=2,05")</f>
        <v>=2,05</v>
      </c>
      <c r="S151" s="287" t="str">
        <f ca="1">IFERROR(__xludf.DUMMYFUNCTION("""COMPUTED_VALUE"""),"=345")</f>
        <v>=345</v>
      </c>
      <c r="T151" s="628" t="str">
        <f ca="1">IFERROR(__xludf.DUMMYFUNCTION("""COMPUTED_VALUE"""),"=175")</f>
        <v>=175</v>
      </c>
      <c r="U151" s="298" t="str">
        <f ca="1">IFERROR(__xludf.DUMMYFUNCTION("""COMPUTED_VALUE"""),"=(Self_AD * 1,05 + 20 * P_Q) * MOD_Phys * (1 + Self_Crit * (Self_CritDMG - 1)) + OH_Phys + OH_Magic * OH_True")</f>
        <v>=(Self_AD * 1,05 + 20 * P_Q) * MOD_Phys * (1 + Self_Crit * (Self_CritDMG - 1)) + OH_Phys + OH_Magic * OH_True</v>
      </c>
      <c r="V151" s="299" t="str">
        <f ca="1">IFERROR(__xludf.DUMMYFUNCTION("""COMPUTED_VALUE"""),"=(5 * P_W + (P_W * 0,005 + 0,05) * E_MHP) * (MOD_Phys + MOD_Magic)")</f>
        <v>=(5 * P_W + (P_W * 0,005 + 0,05) * E_MHP) * (MOD_Phys + MOD_Magic)</v>
      </c>
      <c r="W151" s="299" t="str">
        <f ca="1">IFERROR(__xludf.DUMMYFUNCTION("""COMPUTED_VALUE"""),"=0")</f>
        <v>=0</v>
      </c>
      <c r="X151" s="299" t="str">
        <f ca="1">IFERROR(__xludf.DUMMYFUNCTION("""COMPUTED_VALUE"""),"=(100*P_R+0,4*Self_AD)*MOD_Phys+(100*P_R+0,4*Self_AD)*MOD_Magic")</f>
        <v>=(100*P_R+0,4*Self_AD)*MOD_Phys+(100*P_R+0,4*Self_AD)*MOD_Magic</v>
      </c>
      <c r="Y151" s="300" t="str">
        <f ca="1">IFERROR(__xludf.DUMMYFUNCTION("""COMPUTED_VALUE"""),"=0")</f>
        <v>=0</v>
      </c>
      <c r="Z151" s="281" t="str">
        <f ca="1">IFERROR(__xludf.DUMMYFUNCTION("""COMPUTED_VALUE"""),"=MAX(4 - (1/3) * (Self_BoAS / 0,139375); 1,33)")</f>
        <v>=MAX(4 - (1/3) * (Self_BoAS / 0,139375); 1,33)</v>
      </c>
      <c r="AA151" s="282" t="str">
        <f ca="1">IFERROR(__xludf.DUMMYFUNCTION("""COMPUTED_VALUE"""),"=MAX(14 - (4/3) * Self_BoAS * 7,2; 6)")</f>
        <v>=MAX(14 - (4/3) * Self_BoAS * 7,2; 6)</v>
      </c>
      <c r="AB151" s="282" t="str">
        <f ca="1">IFERROR(__xludf.DUMMYFUNCTION("""COMPUTED_VALUE"""),"=25-3*P_E")</f>
        <v>=25-3*P_E</v>
      </c>
      <c r="AC151" s="282" t="str">
        <f ca="1">IFERROR(__xludf.DUMMYFUNCTION("""COMPUTED_VALUE"""),"=150-30*P_R")</f>
        <v>=150-30*P_R</v>
      </c>
      <c r="AD151" s="283" t="str">
        <f ca="1">IFERROR(__xludf.DUMMYFUNCTION("""COMPUTED_VALUE"""),"=1")</f>
        <v>=1</v>
      </c>
      <c r="AE151" s="281" t="b">
        <f ca="1">IFERROR(__xludf.DUMMYFUNCTION("""COMPUTED_VALUE"""),TRUE)</f>
        <v>1</v>
      </c>
      <c r="AF151" s="282" t="str">
        <f ca="1">IFERROR(__xludf.DUMMYFUNCTION("""COMPUTED_VALUE"""),"=Image(""https://ddragon.leagueoflegends.com/cdn/11.19.1/img/champion/Yone.png"")")</f>
        <v>=Image("https://ddragon.leagueoflegends.com/cdn/11.19.1/img/champion/Yone.png")</v>
      </c>
      <c r="AG151" s="282" t="str">
        <f ca="1">IFERROR(__xludf.DUMMYFUNCTION("""COMPUTED_VALUE"""),"=IF(OR(REGEXMATCH(FORMULATEXT(U151);""HMOD"");NOT(P_Q&gt;0));0;U151)+IF(OR(REGEXMATCH(FORMULATEXT(V151);""HMOD"");NOT(P_W&gt;0));0;V151)+IF(OR(REGEXMATCH(FORMULATEXT(W151);""HMOD"");NOT(P_E&gt;0));0;W151)+IF(OR(REGEXMATCH(FORMULATEXT(X151);""HMOD"");NOT(P_R&gt;0));0;"&amp;"X151)+IF(REGEXMATCH(FORMULATEXT(Y151);""HMOD"");0;Y151)+Self_Proc_Item+Self_Proc_Summ+Self_Proc_Rune+3*Self_DPS")</f>
        <v>=IF(OR(REGEXMATCH(FORMULATEXT(U151);"HMOD");NOT(P_Q&gt;0));0;U151)+IF(OR(REGEXMATCH(FORMULATEXT(V151);"HMOD");NOT(P_W&gt;0));0;V151)+IF(OR(REGEXMATCH(FORMULATEXT(W151);"HMOD");NOT(P_E&gt;0));0;W151)+IF(OR(REGEXMATCH(FORMULATEXT(X151);"HMOD");NOT(P_R&gt;0));0;X151)+IF(REGEXMATCH(FORMULATEXT(Y151);"HMOD");0;Y151)+Self_Proc_Item+Self_Proc_Summ+Self_Proc_Rune+3*Self_DPS</v>
      </c>
      <c r="AH151" s="282" t="str">
        <f ca="1">IFERROR(__xludf.DUMMYFUNCTION("""COMPUTED_VALUE"""),"=0")</f>
        <v>=0</v>
      </c>
      <c r="AI151" s="282" t="b">
        <f ca="1">IFERROR(__xludf.DUMMYFUNCTION("""COMPUTED_VALUE"""),FALSE)</f>
        <v>0</v>
      </c>
      <c r="AJ151" s="283" t="b">
        <f ca="1">IFERROR(__xludf.DUMMYFUNCTION("""COMPUTED_VALUE"""),TRUE)</f>
        <v>1</v>
      </c>
    </row>
    <row r="152" spans="1:36">
      <c r="A152" s="267" t="str">
        <f ca="1">IFERROR(__xludf.DUMMYFUNCTION("""COMPUTED_VALUE"""),"Yorick")</f>
        <v>Yorick</v>
      </c>
      <c r="B152" s="287" t="str">
        <f ca="1">IFERROR(__xludf.DUMMYFUNCTION("""COMPUTED_VALUE"""),"=650")</f>
        <v>=650</v>
      </c>
      <c r="C152" s="287" t="str">
        <f ca="1">IFERROR(__xludf.DUMMYFUNCTION("""COMPUTED_VALUE"""),"=114")</f>
        <v>=114</v>
      </c>
      <c r="D152" s="288" t="str">
        <f ca="1">IFERROR(__xludf.DUMMYFUNCTION("""COMPUTED_VALUE"""),"=8")</f>
        <v>=8</v>
      </c>
      <c r="E152" s="289" t="str">
        <f ca="1">IFERROR(__xludf.DUMMYFUNCTION("""COMPUTED_VALUE"""),"=0,8")</f>
        <v>=0,8</v>
      </c>
      <c r="F152" s="288" t="str">
        <f ca="1">IFERROR(__xludf.DUMMYFUNCTION("""COMPUTED_VALUE"""),"=300")</f>
        <v>=300</v>
      </c>
      <c r="G152" s="288" t="str">
        <f ca="1">IFERROR(__xludf.DUMMYFUNCTION("""COMPUTED_VALUE"""),"=60")</f>
        <v>=60</v>
      </c>
      <c r="H152" s="288" t="str">
        <f ca="1">IFERROR(__xludf.DUMMYFUNCTION("""COMPUTED_VALUE"""),"=7,5")</f>
        <v>=7,5</v>
      </c>
      <c r="I152" s="289" t="str">
        <f ca="1">IFERROR(__xludf.DUMMYFUNCTION("""COMPUTED_VALUE"""),"=0,75")</f>
        <v>=0,75</v>
      </c>
      <c r="J152" s="290" t="str">
        <f ca="1">IFERROR(__xludf.DUMMYFUNCTION("""COMPUTED_VALUE"""),"=62")</f>
        <v>=62</v>
      </c>
      <c r="K152" s="288" t="str">
        <f ca="1">IFERROR(__xludf.DUMMYFUNCTION("""COMPUTED_VALUE"""),"=5")</f>
        <v>=5</v>
      </c>
      <c r="L152" s="291" t="str">
        <f ca="1">IFERROR(__xludf.DUMMYFUNCTION("""COMPUTED_VALUE"""),"=0,625")</f>
        <v>=0,625</v>
      </c>
      <c r="M152" s="291" t="str">
        <f ca="1">IFERROR(__xludf.DUMMYFUNCTION("""COMPUTED_VALUE"""),"=0,625")</f>
        <v>=0,625</v>
      </c>
      <c r="N152" s="292" t="str">
        <f ca="1">IFERROR(__xludf.DUMMYFUNCTION("""COMPUTED_VALUE"""),"=2%")</f>
        <v>=2%</v>
      </c>
      <c r="O152" s="287" t="str">
        <f ca="1">IFERROR(__xludf.DUMMYFUNCTION("""COMPUTED_VALUE"""),"=39")</f>
        <v>=39</v>
      </c>
      <c r="P152" s="287" t="str">
        <f ca="1">IFERROR(__xludf.DUMMYFUNCTION("""COMPUTED_VALUE"""),"=5,2")</f>
        <v>=5,2</v>
      </c>
      <c r="Q152" s="288" t="str">
        <f ca="1">IFERROR(__xludf.DUMMYFUNCTION("""COMPUTED_VALUE"""),"=32")</f>
        <v>=32</v>
      </c>
      <c r="R152" s="289" t="str">
        <f ca="1">IFERROR(__xludf.DUMMYFUNCTION("""COMPUTED_VALUE"""),"=2,05")</f>
        <v>=2,05</v>
      </c>
      <c r="S152" s="287" t="str">
        <f ca="1">IFERROR(__xludf.DUMMYFUNCTION("""COMPUTED_VALUE"""),"=340")</f>
        <v>=340</v>
      </c>
      <c r="T152" s="628" t="str">
        <f ca="1">IFERROR(__xludf.DUMMYFUNCTION("""COMPUTED_VALUE"""),"=175")</f>
        <v>=175</v>
      </c>
      <c r="U152" s="295" t="str">
        <f ca="1">IFERROR(__xludf.DUMMYFUNCTION("""COMPUTED_VALUE"""),"=(1,4*Self_AD+25*P_Q+5)*MOD_Phys")</f>
        <v>=(1,4*Self_AD+25*P_Q+5)*MOD_Phys</v>
      </c>
      <c r="V152" s="296" t="str">
        <f ca="1">IFERROR(__xludf.DUMMYFUNCTION("""COMPUTED_VALUE"""),"=0")</f>
        <v>=0</v>
      </c>
      <c r="W152" s="296" t="str">
        <f ca="1">IFERROR(__xludf.DUMMYFUNCTION("""COMPUTED_VALUE"""),"=IF(0,15*E_CHPV&lt;(35+35*P_E+0,7*Self_AP);(35+35*P_E+0,7*Self_AP);0,15*E_CHPV)*MOD_Magic")</f>
        <v>=IF(0,15*E_CHPV&lt;(35+35*P_E+0,7*Self_AP);(35+35*P_E+0,7*Self_AP);0,15*E_CHPV)*MOD_Magic</v>
      </c>
      <c r="X152" s="296" t="str">
        <f ca="1">IFERROR(__xludf.DUMMYFUNCTION("""COMPUTED_VALUE"""),"=0")</f>
        <v>=0</v>
      </c>
      <c r="Y152" s="297" t="str">
        <f ca="1">IFERROR(__xludf.DUMMYFUNCTION("""COMPUTED_VALUE"""),"=0")</f>
        <v>=0</v>
      </c>
      <c r="Z152" s="281" t="str">
        <f ca="1">IFERROR(__xludf.DUMMYFUNCTION("""COMPUTED_VALUE"""),"=7,75-P_Q*0,75")</f>
        <v>=7,75-P_Q*0,75</v>
      </c>
      <c r="AA152" s="282" t="str">
        <f ca="1">IFERROR(__xludf.DUMMYFUNCTION("""COMPUTED_VALUE"""),"=22 - 2 * P_W")</f>
        <v>=22 - 2 * P_W</v>
      </c>
      <c r="AB152" s="282" t="str">
        <f ca="1">IFERROR(__xludf.DUMMYFUNCTION("""COMPUTED_VALUE"""),"=13-P_E")</f>
        <v>=13-P_E</v>
      </c>
      <c r="AC152" s="282" t="str">
        <f ca="1">IFERROR(__xludf.DUMMYFUNCTION("""COMPUTED_VALUE"""),"=190-30*P_R")</f>
        <v>=190-30*P_R</v>
      </c>
      <c r="AD152" s="283" t="str">
        <f ca="1">IFERROR(__xludf.DUMMYFUNCTION("""COMPUTED_VALUE"""),"=1")</f>
        <v>=1</v>
      </c>
      <c r="AE152" s="281" t="b">
        <f ca="1">IFERROR(__xludf.DUMMYFUNCTION("""COMPUTED_VALUE"""),TRUE)</f>
        <v>1</v>
      </c>
      <c r="AF152" s="282" t="str">
        <f ca="1">IFERROR(__xludf.DUMMYFUNCTION("""COMPUTED_VALUE"""),"=Image(""https://ddragon.leagueoflegends.com/cdn/11.19.1/img/champion/Yorick.png"")")</f>
        <v>=Image("https://ddragon.leagueoflegends.com/cdn/11.19.1/img/champion/Yorick.png")</v>
      </c>
      <c r="AG152" s="282" t="str">
        <f ca="1">IFERROR(__xludf.DUMMYFUNCTION("""COMPUTED_VALUE"""),"=IF(OR(REGEXMATCH(FORMULATEXT(U152);""HMOD"");NOT(P_Q&gt;0));0;U152)+IF(OR(REGEXMATCH(FORMULATEXT(V152);""HMOD"");NOT(P_W&gt;0));0;V152)+IF(OR(REGEXMATCH(FORMULATEXT(W152);""HMOD"");NOT(P_E&gt;0));0;W152)+IF(OR(REGEXMATCH(FORMULATEXT(X152);""HMOD"");NOT(P_R&gt;0));0;"&amp;"X152)+IF(REGEXMATCH(FORMULATEXT(Y152);""HMOD"");0;Y152)+Self_Proc_Item+Self_Proc_Summ+Self_Proc_Rune+3*Self_DPS")</f>
        <v>=IF(OR(REGEXMATCH(FORMULATEXT(U152);"HMOD");NOT(P_Q&gt;0));0;U152)+IF(OR(REGEXMATCH(FORMULATEXT(V152);"HMOD");NOT(P_W&gt;0));0;V152)+IF(OR(REGEXMATCH(FORMULATEXT(W152);"HMOD");NOT(P_E&gt;0));0;W152)+IF(OR(REGEXMATCH(FORMULATEXT(X152);"HMOD");NOT(P_R&gt;0));0;X152)+IF(REGEXMATCH(FORMULATEXT(Y152);"HMOD");0;Y152)+Self_Proc_Item+Self_Proc_Summ+Self_Proc_Rune+3*Self_DPS</v>
      </c>
      <c r="AH152" s="282" t="str">
        <f ca="1">IFERROR(__xludf.DUMMYFUNCTION("""COMPUTED_VALUE"""),"=0")</f>
        <v>=0</v>
      </c>
      <c r="AI152" s="282" t="b">
        <f ca="1">IFERROR(__xludf.DUMMYFUNCTION("""COMPUTED_VALUE"""),FALSE)</f>
        <v>0</v>
      </c>
      <c r="AJ152" s="283" t="b">
        <f ca="1">IFERROR(__xludf.DUMMYFUNCTION("""COMPUTED_VALUE"""),FALSE)</f>
        <v>0</v>
      </c>
    </row>
    <row r="153" spans="1:36">
      <c r="A153" s="267" t="str">
        <f ca="1">IFERROR(__xludf.DUMMYFUNCTION("""COMPUTED_VALUE"""),"Yuumi")</f>
        <v>Yuumi</v>
      </c>
      <c r="B153" s="287" t="str">
        <f ca="1">IFERROR(__xludf.DUMMYFUNCTION("""COMPUTED_VALUE"""),"=500")</f>
        <v>=500</v>
      </c>
      <c r="C153" s="287" t="str">
        <f ca="1">IFERROR(__xludf.DUMMYFUNCTION("""COMPUTED_VALUE"""),"=84")</f>
        <v>=84</v>
      </c>
      <c r="D153" s="288" t="str">
        <f ca="1">IFERROR(__xludf.DUMMYFUNCTION("""COMPUTED_VALUE"""),"=5")</f>
        <v>=5</v>
      </c>
      <c r="E153" s="289" t="str">
        <f ca="1">IFERROR(__xludf.DUMMYFUNCTION("""COMPUTED_VALUE"""),"=0,55")</f>
        <v>=0,55</v>
      </c>
      <c r="F153" s="288" t="str">
        <f ca="1">IFERROR(__xludf.DUMMYFUNCTION("""COMPUTED_VALUE"""),"=400")</f>
        <v>=400</v>
      </c>
      <c r="G153" s="288" t="str">
        <f ca="1">IFERROR(__xludf.DUMMYFUNCTION("""COMPUTED_VALUE"""),"=45")</f>
        <v>=45</v>
      </c>
      <c r="H153" s="288" t="str">
        <f ca="1">IFERROR(__xludf.DUMMYFUNCTION("""COMPUTED_VALUE"""),"=10")</f>
        <v>=10</v>
      </c>
      <c r="I153" s="289" t="str">
        <f ca="1">IFERROR(__xludf.DUMMYFUNCTION("""COMPUTED_VALUE"""),"=0,35")</f>
        <v>=0,35</v>
      </c>
      <c r="J153" s="290" t="str">
        <f ca="1">IFERROR(__xludf.DUMMYFUNCTION("""COMPUTED_VALUE"""),"=49")</f>
        <v>=49</v>
      </c>
      <c r="K153" s="288" t="str">
        <f ca="1">IFERROR(__xludf.DUMMYFUNCTION("""COMPUTED_VALUE"""),"=3,1")</f>
        <v>=3,1</v>
      </c>
      <c r="L153" s="291" t="str">
        <f ca="1">IFERROR(__xludf.DUMMYFUNCTION("""COMPUTED_VALUE"""),"=0,625")</f>
        <v>=0,625</v>
      </c>
      <c r="M153" s="291" t="str">
        <f ca="1">IFERROR(__xludf.DUMMYFUNCTION("""COMPUTED_VALUE"""),"=0,625")</f>
        <v>=0,625</v>
      </c>
      <c r="N153" s="292" t="str">
        <f ca="1">IFERROR(__xludf.DUMMYFUNCTION("""COMPUTED_VALUE"""),"=1%")</f>
        <v>=1%</v>
      </c>
      <c r="O153" s="287" t="str">
        <f ca="1">IFERROR(__xludf.DUMMYFUNCTION("""COMPUTED_VALUE"""),"=25")</f>
        <v>=25</v>
      </c>
      <c r="P153" s="287" t="str">
        <f ca="1">IFERROR(__xludf.DUMMYFUNCTION("""COMPUTED_VALUE"""),"=4,2")</f>
        <v>=4,2</v>
      </c>
      <c r="Q153" s="288" t="str">
        <f ca="1">IFERROR(__xludf.DUMMYFUNCTION("""COMPUTED_VALUE"""),"=25")</f>
        <v>=25</v>
      </c>
      <c r="R153" s="289" t="str">
        <f ca="1">IFERROR(__xludf.DUMMYFUNCTION("""COMPUTED_VALUE"""),"=1,1")</f>
        <v>=1,1</v>
      </c>
      <c r="S153" s="287" t="str">
        <f ca="1">IFERROR(__xludf.DUMMYFUNCTION("""COMPUTED_VALUE"""),"=330")</f>
        <v>=330</v>
      </c>
      <c r="T153" s="628" t="str">
        <f ca="1">IFERROR(__xludf.DUMMYFUNCTION("""COMPUTED_VALUE"""),"=425")</f>
        <v>=425</v>
      </c>
      <c r="U153" s="298" t="str">
        <f ca="1">IFERROR(__xludf.DUMMYFUNCTION("""COMPUTED_VALUE"""),"=IF(Steroid_Q; 25 + 55 * P_Q + 0,3 * Self_AP; 30 + 30 * P_Q + 0,2 * Self_AP) * MOD_Magic")</f>
        <v>=IF(Steroid_Q; 25 + 55 * P_Q + 0,3 * Self_AP; 30 + 30 * P_Q + 0,2 * Self_AP) * MOD_Magic</v>
      </c>
      <c r="V153" s="299" t="str">
        <f ca="1">IFERROR(__xludf.DUMMYFUNCTION("""COMPUTED_VALUE"""),"=0")</f>
        <v>=0</v>
      </c>
      <c r="W153" s="299" t="str">
        <f ca="1">IFERROR(__xludf.DUMMYFUNCTION("""COMPUTED_VALUE"""),"=(55 + 25 * P_E + 0,3 * Self_AP) * MOD_Heal")</f>
        <v>=(55 + 25 * P_E + 0,3 * Self_AP) * MOD_Heal</v>
      </c>
      <c r="X153" s="299" t="str">
        <f ca="1">IFERROR(__xludf.DUMMYFUNCTION("""COMPUTED_VALUE"""),"=IF(Steroid_R; 5; 1) * (50 + 25 * P_R + 0,2 * Self_AP) * MOD_Magic")</f>
        <v>=IF(Steroid_R; 5; 1) * (50 + 25 * P_R + 0,2 * Self_AP) * MOD_Magic</v>
      </c>
      <c r="Y153" s="300" t="str">
        <f ca="1">IFERROR(__xludf.DUMMYFUNCTION("""COMPUTED_VALUE"""),"=(25 + 85 * Sc_Lin + 0,15 * Self_AP) * MOD_Heal")</f>
        <v>=(25 + 85 * Sc_Lin + 0,15 * Self_AP) * MOD_Heal</v>
      </c>
      <c r="Z153" s="281" t="str">
        <f ca="1">IFERROR(__xludf.DUMMYFUNCTION("""COMPUTED_VALUE"""),"=6,5")</f>
        <v>=6,5</v>
      </c>
      <c r="AA153" s="282" t="str">
        <f ca="1">IFERROR(__xludf.DUMMYFUNCTION("""COMPUTED_VALUE"""),"=10-if(Self_Level&gt;=11;9;if(Self_Level&gt;=6;5;0))")</f>
        <v>=10-if(Self_Level&gt;=11;9;if(Self_Level&gt;=6;5;0))</v>
      </c>
      <c r="AB153" s="282" t="str">
        <f ca="1">IFERROR(__xludf.DUMMYFUNCTION("""COMPUTED_VALUE"""),"=12,5-0,5*P_E")</f>
        <v>=12,5-0,5*P_E</v>
      </c>
      <c r="AC153" s="282" t="str">
        <f ca="1">IFERROR(__xludf.DUMMYFUNCTION("""COMPUTED_VALUE"""),"=120-10*P_R")</f>
        <v>=120-10*P_R</v>
      </c>
      <c r="AD153" s="283" t="str">
        <f ca="1">IFERROR(__xludf.DUMMYFUNCTION("""COMPUTED_VALUE"""),"=20 - IF(Self_Level &gt; 10; 10; Self_Level - 1)")</f>
        <v>=20 - IF(Self_Level &gt; 10; 10; Self_Level - 1)</v>
      </c>
      <c r="AE153" s="281" t="b">
        <f ca="1">IFERROR(__xludf.DUMMYFUNCTION("""COMPUTED_VALUE"""),FALSE)</f>
        <v>0</v>
      </c>
      <c r="AF153" s="282" t="str">
        <f ca="1">IFERROR(__xludf.DUMMYFUNCTION("""COMPUTED_VALUE"""),"=Image(""https://ddragon.leagueoflegends.com/cdn/11.19.1/img/champion/Yuumi.png"")")</f>
        <v>=Image("https://ddragon.leagueoflegends.com/cdn/11.19.1/img/champion/Yuumi.png")</v>
      </c>
      <c r="AG153" s="282" t="str">
        <f ca="1">IFERROR(__xludf.DUMMYFUNCTION("""COMPUTED_VALUE"""),"=IF(OR(REGEXMATCH(FORMULATEXT(U153);""HMOD"");NOT(P_Q&gt;0));0;U153)+IF(OR(REGEXMATCH(FORMULATEXT(V153);""HMOD"");NOT(P_W&gt;0));0;V153)+IF(OR(REGEXMATCH(FORMULATEXT(W153);""HMOD"");NOT(P_E&gt;0));0;W153)+IF(OR(REGEXMATCH(FORMULATEXT(X153);""HMOD"");NOT(P_R&gt;0));0;"&amp;"X153)+IF(REGEXMATCH(FORMULATEXT(Y153);""HMOD"");0;Y153)+Self_Proc_Item+Self_Proc_Summ+Self_Proc_Rune+3*Self_DPS")</f>
        <v>=IF(OR(REGEXMATCH(FORMULATEXT(U153);"HMOD");NOT(P_Q&gt;0));0;U153)+IF(OR(REGEXMATCH(FORMULATEXT(V153);"HMOD");NOT(P_W&gt;0));0;V153)+IF(OR(REGEXMATCH(FORMULATEXT(W153);"HMOD");NOT(P_E&gt;0));0;W153)+IF(OR(REGEXMATCH(FORMULATEXT(X153);"HMOD");NOT(P_R&gt;0));0;X153)+IF(REGEXMATCH(FORMULATEXT(Y153);"HMOD");0;Y153)+Self_Proc_Item+Self_Proc_Summ+Self_Proc_Rune+3*Self_DPS</v>
      </c>
      <c r="AH153" s="282" t="str">
        <f ca="1">IFERROR(__xludf.DUMMYFUNCTION("""COMPUTED_VALUE"""),"=0")</f>
        <v>=0</v>
      </c>
      <c r="AI153" s="282" t="b">
        <f ca="1">IFERROR(__xludf.DUMMYFUNCTION("""COMPUTED_VALUE"""),FALSE)</f>
        <v>0</v>
      </c>
      <c r="AJ153" s="283" t="b">
        <f ca="1">IFERROR(__xludf.DUMMYFUNCTION("""COMPUTED_VALUE"""),FALSE)</f>
        <v>0</v>
      </c>
    </row>
    <row r="154" spans="1:36">
      <c r="A154" s="301" t="str">
        <f ca="1">IFERROR(__xludf.DUMMYFUNCTION("""COMPUTED_VALUE"""),"Zac")</f>
        <v>Zac</v>
      </c>
      <c r="B154" s="282" t="str">
        <f ca="1">IFERROR(__xludf.DUMMYFUNCTION("""COMPUTED_VALUE"""),"=685")</f>
        <v>=685</v>
      </c>
      <c r="C154" s="282" t="str">
        <f ca="1">IFERROR(__xludf.DUMMYFUNCTION("""COMPUTED_VALUE"""),"=109")</f>
        <v>=109</v>
      </c>
      <c r="D154" s="282" t="str">
        <f ca="1">IFERROR(__xludf.DUMMYFUNCTION("""COMPUTED_VALUE"""),"=8")</f>
        <v>=8</v>
      </c>
      <c r="E154" s="302" t="str">
        <f ca="1">IFERROR(__xludf.DUMMYFUNCTION("""COMPUTED_VALUE"""),"=0,5")</f>
        <v>=0,5</v>
      </c>
      <c r="F154" s="282" t="str">
        <f ca="1">IFERROR(__xludf.DUMMYFUNCTION("""COMPUTED_VALUE"""),"=0")</f>
        <v>=0</v>
      </c>
      <c r="G154" s="282" t="str">
        <f ca="1">IFERROR(__xludf.DUMMYFUNCTION("""COMPUTED_VALUE"""),"=0")</f>
        <v>=0</v>
      </c>
      <c r="H154" s="282" t="str">
        <f ca="1">IFERROR(__xludf.DUMMYFUNCTION("""COMPUTED_VALUE"""),"=0")</f>
        <v>=0</v>
      </c>
      <c r="I154" s="302" t="str">
        <f ca="1">IFERROR(__xludf.DUMMYFUNCTION("""COMPUTED_VALUE"""),"=0")</f>
        <v>=0</v>
      </c>
      <c r="J154" s="303" t="str">
        <f ca="1">IFERROR(__xludf.DUMMYFUNCTION("""COMPUTED_VALUE"""),"=60")</f>
        <v>=60</v>
      </c>
      <c r="K154" s="282" t="str">
        <f ca="1">IFERROR(__xludf.DUMMYFUNCTION("""COMPUTED_VALUE"""),"=3,4")</f>
        <v>=3,4</v>
      </c>
      <c r="L154" s="304" t="str">
        <f ca="1">IFERROR(__xludf.DUMMYFUNCTION("""COMPUTED_VALUE"""),"=0,736")</f>
        <v>=0,736</v>
      </c>
      <c r="M154" s="304" t="str">
        <f ca="1">IFERROR(__xludf.DUMMYFUNCTION("""COMPUTED_VALUE"""),"=0,638")</f>
        <v>=0,638</v>
      </c>
      <c r="N154" s="305" t="str">
        <f ca="1">IFERROR(__xludf.DUMMYFUNCTION("""COMPUTED_VALUE"""),"=1,6%")</f>
        <v>=1,6%</v>
      </c>
      <c r="O154" s="288" t="str">
        <f ca="1">IFERROR(__xludf.DUMMYFUNCTION("""COMPUTED_VALUE"""),"=33")</f>
        <v>=33</v>
      </c>
      <c r="P154" s="282" t="str">
        <f ca="1">IFERROR(__xludf.DUMMYFUNCTION("""COMPUTED_VALUE"""),"=4,7")</f>
        <v>=4,7</v>
      </c>
      <c r="Q154" s="282" t="str">
        <f ca="1">IFERROR(__xludf.DUMMYFUNCTION("""COMPUTED_VALUE"""),"=32")</f>
        <v>=32</v>
      </c>
      <c r="R154" s="302" t="str">
        <f ca="1">IFERROR(__xludf.DUMMYFUNCTION("""COMPUTED_VALUE"""),"=2,05")</f>
        <v>=2,05</v>
      </c>
      <c r="S154" s="282" t="str">
        <f ca="1">IFERROR(__xludf.DUMMYFUNCTION("""COMPUTED_VALUE"""),"=340")</f>
        <v>=340</v>
      </c>
      <c r="T154" s="283" t="str">
        <f ca="1">IFERROR(__xludf.DUMMYFUNCTION("""COMPUTED_VALUE"""),"=175")</f>
        <v>=175</v>
      </c>
      <c r="U154" s="295" t="str">
        <f ca="1">IFERROR(__xludf.DUMMYFUNCTION("""COMPUTED_VALUE"""),"=(0,6*Self_AP+30*P_Q+50+0,08*Self_MHP)*MOD_Magic")</f>
        <v>=(0,6*Self_AP+30*P_Q+50+0,08*Self_MHP)*MOD_Magic</v>
      </c>
      <c r="V154" s="296" t="str">
        <f ca="1">IFERROR(__xludf.DUMMYFUNCTION("""COMPUTED_VALUE"""),"=(20 + 15 * P_W + (0,03 + 0,01 * P_W + 0,0003 * Self_AP) * E_MHP) * MOD_Magic")</f>
        <v>=(20 + 15 * P_W + (0,03 + 0,01 * P_W + 0,0003 * Self_AP) * E_MHP) * MOD_Magic</v>
      </c>
      <c r="W154" s="296" t="str">
        <f ca="1">IFERROR(__xludf.DUMMYFUNCTION("""COMPUTED_VALUE"""),"=(0,8 * Self_AP + 50 * P_E + 10) * MOD_Magic")</f>
        <v>=(0,8 * Self_AP + 50 * P_E + 10) * MOD_Magic</v>
      </c>
      <c r="X154" s="296" t="str">
        <f ca="1">IFERROR(__xludf.DUMMYFUNCTION("""COMPUTED_VALUE"""),"=IF(Steroid_R;2,5;1)*(0,4*Self_AP+70*P_R+70)*MOD_Magic")</f>
        <v>=IF(Steroid_R;2,5;1)*(0,4*Self_AP+70*P_R+70)*MOD_Magic</v>
      </c>
      <c r="Y154" s="297" t="str">
        <f ca="1">IFERROR(__xludf.DUMMYFUNCTION("""COMPUTED_VALUE"""),"=0")</f>
        <v>=0</v>
      </c>
      <c r="Z154" s="281" t="str">
        <f ca="1">IFERROR(__xludf.DUMMYFUNCTION("""COMPUTED_VALUE"""),"=15,5- 1,5 * P_Q")</f>
        <v>=15,5- 1,5 * P_Q</v>
      </c>
      <c r="AA154" s="282" t="str">
        <f ca="1">IFERROR(__xludf.DUMMYFUNCTION("""COMPUTED_VALUE"""),"=5")</f>
        <v>=5</v>
      </c>
      <c r="AB154" s="282" t="str">
        <f ca="1">IFERROR(__xludf.DUMMYFUNCTION("""COMPUTED_VALUE"""),"=27-3*P_E")</f>
        <v>=27-3*P_E</v>
      </c>
      <c r="AC154" s="282" t="str">
        <f ca="1">IFERROR(__xludf.DUMMYFUNCTION("""COMPUTED_VALUE"""),"=145 - 15 * P_R")</f>
        <v>=145 - 15 * P_R</v>
      </c>
      <c r="AD154" s="283" t="str">
        <f ca="1">IFERROR(__xludf.DUMMYFUNCTION("""COMPUTED_VALUE"""),"=300")</f>
        <v>=300</v>
      </c>
      <c r="AE154" s="281" t="b">
        <f ca="1">IFERROR(__xludf.DUMMYFUNCTION("""COMPUTED_VALUE"""),TRUE)</f>
        <v>1</v>
      </c>
      <c r="AF154" s="282" t="str">
        <f ca="1">IFERROR(__xludf.DUMMYFUNCTION("""COMPUTED_VALUE"""),"=Image(""https://ddragon.leagueoflegends.com/cdn/11.19.1/img/champion/Zac.png"")")</f>
        <v>=Image("https://ddragon.leagueoflegends.com/cdn/11.19.1/img/champion/Zac.png")</v>
      </c>
      <c r="AG154" s="282" t="str">
        <f ca="1">IFERROR(__xludf.DUMMYFUNCTION("""COMPUTED_VALUE"""),"=IF(OR(REGEXMATCH(FORMULATEXT(U154);""HMOD"");NOT(P_Q&gt;0));0;U154)+IF(OR(REGEXMATCH(FORMULATEXT(V154);""HMOD"");NOT(P_W&gt;0));0;V154)+IF(OR(REGEXMATCH(FORMULATEXT(W154);""HMOD"");NOT(P_E&gt;0));0;W154)+IF(OR(REGEXMATCH(FORMULATEXT(X154);""HMOD"");NOT(P_R&gt;0));0;"&amp;"X154)+IF(REGEXMATCH(FORMULATEXT(Y154);""HMOD"");0;Y154)+Self_Proc_Item+Self_Proc_Summ+Self_Proc_Rune+3*Self_DPS")</f>
        <v>=IF(OR(REGEXMATCH(FORMULATEXT(U154);"HMOD");NOT(P_Q&gt;0));0;U154)+IF(OR(REGEXMATCH(FORMULATEXT(V154);"HMOD");NOT(P_W&gt;0));0;V154)+IF(OR(REGEXMATCH(FORMULATEXT(W154);"HMOD");NOT(P_E&gt;0));0;W154)+IF(OR(REGEXMATCH(FORMULATEXT(X154);"HMOD");NOT(P_R&gt;0));0;X154)+IF(REGEXMATCH(FORMULATEXT(Y154);"HMOD");0;Y154)+Self_Proc_Item+Self_Proc_Summ+Self_Proc_Rune+3*Self_DPS</v>
      </c>
      <c r="AH154" s="282" t="str">
        <f ca="1">IFERROR(__xludf.DUMMYFUNCTION("""COMPUTED_VALUE"""),"=0")</f>
        <v>=0</v>
      </c>
      <c r="AI154" s="282" t="b">
        <f ca="1">IFERROR(__xludf.DUMMYFUNCTION("""COMPUTED_VALUE"""),FALSE)</f>
        <v>0</v>
      </c>
      <c r="AJ154" s="283" t="b">
        <f ca="1">IFERROR(__xludf.DUMMYFUNCTION("""COMPUTED_VALUE"""),TRUE)</f>
        <v>1</v>
      </c>
    </row>
    <row r="155" spans="1:36">
      <c r="A155" s="301" t="str">
        <f ca="1">IFERROR(__xludf.DUMMYFUNCTION("""COMPUTED_VALUE"""),"Zed")</f>
        <v>Zed</v>
      </c>
      <c r="B155" s="282" t="str">
        <f ca="1">IFERROR(__xludf.DUMMYFUNCTION("""COMPUTED_VALUE"""),"=654")</f>
        <v>=654</v>
      </c>
      <c r="C155" s="282" t="str">
        <f ca="1">IFERROR(__xludf.DUMMYFUNCTION("""COMPUTED_VALUE"""),"=99")</f>
        <v>=99</v>
      </c>
      <c r="D155" s="282" t="str">
        <f ca="1">IFERROR(__xludf.DUMMYFUNCTION("""COMPUTED_VALUE"""),"=6,5")</f>
        <v>=6,5</v>
      </c>
      <c r="E155" s="302" t="str">
        <f ca="1">IFERROR(__xludf.DUMMYFUNCTION("""COMPUTED_VALUE"""),"=0,65")</f>
        <v>=0,65</v>
      </c>
      <c r="F155" s="282" t="str">
        <f ca="1">IFERROR(__xludf.DUMMYFUNCTION("""COMPUTED_VALUE"""),"=200")</f>
        <v>=200</v>
      </c>
      <c r="G155" s="282" t="str">
        <f ca="1">IFERROR(__xludf.DUMMYFUNCTION("""COMPUTED_VALUE"""),"=0")</f>
        <v>=0</v>
      </c>
      <c r="H155" s="282" t="str">
        <f ca="1">IFERROR(__xludf.DUMMYFUNCTION("""COMPUTED_VALUE"""),"=50")</f>
        <v>=50</v>
      </c>
      <c r="I155" s="302" t="str">
        <f ca="1">IFERROR(__xludf.DUMMYFUNCTION("""COMPUTED_VALUE"""),"=0")</f>
        <v>=0</v>
      </c>
      <c r="J155" s="303" t="str">
        <f ca="1">IFERROR(__xludf.DUMMYFUNCTION("""COMPUTED_VALUE"""),"=63")</f>
        <v>=63</v>
      </c>
      <c r="K155" s="282" t="str">
        <f ca="1">IFERROR(__xludf.DUMMYFUNCTION("""COMPUTED_VALUE"""),"=3,4")</f>
        <v>=3,4</v>
      </c>
      <c r="L155" s="304" t="str">
        <f ca="1">IFERROR(__xludf.DUMMYFUNCTION("""COMPUTED_VALUE"""),"=0,651")</f>
        <v>=0,651</v>
      </c>
      <c r="M155" s="304" t="str">
        <f ca="1">IFERROR(__xludf.DUMMYFUNCTION("""COMPUTED_VALUE"""),"=0,651")</f>
        <v>=0,651</v>
      </c>
      <c r="N155" s="305" t="str">
        <f ca="1">IFERROR(__xludf.DUMMYFUNCTION("""COMPUTED_VALUE"""),"=3,3%")</f>
        <v>=3,3%</v>
      </c>
      <c r="O155" s="288" t="str">
        <f ca="1">IFERROR(__xludf.DUMMYFUNCTION("""COMPUTED_VALUE"""),"=32")</f>
        <v>=32</v>
      </c>
      <c r="P155" s="282" t="str">
        <f ca="1">IFERROR(__xludf.DUMMYFUNCTION("""COMPUTED_VALUE"""),"=4,7")</f>
        <v>=4,7</v>
      </c>
      <c r="Q155" s="282" t="str">
        <f ca="1">IFERROR(__xludf.DUMMYFUNCTION("""COMPUTED_VALUE"""),"=29")</f>
        <v>=29</v>
      </c>
      <c r="R155" s="302" t="str">
        <f ca="1">IFERROR(__xludf.DUMMYFUNCTION("""COMPUTED_VALUE"""),"=2,05")</f>
        <v>=2,05</v>
      </c>
      <c r="S155" s="282" t="str">
        <f ca="1">IFERROR(__xludf.DUMMYFUNCTION("""COMPUTED_VALUE"""),"=345")</f>
        <v>=345</v>
      </c>
      <c r="T155" s="283" t="str">
        <f ca="1">IFERROR(__xludf.DUMMYFUNCTION("""COMPUTED_VALUE"""),"=125")</f>
        <v>=125</v>
      </c>
      <c r="U155" s="281" t="str">
        <f ca="1">IFERROR(__xludf.DUMMYFUNCTION("""COMPUTED_VALUE"""),"=(Self_BoAD * 1,1 + 35 * P_Q + 35) * MOD_Phys")</f>
        <v>=(Self_BoAD * 1,1 + 35 * P_Q + 35) * MOD_Phys</v>
      </c>
      <c r="V155" s="282" t="str">
        <f ca="1">IFERROR(__xludf.DUMMYFUNCTION("""COMPUTED_VALUE"""),"=0")</f>
        <v>=0</v>
      </c>
      <c r="W155" s="282" t="str">
        <f ca="1">IFERROR(__xludf.DUMMYFUNCTION("""COMPUTED_VALUE"""),"=(0,65 * Self_BoAD + 20 * P_E + 45) * MOD_Phys")</f>
        <v>=(0,65 * Self_BoAD + 20 * P_E + 45) * MOD_Phys</v>
      </c>
      <c r="X155" s="282" t="str">
        <f ca="1">IFERROR(__xludf.DUMMYFUNCTION("""COMPUTED_VALUE"""),"=(Self_AD * 0,65 + (Self_AD + U155 + W155) * (0,1 + 0,15 * P_R))")</f>
        <v>=(Self_AD * 0,65 + (Self_AD + U155 + W155) * (0,1 + 0,15 * P_R))</v>
      </c>
      <c r="Y155" s="283" t="str">
        <f ca="1">IFERROR(__xludf.DUMMYFUNCTION("""COMPUTED_VALUE"""),"=(IF(Self_Level&gt;=17;0,1;IF(Self_Level&gt;=7;0,08;0,06))*E_MHP)*MOD_Magic")</f>
        <v>=(IF(Self_Level&gt;=17;0,1;IF(Self_Level&gt;=7;0,08;0,06))*E_MHP)*MOD_Magic</v>
      </c>
      <c r="Z155" s="281" t="str">
        <f ca="1">IFERROR(__xludf.DUMMYFUNCTION("""COMPUTED_VALUE"""),"=6")</f>
        <v>=6</v>
      </c>
      <c r="AA155" s="282" t="str">
        <f ca="1">IFERROR(__xludf.DUMMYFUNCTION("""COMPUTED_VALUE"""),"=21,5 - 1,5*P_W")</f>
        <v>=21,5 - 1,5*P_W</v>
      </c>
      <c r="AB155" s="282" t="str">
        <f ca="1">IFERROR(__xludf.DUMMYFUNCTION("""COMPUTED_VALUE"""),"=5,5-0,5*P_E")</f>
        <v>=5,5-0,5*P_E</v>
      </c>
      <c r="AC155" s="282" t="str">
        <f ca="1">IFERROR(__xludf.DUMMYFUNCTION("""COMPUTED_VALUE"""),"=140 - 20 * P_R")</f>
        <v>=140 - 20 * P_R</v>
      </c>
      <c r="AD155" s="283" t="str">
        <f ca="1">IFERROR(__xludf.DUMMYFUNCTION("""COMPUTED_VALUE"""),"=1")</f>
        <v>=1</v>
      </c>
      <c r="AE155" s="281" t="b">
        <f ca="1">IFERROR(__xludf.DUMMYFUNCTION("""COMPUTED_VALUE"""),TRUE)</f>
        <v>1</v>
      </c>
      <c r="AF155" s="282" t="str">
        <f ca="1">IFERROR(__xludf.DUMMYFUNCTION("""COMPUTED_VALUE"""),"=Image(""https://ddragon.leagueoflegends.com/cdn/11.19.1/img/champion/Zed.png"")")</f>
        <v>=Image("https://ddragon.leagueoflegends.com/cdn/11.19.1/img/champion/Zed.png")</v>
      </c>
      <c r="AG155" s="282" t="str">
        <f ca="1">IFERROR(__xludf.DUMMYFUNCTION("""COMPUTED_VALUE"""),"=IF(OR(REGEXMATCH(FORMULATEXT(U155);""HMOD"");NOT(P_Q&gt;0));0;U155)+IF(OR(REGEXMATCH(FORMULATEXT(V155);""HMOD"");NOT(P_W&gt;0));0;V155)+IF(OR(REGEXMATCH(FORMULATEXT(W155);""HMOD"");NOT(P_E&gt;0));0;W155)+IF(OR(REGEXMATCH(FORMULATEXT(X155);""HMOD"");NOT(P_R&gt;0));0;"&amp;"X155)+IF(REGEXMATCH(FORMULATEXT(Y155);""HMOD"");0;Y155)+Self_Proc_Item+Self_Proc_Summ+Self_Proc_Rune+3*Self_DPS")</f>
        <v>=IF(OR(REGEXMATCH(FORMULATEXT(U155);"HMOD");NOT(P_Q&gt;0));0;U155)+IF(OR(REGEXMATCH(FORMULATEXT(V155);"HMOD");NOT(P_W&gt;0));0;V155)+IF(OR(REGEXMATCH(FORMULATEXT(W155);"HMOD");NOT(P_E&gt;0));0;W155)+IF(OR(REGEXMATCH(FORMULATEXT(X155);"HMOD");NOT(P_R&gt;0));0;X155)+IF(REGEXMATCH(FORMULATEXT(Y155);"HMOD");0;Y155)+Self_Proc_Item+Self_Proc_Summ+Self_Proc_Rune+3*Self_DPS</v>
      </c>
      <c r="AH155" s="282" t="str">
        <f ca="1">IFERROR(__xludf.DUMMYFUNCTION("""COMPUTED_VALUE"""),"=0")</f>
        <v>=0</v>
      </c>
      <c r="AI155" s="282" t="b">
        <f ca="1">IFERROR(__xludf.DUMMYFUNCTION("""COMPUTED_VALUE"""),TRUE)</f>
        <v>1</v>
      </c>
      <c r="AJ155" s="283" t="b">
        <f ca="1">IFERROR(__xludf.DUMMYFUNCTION("""COMPUTED_VALUE"""),FALSE)</f>
        <v>0</v>
      </c>
    </row>
    <row r="156" spans="1:36">
      <c r="A156" s="301" t="str">
        <f ca="1">IFERROR(__xludf.DUMMYFUNCTION("""COMPUTED_VALUE"""),"Ziggs")</f>
        <v>Ziggs</v>
      </c>
      <c r="B156" s="282" t="str">
        <f ca="1">IFERROR(__xludf.DUMMYFUNCTION("""COMPUTED_VALUE"""),"=606")</f>
        <v>=606</v>
      </c>
      <c r="C156" s="282" t="str">
        <f ca="1">IFERROR(__xludf.DUMMYFUNCTION("""COMPUTED_VALUE"""),"=106")</f>
        <v>=106</v>
      </c>
      <c r="D156" s="282" t="str">
        <f ca="1">IFERROR(__xludf.DUMMYFUNCTION("""COMPUTED_VALUE"""),"=6,5")</f>
        <v>=6,5</v>
      </c>
      <c r="E156" s="302" t="str">
        <f ca="1">IFERROR(__xludf.DUMMYFUNCTION("""COMPUTED_VALUE"""),"=0,6")</f>
        <v>=0,6</v>
      </c>
      <c r="F156" s="282" t="str">
        <f ca="1">IFERROR(__xludf.DUMMYFUNCTION("""COMPUTED_VALUE"""),"=480")</f>
        <v>=480</v>
      </c>
      <c r="G156" s="282" t="str">
        <f ca="1">IFERROR(__xludf.DUMMYFUNCTION("""COMPUTED_VALUE"""),"=23,5")</f>
        <v>=23,5</v>
      </c>
      <c r="H156" s="282" t="str">
        <f ca="1">IFERROR(__xludf.DUMMYFUNCTION("""COMPUTED_VALUE"""),"=8")</f>
        <v>=8</v>
      </c>
      <c r="I156" s="302" t="str">
        <f ca="1">IFERROR(__xludf.DUMMYFUNCTION("""COMPUTED_VALUE"""),"=0,8")</f>
        <v>=0,8</v>
      </c>
      <c r="J156" s="303" t="str">
        <f ca="1">IFERROR(__xludf.DUMMYFUNCTION("""COMPUTED_VALUE"""),"=54")</f>
        <v>=54</v>
      </c>
      <c r="K156" s="282" t="str">
        <f ca="1">IFERROR(__xludf.DUMMYFUNCTION("""COMPUTED_VALUE"""),"=3,1")</f>
        <v>=3,1</v>
      </c>
      <c r="L156" s="304" t="str">
        <f ca="1">IFERROR(__xludf.DUMMYFUNCTION("""COMPUTED_VALUE"""),"=0,656")</f>
        <v>=0,656</v>
      </c>
      <c r="M156" s="304" t="str">
        <f ca="1">IFERROR(__xludf.DUMMYFUNCTION("""COMPUTED_VALUE"""),"=0,656")</f>
        <v>=0,656</v>
      </c>
      <c r="N156" s="305" t="str">
        <f ca="1">IFERROR(__xludf.DUMMYFUNCTION("""COMPUTED_VALUE"""),"=2%")</f>
        <v>=2%</v>
      </c>
      <c r="O156" s="288" t="str">
        <f ca="1">IFERROR(__xludf.DUMMYFUNCTION("""COMPUTED_VALUE"""),"=22")</f>
        <v>=22</v>
      </c>
      <c r="P156" s="282" t="str">
        <f ca="1">IFERROR(__xludf.DUMMYFUNCTION("""COMPUTED_VALUE"""),"=4,5")</f>
        <v>=4,5</v>
      </c>
      <c r="Q156" s="282" t="str">
        <f ca="1">IFERROR(__xludf.DUMMYFUNCTION("""COMPUTED_VALUE"""),"=30")</f>
        <v>=30</v>
      </c>
      <c r="R156" s="302" t="str">
        <f ca="1">IFERROR(__xludf.DUMMYFUNCTION("""COMPUTED_VALUE"""),"=1,3")</f>
        <v>=1,3</v>
      </c>
      <c r="S156" s="282" t="str">
        <f ca="1">IFERROR(__xludf.DUMMYFUNCTION("""COMPUTED_VALUE"""),"=325")</f>
        <v>=325</v>
      </c>
      <c r="T156" s="283" t="str">
        <f ca="1">IFERROR(__xludf.DUMMYFUNCTION("""COMPUTED_VALUE"""),"=550")</f>
        <v>=550</v>
      </c>
      <c r="U156" s="281" t="str">
        <f ca="1">IFERROR(__xludf.DUMMYFUNCTION("""COMPUTED_VALUE"""),"=(0,65 * Self_AP + 50 * P_Q + 45) * MOD_Magic")</f>
        <v>=(0,65 * Self_AP + 50 * P_Q + 45) * MOD_Magic</v>
      </c>
      <c r="V156" s="282" t="str">
        <f ca="1">IFERROR(__xludf.DUMMYFUNCTION("""COMPUTED_VALUE"""),"=(0,5*Self_AP+35*P_W+35)*MOD_Magic")</f>
        <v>=(0,5*Self_AP+35*P_W+35)*MOD_Magic</v>
      </c>
      <c r="W156" s="282" t="str">
        <f ca="1">IFERROR(__xludf.DUMMYFUNCTION("""COMPUTED_VALUE"""),"=(0,3 * Self_AP + 40 * P_E - 10) * MOD_Magic * IF(Steroid_E; 5; 1)")</f>
        <v>=(0,3 * Self_AP + 40 * P_E - 10) * MOD_Magic * IF(Steroid_E; 5; 1)</v>
      </c>
      <c r="X156" s="282" t="str">
        <f ca="1">IFERROR(__xludf.DUMMYFUNCTION("""COMPUTED_VALUE"""),"=(1,1*Self_AP+150*P_R+150)*MOD_Magic")</f>
        <v>=(1,1*Self_AP+150*P_R+150)*MOD_Magic</v>
      </c>
      <c r="Y156" s="283" t="str">
        <f ca="1">IFERROR(__xludf.DUMMYFUNCTION("""COMPUTED_VALUE"""),"=(0,5*Self_AP+16+4*Self_Level+IF(Self_Level&gt;6;2*(Self_Level-6);0)+IF(Self_Level&gt;12;4*(Self_Level-12);0))*MOD_Magic")</f>
        <v>=(0,5*Self_AP+16+4*Self_Level+IF(Self_Level&gt;6;2*(Self_Level-6);0)+IF(Self_Level&gt;12;4*(Self_Level-12);0))*MOD_Magic</v>
      </c>
      <c r="Z156" s="281" t="str">
        <f ca="1">IFERROR(__xludf.DUMMYFUNCTION("""COMPUTED_VALUE"""),"=6,5 - 0,5 * P_Q")</f>
        <v>=6,5 - 0,5 * P_Q</v>
      </c>
      <c r="AA156" s="282" t="str">
        <f ca="1">IFERROR(__xludf.DUMMYFUNCTION("""COMPUTED_VALUE"""),"=22 - 2 * P_W")</f>
        <v>=22 - 2 * P_W</v>
      </c>
      <c r="AB156" s="282" t="str">
        <f ca="1">IFERROR(__xludf.DUMMYFUNCTION("""COMPUTED_VALUE"""),"=16")</f>
        <v>=16</v>
      </c>
      <c r="AC156" s="282" t="str">
        <f ca="1">IFERROR(__xludf.DUMMYFUNCTION("""COMPUTED_VALUE"""),"=155-35*P_R")</f>
        <v>=155-35*P_R</v>
      </c>
      <c r="AD156" s="283" t="str">
        <f ca="1">IFERROR(__xludf.DUMMYFUNCTION("""COMPUTED_VALUE"""),"=12")</f>
        <v>=12</v>
      </c>
      <c r="AE156" s="281" t="b">
        <f ca="1">IFERROR(__xludf.DUMMYFUNCTION("""COMPUTED_VALUE"""),FALSE)</f>
        <v>0</v>
      </c>
      <c r="AF156" s="282" t="str">
        <f ca="1">IFERROR(__xludf.DUMMYFUNCTION("""COMPUTED_VALUE"""),"=Image(""https://ddragon.leagueoflegends.com/cdn/11.19.1/img/champion/Ziggs.png"")")</f>
        <v>=Image("https://ddragon.leagueoflegends.com/cdn/11.19.1/img/champion/Ziggs.png")</v>
      </c>
      <c r="AG156" s="282" t="str">
        <f ca="1">IFERROR(__xludf.DUMMYFUNCTION("""COMPUTED_VALUE"""),"=IF(OR(REGEXMATCH(FORMULATEXT(U156);""HMOD"");NOT(P_Q&gt;0));0;U156)+IF(OR(REGEXMATCH(FORMULATEXT(V156);""HMOD"");NOT(P_W&gt;0));0;V156)+IF(OR(REGEXMATCH(FORMULATEXT(W156);""HMOD"");NOT(P_E&gt;0));0;W156)+IF(OR(REGEXMATCH(FORMULATEXT(X156);""HMOD"");NOT(P_R&gt;0));0;"&amp;"X156)+IF(REGEXMATCH(FORMULATEXT(Y156);""HMOD"");0;Y156)+Self_Proc_Item+Self_Proc_Summ+Self_Proc_Rune+3*Self_DPS")</f>
        <v>=IF(OR(REGEXMATCH(FORMULATEXT(U156);"HMOD");NOT(P_Q&gt;0));0;U156)+IF(OR(REGEXMATCH(FORMULATEXT(V156);"HMOD");NOT(P_W&gt;0));0;V156)+IF(OR(REGEXMATCH(FORMULATEXT(W156);"HMOD");NOT(P_E&gt;0));0;W156)+IF(OR(REGEXMATCH(FORMULATEXT(X156);"HMOD");NOT(P_R&gt;0));0;X156)+IF(REGEXMATCH(FORMULATEXT(Y156);"HMOD");0;Y156)+Self_Proc_Item+Self_Proc_Summ+Self_Proc_Rune+3*Self_DPS</v>
      </c>
      <c r="AH156" s="282" t="str">
        <f ca="1">IFERROR(__xludf.DUMMYFUNCTION("""COMPUTED_VALUE"""),"=0")</f>
        <v>=0</v>
      </c>
      <c r="AI156" s="282" t="b">
        <f ca="1">IFERROR(__xludf.DUMMYFUNCTION("""COMPUTED_VALUE"""),FALSE)</f>
        <v>0</v>
      </c>
      <c r="AJ156" s="283" t="b">
        <f ca="1">IFERROR(__xludf.DUMMYFUNCTION("""COMPUTED_VALUE"""),FALSE)</f>
        <v>0</v>
      </c>
    </row>
    <row r="157" spans="1:36">
      <c r="A157" s="301" t="str">
        <f ca="1">IFERROR(__xludf.DUMMYFUNCTION("""COMPUTED_VALUE"""),"Zilean")</f>
        <v>Zilean</v>
      </c>
      <c r="B157" s="282" t="str">
        <f ca="1">IFERROR(__xludf.DUMMYFUNCTION("""COMPUTED_VALUE"""),"=574")</f>
        <v>=574</v>
      </c>
      <c r="C157" s="282" t="str">
        <f ca="1">IFERROR(__xludf.DUMMYFUNCTION("""COMPUTED_VALUE"""),"=96")</f>
        <v>=96</v>
      </c>
      <c r="D157" s="282" t="str">
        <f ca="1">IFERROR(__xludf.DUMMYFUNCTION("""COMPUTED_VALUE"""),"=5,5")</f>
        <v>=5,5</v>
      </c>
      <c r="E157" s="302" t="str">
        <f ca="1">IFERROR(__xludf.DUMMYFUNCTION("""COMPUTED_VALUE"""),"=0,5")</f>
        <v>=0,5</v>
      </c>
      <c r="F157" s="282" t="str">
        <f ca="1">IFERROR(__xludf.DUMMYFUNCTION("""COMPUTED_VALUE"""),"=452")</f>
        <v>=452</v>
      </c>
      <c r="G157" s="282" t="str">
        <f ca="1">IFERROR(__xludf.DUMMYFUNCTION("""COMPUTED_VALUE"""),"=50")</f>
        <v>=50</v>
      </c>
      <c r="H157" s="282" t="str">
        <f ca="1">IFERROR(__xludf.DUMMYFUNCTION("""COMPUTED_VALUE"""),"=11,335")</f>
        <v>=11,335</v>
      </c>
      <c r="I157" s="302" t="str">
        <f ca="1">IFERROR(__xludf.DUMMYFUNCTION("""COMPUTED_VALUE"""),"=0,8")</f>
        <v>=0,8</v>
      </c>
      <c r="J157" s="303" t="str">
        <f ca="1">IFERROR(__xludf.DUMMYFUNCTION("""COMPUTED_VALUE"""),"=52")</f>
        <v>=52</v>
      </c>
      <c r="K157" s="282" t="str">
        <f ca="1">IFERROR(__xludf.DUMMYFUNCTION("""COMPUTED_VALUE"""),"=3")</f>
        <v>=3</v>
      </c>
      <c r="L157" s="304" t="str">
        <f ca="1">IFERROR(__xludf.DUMMYFUNCTION("""COMPUTED_VALUE"""),"=0,625")</f>
        <v>=0,625</v>
      </c>
      <c r="M157" s="304" t="str">
        <f ca="1">IFERROR(__xludf.DUMMYFUNCTION("""COMPUTED_VALUE"""),"=0,625")</f>
        <v>=0,625</v>
      </c>
      <c r="N157" s="305" t="str">
        <f ca="1">IFERROR(__xludf.DUMMYFUNCTION("""COMPUTED_VALUE"""),"=2,13%")</f>
        <v>=2,13%</v>
      </c>
      <c r="O157" s="288" t="str">
        <f ca="1">IFERROR(__xludf.DUMMYFUNCTION("""COMPUTED_VALUE"""),"=24")</f>
        <v>=24</v>
      </c>
      <c r="P157" s="282" t="str">
        <f ca="1">IFERROR(__xludf.DUMMYFUNCTION("""COMPUTED_VALUE"""),"=5")</f>
        <v>=5</v>
      </c>
      <c r="Q157" s="282" t="str">
        <f ca="1">IFERROR(__xludf.DUMMYFUNCTION("""COMPUTED_VALUE"""),"=30")</f>
        <v>=30</v>
      </c>
      <c r="R157" s="302" t="str">
        <f ca="1">IFERROR(__xludf.DUMMYFUNCTION("""COMPUTED_VALUE"""),"=1,3")</f>
        <v>=1,3</v>
      </c>
      <c r="S157" s="282" t="str">
        <f ca="1">IFERROR(__xludf.DUMMYFUNCTION("""COMPUTED_VALUE"""),"=335")</f>
        <v>=335</v>
      </c>
      <c r="T157" s="283" t="str">
        <f ca="1">IFERROR(__xludf.DUMMYFUNCTION("""COMPUTED_VALUE"""),"=550")</f>
        <v>=550</v>
      </c>
      <c r="U157" s="310" t="str">
        <f ca="1">IFERROR(__xludf.DUMMYFUNCTION("""COMPUTED_VALUE"""),"=(0,9*Self_AP+55*P_Q+25)*MOD_Magic")</f>
        <v>=(0,9*Self_AP+55*P_Q+25)*MOD_Magic</v>
      </c>
      <c r="V157" s="311" t="str">
        <f ca="1">IFERROR(__xludf.DUMMYFUNCTION("""COMPUTED_VALUE"""),"=0")</f>
        <v>=0</v>
      </c>
      <c r="W157" s="282" t="str">
        <f ca="1">IFERROR(__xludf.DUMMYFUNCTION("""COMPUTED_VALUE"""),"=0")</f>
        <v>=0</v>
      </c>
      <c r="X157" s="282" t="str">
        <f ca="1">IFERROR(__xludf.DUMMYFUNCTION("""COMPUTED_VALUE"""),"=(2*Self_AP+250*P_R+350)")</f>
        <v>=(2*Self_AP+250*P_R+350)</v>
      </c>
      <c r="Y157" s="283" t="str">
        <f ca="1">IFERROR(__xludf.DUMMYFUNCTION("""COMPUTED_VALUE"""),"=0")</f>
        <v>=0</v>
      </c>
      <c r="Z157" s="281" t="str">
        <f ca="1">IFERROR(__xludf.DUMMYFUNCTION("""COMPUTED_VALUE"""),"=10,5-0,5*P_Q")</f>
        <v>=10,5-0,5*P_Q</v>
      </c>
      <c r="AA157" s="282" t="str">
        <f ca="1">IFERROR(__xludf.DUMMYFUNCTION("""COMPUTED_VALUE"""),"=16-2*P_W")</f>
        <v>=16-2*P_W</v>
      </c>
      <c r="AB157" s="282" t="str">
        <f ca="1">IFERROR(__xludf.DUMMYFUNCTION("""COMPUTED_VALUE"""),"=15")</f>
        <v>=15</v>
      </c>
      <c r="AC157" s="282" t="str">
        <f ca="1">IFERROR(__xludf.DUMMYFUNCTION("""COMPUTED_VALUE"""),"=150-30*P_R")</f>
        <v>=150-30*P_R</v>
      </c>
      <c r="AD157" s="283" t="str">
        <f ca="1">IFERROR(__xludf.DUMMYFUNCTION("""COMPUTED_VALUE"""),"=120")</f>
        <v>=120</v>
      </c>
      <c r="AE157" s="281" t="b">
        <f ca="1">IFERROR(__xludf.DUMMYFUNCTION("""COMPUTED_VALUE"""),FALSE)</f>
        <v>0</v>
      </c>
      <c r="AF157" s="282" t="str">
        <f ca="1">IFERROR(__xludf.DUMMYFUNCTION("""COMPUTED_VALUE"""),"=Image(""https://ddragon.leagueoflegends.com/cdn/11.19.1/img/champion/Zilean.png"")")</f>
        <v>=Image("https://ddragon.leagueoflegends.com/cdn/11.19.1/img/champion/Zilean.png")</v>
      </c>
      <c r="AG157" s="282" t="str">
        <f ca="1">IFERROR(__xludf.DUMMYFUNCTION("""COMPUTED_VALUE"""),"=IF(OR(REGEXMATCH(FORMULATEXT(U157);""HMOD"");NOT(P_Q&gt;0));0;U157)+IF(OR(REGEXMATCH(FORMULATEXT(V157);""HMOD"");NOT(P_W&gt;0));0;V157)+IF(OR(REGEXMATCH(FORMULATEXT(W157);""HMOD"");NOT(P_E&gt;0));0;W157)+IF(OR(REGEXMATCH(FORMULATEXT(X157);""HMOD"");NOT(P_R&gt;0));0;"&amp;"X157)+IF(REGEXMATCH(FORMULATEXT(Y157);""HMOD"");0;Y157)+Self_Proc_Item+Self_Proc_Summ+Self_Proc_Rune+3*Self_DPS")</f>
        <v>=IF(OR(REGEXMATCH(FORMULATEXT(U157);"HMOD");NOT(P_Q&gt;0));0;U157)+IF(OR(REGEXMATCH(FORMULATEXT(V157);"HMOD");NOT(P_W&gt;0));0;V157)+IF(OR(REGEXMATCH(FORMULATEXT(W157);"HMOD");NOT(P_E&gt;0));0;W157)+IF(OR(REGEXMATCH(FORMULATEXT(X157);"HMOD");NOT(P_R&gt;0));0;X157)+IF(REGEXMATCH(FORMULATEXT(Y157);"HMOD");0;Y157)+Self_Proc_Item+Self_Proc_Summ+Self_Proc_Rune+3*Self_DPS</v>
      </c>
      <c r="AH157" s="282" t="str">
        <f ca="1">IFERROR(__xludf.DUMMYFUNCTION("""COMPUTED_VALUE"""),"=0")</f>
        <v>=0</v>
      </c>
      <c r="AI157" s="282" t="b">
        <f ca="1">IFERROR(__xludf.DUMMYFUNCTION("""COMPUTED_VALUE"""),FALSE)</f>
        <v>0</v>
      </c>
      <c r="AJ157" s="283" t="b">
        <f ca="1">IFERROR(__xludf.DUMMYFUNCTION("""COMPUTED_VALUE"""),FALSE)</f>
        <v>0</v>
      </c>
    </row>
    <row r="158" spans="1:36">
      <c r="A158" s="301" t="str">
        <f ca="1">IFERROR(__xludf.DUMMYFUNCTION("""COMPUTED_VALUE"""),"Zoe")</f>
        <v>Zoe</v>
      </c>
      <c r="B158" s="282" t="str">
        <f ca="1">IFERROR(__xludf.DUMMYFUNCTION("""COMPUTED_VALUE"""),"=630")</f>
        <v>=630</v>
      </c>
      <c r="C158" s="282" t="str">
        <f ca="1">IFERROR(__xludf.DUMMYFUNCTION("""COMPUTED_VALUE"""),"=106")</f>
        <v>=106</v>
      </c>
      <c r="D158" s="282" t="str">
        <f ca="1">IFERROR(__xludf.DUMMYFUNCTION("""COMPUTED_VALUE"""),"=6,5")</f>
        <v>=6,5</v>
      </c>
      <c r="E158" s="302" t="str">
        <f ca="1">IFERROR(__xludf.DUMMYFUNCTION("""COMPUTED_VALUE"""),"=0,6")</f>
        <v>=0,6</v>
      </c>
      <c r="F158" s="282" t="str">
        <f ca="1">IFERROR(__xludf.DUMMYFUNCTION("""COMPUTED_VALUE"""),"=425")</f>
        <v>=425</v>
      </c>
      <c r="G158" s="282" t="str">
        <f ca="1">IFERROR(__xludf.DUMMYFUNCTION("""COMPUTED_VALUE"""),"=25")</f>
        <v>=25</v>
      </c>
      <c r="H158" s="282" t="str">
        <f ca="1">IFERROR(__xludf.DUMMYFUNCTION("""COMPUTED_VALUE"""),"=8")</f>
        <v>=8</v>
      </c>
      <c r="I158" s="302" t="str">
        <f ca="1">IFERROR(__xludf.DUMMYFUNCTION("""COMPUTED_VALUE"""),"=0,65")</f>
        <v>=0,65</v>
      </c>
      <c r="J158" s="303" t="str">
        <f ca="1">IFERROR(__xludf.DUMMYFUNCTION("""COMPUTED_VALUE"""),"=58")</f>
        <v>=58</v>
      </c>
      <c r="K158" s="282" t="str">
        <f ca="1">IFERROR(__xludf.DUMMYFUNCTION("""COMPUTED_VALUE"""),"=3,3")</f>
        <v>=3,3</v>
      </c>
      <c r="L158" s="304" t="str">
        <f ca="1">IFERROR(__xludf.DUMMYFUNCTION("""COMPUTED_VALUE"""),"=0,625")</f>
        <v>=0,625</v>
      </c>
      <c r="M158" s="304" t="str">
        <f ca="1">IFERROR(__xludf.DUMMYFUNCTION("""COMPUTED_VALUE"""),"=0,625")</f>
        <v>=0,625</v>
      </c>
      <c r="N158" s="305" t="str">
        <f ca="1">IFERROR(__xludf.DUMMYFUNCTION("""COMPUTED_VALUE"""),"=2,5%")</f>
        <v>=2,5%</v>
      </c>
      <c r="O158" s="288" t="str">
        <f ca="1">IFERROR(__xludf.DUMMYFUNCTION("""COMPUTED_VALUE"""),"=21")</f>
        <v>=21</v>
      </c>
      <c r="P158" s="282" t="str">
        <f ca="1">IFERROR(__xludf.DUMMYFUNCTION("""COMPUTED_VALUE"""),"=4,7")</f>
        <v>=4,7</v>
      </c>
      <c r="Q158" s="282" t="str">
        <f ca="1">IFERROR(__xludf.DUMMYFUNCTION("""COMPUTED_VALUE"""),"=30")</f>
        <v>=30</v>
      </c>
      <c r="R158" s="302" t="str">
        <f ca="1">IFERROR(__xludf.DUMMYFUNCTION("""COMPUTED_VALUE"""),"=1,3")</f>
        <v>=1,3</v>
      </c>
      <c r="S158" s="282" t="str">
        <f ca="1">IFERROR(__xludf.DUMMYFUNCTION("""COMPUTED_VALUE"""),"=340")</f>
        <v>=340</v>
      </c>
      <c r="T158" s="283" t="str">
        <f ca="1">IFERROR(__xludf.DUMMYFUNCTION("""COMPUTED_VALUE"""),"=550")</f>
        <v>=550</v>
      </c>
      <c r="U158" s="281" t="str">
        <f ca="1">IFERROR(__xludf.DUMMYFUNCTION("""COMPUTED_VALUE"""),"=IF(Steroid_Q;2,5;1)*(20+30*P_Q+0,6*Self_AP+6+Self_Level+IF(Self_Level&gt;2;Self_Level-2;0)+IF(Self_Level&gt;11;Self_Level-11;0)+IF(Self_Level&gt;15;Self_Level-15;0))*MOD_Magic")</f>
        <v>=IF(Steroid_Q;2,5;1)*(20+30*P_Q+0,6*Self_AP+6+Self_Level+IF(Self_Level&gt;2;Self_Level-2;0)+IF(Self_Level&gt;11;Self_Level-11;0)+IF(Self_Level&gt;15;Self_Level-15;0))*MOD_Magic</v>
      </c>
      <c r="V158" s="282" t="str">
        <f ca="1">IFERROR(__xludf.DUMMYFUNCTION("""COMPUTED_VALUE"""),"=(0,4*Self_AP+30*P_W+45)*MOD_Magic")</f>
        <v>=(0,4*Self_AP+30*P_W+45)*MOD_Magic</v>
      </c>
      <c r="W158" s="282" t="str">
        <f ca="1">IFERROR(__xludf.DUMMYFUNCTION("""COMPUTED_VALUE"""),"=(0,45 * Self_AP + 40 * P_E + 30) * MOD_Magic + (0,45 * Self_AP + 40 * P_E + 30) * MOD_True")</f>
        <v>=(0,45 * Self_AP + 40 * P_E + 30) * MOD_Magic + (0,45 * Self_AP + 40 * P_E + 30) * MOD_True</v>
      </c>
      <c r="X158" s="282" t="str">
        <f ca="1">IFERROR(__xludf.DUMMYFUNCTION("""COMPUTED_VALUE"""),"=0")</f>
        <v>=0</v>
      </c>
      <c r="Y158" s="283" t="str">
        <f ca="1">IFERROR(__xludf.DUMMYFUNCTION("""COMPUTED_VALUE"""),"=(0,2*Self_AP+12+4*Self_Level+IF(Self_Level&gt;6;2*(Self_Level-6);0)+IF(Self_Level&gt;11;2*(Self_Level-11);0)+IF(Self_Level&gt;14;2*(Self_Level-14);0))*MOD_Magic")</f>
        <v>=(0,2*Self_AP+12+4*Self_Level+IF(Self_Level&gt;6;2*(Self_Level-6);0)+IF(Self_Level&gt;11;2*(Self_Level-11);0)+IF(Self_Level&gt;14;2*(Self_Level-14);0))*MOD_Magic</v>
      </c>
      <c r="Z158" s="281" t="str">
        <f ca="1">IFERROR(__xludf.DUMMYFUNCTION("""COMPUTED_VALUE"""),"=9-0,5*P_Q")</f>
        <v>=9-0,5*P_Q</v>
      </c>
      <c r="AA158" s="282" t="str">
        <f ca="1">IFERROR(__xludf.DUMMYFUNCTION("""COMPUTED_VALUE"""),"=0,25")</f>
        <v>=0,25</v>
      </c>
      <c r="AB158" s="282" t="str">
        <f ca="1">IFERROR(__xludf.DUMMYFUNCTION("""COMPUTED_VALUE"""),"=17 - P_E")</f>
        <v>=17 - P_E</v>
      </c>
      <c r="AC158" s="282" t="str">
        <f ca="1">IFERROR(__xludf.DUMMYFUNCTION("""COMPUTED_VALUE"""),"=14-3*P_R")</f>
        <v>=14-3*P_R</v>
      </c>
      <c r="AD158" s="283" t="str">
        <f ca="1">IFERROR(__xludf.DUMMYFUNCTION("""COMPUTED_VALUE"""),"=1")</f>
        <v>=1</v>
      </c>
      <c r="AE158" s="281" t="b">
        <f ca="1">IFERROR(__xludf.DUMMYFUNCTION("""COMPUTED_VALUE"""),FALSE)</f>
        <v>0</v>
      </c>
      <c r="AF158" s="282" t="str">
        <f ca="1">IFERROR(__xludf.DUMMYFUNCTION("""COMPUTED_VALUE"""),"=Image(""https://ddragon.leagueoflegends.com/cdn/11.19.1/img/champion/Zoe.png"")")</f>
        <v>=Image("https://ddragon.leagueoflegends.com/cdn/11.19.1/img/champion/Zoe.png")</v>
      </c>
      <c r="AG158" s="282" t="str">
        <f ca="1">IFERROR(__xludf.DUMMYFUNCTION("""COMPUTED_VALUE"""),"=IF(OR(REGEXMATCH(FORMULATEXT(U158);""HMOD"");NOT(P_Q&gt;0));0;U158)+IF(OR(REGEXMATCH(FORMULATEXT(V158);""HMOD"");NOT(P_W&gt;0));0;V158)+IF(OR(REGEXMATCH(FORMULATEXT(W158);""HMOD"");NOT(P_E&gt;0));0;W158)+IF(OR(REGEXMATCH(FORMULATEXT(X158);""HMOD"");NOT(P_R&gt;0));0;"&amp;"X158)+IF(REGEXMATCH(FORMULATEXT(Y158);""HMOD"");0;Y158)+Self_Proc_Item+Self_Proc_Summ+Self_Proc_Rune+3*Self_DPS")</f>
        <v>=IF(OR(REGEXMATCH(FORMULATEXT(U158);"HMOD");NOT(P_Q&gt;0));0;U158)+IF(OR(REGEXMATCH(FORMULATEXT(V158);"HMOD");NOT(P_W&gt;0));0;V158)+IF(OR(REGEXMATCH(FORMULATEXT(W158);"HMOD");NOT(P_E&gt;0));0;W158)+IF(OR(REGEXMATCH(FORMULATEXT(X158);"HMOD");NOT(P_R&gt;0));0;X158)+IF(REGEXMATCH(FORMULATEXT(Y158);"HMOD");0;Y158)+Self_Proc_Item+Self_Proc_Summ+Self_Proc_Rune+3*Self_DPS</v>
      </c>
      <c r="AH158" s="282" t="str">
        <f ca="1">IFERROR(__xludf.DUMMYFUNCTION("""COMPUTED_VALUE"""),"=0")</f>
        <v>=0</v>
      </c>
      <c r="AI158" s="282" t="b">
        <f ca="1">IFERROR(__xludf.DUMMYFUNCTION("""COMPUTED_VALUE"""),FALSE)</f>
        <v>0</v>
      </c>
      <c r="AJ158" s="283" t="b">
        <f ca="1">IFERROR(__xludf.DUMMYFUNCTION("""COMPUTED_VALUE"""),FALSE)</f>
        <v>0</v>
      </c>
    </row>
    <row r="159" spans="1:36">
      <c r="A159" s="301" t="str">
        <f ca="1">IFERROR(__xludf.DUMMYFUNCTION("""COMPUTED_VALUE"""),"Zyra")</f>
        <v>Zyra</v>
      </c>
      <c r="B159" s="282" t="str">
        <f ca="1">IFERROR(__xludf.DUMMYFUNCTION("""COMPUTED_VALUE"""),"=574")</f>
        <v>=574</v>
      </c>
      <c r="C159" s="282" t="str">
        <f ca="1">IFERROR(__xludf.DUMMYFUNCTION("""COMPUTED_VALUE"""),"=93")</f>
        <v>=93</v>
      </c>
      <c r="D159" s="282" t="str">
        <f ca="1">IFERROR(__xludf.DUMMYFUNCTION("""COMPUTED_VALUE"""),"=5,5")</f>
        <v>=5,5</v>
      </c>
      <c r="E159" s="302" t="str">
        <f ca="1">IFERROR(__xludf.DUMMYFUNCTION("""COMPUTED_VALUE"""),"=0,5")</f>
        <v>=0,5</v>
      </c>
      <c r="F159" s="282" t="str">
        <f ca="1">IFERROR(__xludf.DUMMYFUNCTION("""COMPUTED_VALUE"""),"=418")</f>
        <v>=418</v>
      </c>
      <c r="G159" s="282" t="str">
        <f ca="1">IFERROR(__xludf.DUMMYFUNCTION("""COMPUTED_VALUE"""),"=25")</f>
        <v>=25</v>
      </c>
      <c r="H159" s="282" t="str">
        <f ca="1">IFERROR(__xludf.DUMMYFUNCTION("""COMPUTED_VALUE"""),"=13")</f>
        <v>=13</v>
      </c>
      <c r="I159" s="302" t="str">
        <f ca="1">IFERROR(__xludf.DUMMYFUNCTION("""COMPUTED_VALUE"""),"=0,4")</f>
        <v>=0,4</v>
      </c>
      <c r="J159" s="303" t="str">
        <f ca="1">IFERROR(__xludf.DUMMYFUNCTION("""COMPUTED_VALUE"""),"=53")</f>
        <v>=53</v>
      </c>
      <c r="K159" s="282" t="str">
        <f ca="1">IFERROR(__xludf.DUMMYFUNCTION("""COMPUTED_VALUE"""),"=3,2")</f>
        <v>=3,2</v>
      </c>
      <c r="L159" s="304" t="str">
        <f ca="1">IFERROR(__xludf.DUMMYFUNCTION("""COMPUTED_VALUE"""),"=0,625")</f>
        <v>=0,625</v>
      </c>
      <c r="M159" s="304" t="str">
        <f ca="1">IFERROR(__xludf.DUMMYFUNCTION("""COMPUTED_VALUE"""),"=0,625")</f>
        <v>=0,625</v>
      </c>
      <c r="N159" s="305" t="str">
        <f ca="1">IFERROR(__xludf.DUMMYFUNCTION("""COMPUTED_VALUE"""),"=2,11%")</f>
        <v>=2,11%</v>
      </c>
      <c r="O159" s="288" t="str">
        <f ca="1">IFERROR(__xludf.DUMMYFUNCTION("""COMPUTED_VALUE"""),"=29")</f>
        <v>=29</v>
      </c>
      <c r="P159" s="282" t="str">
        <f ca="1">IFERROR(__xludf.DUMMYFUNCTION("""COMPUTED_VALUE"""),"=4,2")</f>
        <v>=4,2</v>
      </c>
      <c r="Q159" s="282" t="str">
        <f ca="1">IFERROR(__xludf.DUMMYFUNCTION("""COMPUTED_VALUE"""),"=30")</f>
        <v>=30</v>
      </c>
      <c r="R159" s="302" t="str">
        <f ca="1">IFERROR(__xludf.DUMMYFUNCTION("""COMPUTED_VALUE"""),"=1,3")</f>
        <v>=1,3</v>
      </c>
      <c r="S159" s="282" t="str">
        <f ca="1">IFERROR(__xludf.DUMMYFUNCTION("""COMPUTED_VALUE"""),"=340")</f>
        <v>=340</v>
      </c>
      <c r="T159" s="283" t="str">
        <f ca="1">IFERROR(__xludf.DUMMYFUNCTION("""COMPUTED_VALUE"""),"=575")</f>
        <v>=575</v>
      </c>
      <c r="U159" s="281" t="str">
        <f ca="1">IFERROR(__xludf.DUMMYFUNCTION("""COMPUTED_VALUE"""),"=(0,6*Self_AP+35*P_Q+25)*MOD_Magic")</f>
        <v>=(0,6*Self_AP+35*P_Q+25)*MOD_Magic</v>
      </c>
      <c r="V159" s="282" t="str">
        <f ca="1">IFERROR(__xludf.DUMMYFUNCTION("""COMPUTED_VALUE"""),"=0")</f>
        <v>=0</v>
      </c>
      <c r="W159" s="282" t="str">
        <f ca="1">IFERROR(__xludf.DUMMYFUNCTION("""COMPUTED_VALUE"""),"=(45*P_E+15+0,5*Self_AP)*MOD_Magic")</f>
        <v>=(45*P_E+15+0,5*Self_AP)*MOD_Magic</v>
      </c>
      <c r="X159" s="282" t="str">
        <f ca="1">IFERROR(__xludf.DUMMYFUNCTION("""COMPUTED_VALUE"""),"=(0,7*Self_AP+85*P_R+95)*MOD_Magic")</f>
        <v>=(0,7*Self_AP+85*P_R+95)*MOD_Magic</v>
      </c>
      <c r="Y159" s="283" t="str">
        <f ca="1">IFERROR(__xludf.DUMMYFUNCTION("""COMPUTED_VALUE"""),"=(20+80*Sc_Lin+0,15*Self_AP)*MOD_Magic")</f>
        <v>=(20+80*Sc_Lin+0,15*Self_AP)*MOD_Magic</v>
      </c>
      <c r="Z159" s="281" t="str">
        <f ca="1">IFERROR(__xludf.DUMMYFUNCTION("""COMPUTED_VALUE"""),"=7,5-0,5*P_Q")</f>
        <v>=7,5-0,5*P_Q</v>
      </c>
      <c r="AA159" s="282" t="str">
        <f ca="1">IFERROR(__xludf.DUMMYFUNCTION("""COMPUTED_VALUE"""),"=20-2*P_W")</f>
        <v>=20-2*P_W</v>
      </c>
      <c r="AB159" s="282" t="str">
        <f ca="1">IFERROR(__xludf.DUMMYFUNCTION("""COMPUTED_VALUE"""),"=12")</f>
        <v>=12</v>
      </c>
      <c r="AC159" s="282" t="str">
        <f ca="1">IFERROR(__xludf.DUMMYFUNCTION("""COMPUTED_VALUE"""),"=120-10*P_R")</f>
        <v>=120-10*P_R</v>
      </c>
      <c r="AD159" s="283" t="str">
        <f ca="1">IFERROR(__xludf.DUMMYFUNCTION("""COMPUTED_VALUE"""),"=8")</f>
        <v>=8</v>
      </c>
      <c r="AE159" s="281" t="b">
        <f ca="1">IFERROR(__xludf.DUMMYFUNCTION("""COMPUTED_VALUE"""),FALSE)</f>
        <v>0</v>
      </c>
      <c r="AF159" s="282" t="str">
        <f ca="1">IFERROR(__xludf.DUMMYFUNCTION("""COMPUTED_VALUE"""),"=Image(""https://ddragon.leagueoflegends.com/cdn/11.19.1/img/champion/Zyra.png"")")</f>
        <v>=Image("https://ddragon.leagueoflegends.com/cdn/11.19.1/img/champion/Zyra.png")</v>
      </c>
      <c r="AG159" s="282" t="str">
        <f ca="1">IFERROR(__xludf.DUMMYFUNCTION("""COMPUTED_VALUE"""),"=IF(OR(REGEXMATCH(FORMULATEXT(U159);""HMOD"");NOT(P_Q&gt;0));0;U159)+IF(OR(REGEXMATCH(FORMULATEXT(V159);""HMOD"");NOT(P_W&gt;0));0;V159)+IF(OR(REGEXMATCH(FORMULATEXT(W159);""HMOD"");NOT(P_E&gt;0));0;W159)+IF(OR(REGEXMATCH(FORMULATEXT(X159);""HMOD"");NOT(P_R&gt;0));0;"&amp;"X159)+IF(REGEXMATCH(FORMULATEXT(Y159);""HMOD"");0;Y159)+Self_Proc_Item+Self_Proc_Summ+Self_Proc_Rune+3*Self_DPS")</f>
        <v>=IF(OR(REGEXMATCH(FORMULATEXT(U159);"HMOD");NOT(P_Q&gt;0));0;U159)+IF(OR(REGEXMATCH(FORMULATEXT(V159);"HMOD");NOT(P_W&gt;0));0;V159)+IF(OR(REGEXMATCH(FORMULATEXT(W159);"HMOD");NOT(P_E&gt;0));0;W159)+IF(OR(REGEXMATCH(FORMULATEXT(X159);"HMOD");NOT(P_R&gt;0));0;X159)+IF(REGEXMATCH(FORMULATEXT(Y159);"HMOD");0;Y159)+Self_Proc_Item+Self_Proc_Summ+Self_Proc_Rune+3*Self_DPS</v>
      </c>
      <c r="AH159" s="282" t="str">
        <f ca="1">IFERROR(__xludf.DUMMYFUNCTION("""COMPUTED_VALUE"""),"=0")</f>
        <v>=0</v>
      </c>
      <c r="AI159" s="282" t="b">
        <f ca="1">IFERROR(__xludf.DUMMYFUNCTION("""COMPUTED_VALUE"""),FALSE)</f>
        <v>0</v>
      </c>
      <c r="AJ159" s="283" t="b">
        <f ca="1">IFERROR(__xludf.DUMMYFUNCTION("""COMPUTED_VALUE"""),FALSE)</f>
        <v>0</v>
      </c>
    </row>
    <row r="160" spans="1:36">
      <c r="A160" s="301" t="str">
        <f ca="1">IFERROR(__xludf.DUMMYFUNCTION("""COMPUTED_VALUE"""),"Zeri")</f>
        <v>Zeri</v>
      </c>
      <c r="B160" s="282" t="str">
        <f ca="1">IFERROR(__xludf.DUMMYFUNCTION("""COMPUTED_VALUE"""),"=630")</f>
        <v>=630</v>
      </c>
      <c r="C160" s="282" t="str">
        <f ca="1">IFERROR(__xludf.DUMMYFUNCTION("""COMPUTED_VALUE"""),"=100")</f>
        <v>=100</v>
      </c>
      <c r="D160" s="282" t="str">
        <f ca="1">IFERROR(__xludf.DUMMYFUNCTION("""COMPUTED_VALUE"""),"=3,25")</f>
        <v>=3,25</v>
      </c>
      <c r="E160" s="302" t="str">
        <f ca="1">IFERROR(__xludf.DUMMYFUNCTION("""COMPUTED_VALUE"""),"=0,7")</f>
        <v>=0,7</v>
      </c>
      <c r="F160" s="282" t="str">
        <f ca="1">IFERROR(__xludf.DUMMYFUNCTION("""COMPUTED_VALUE"""),"=250")</f>
        <v>=250</v>
      </c>
      <c r="G160" s="282" t="str">
        <f ca="1">IFERROR(__xludf.DUMMYFUNCTION("""COMPUTED_VALUE"""),"=45")</f>
        <v>=45</v>
      </c>
      <c r="H160" s="282" t="str">
        <f ca="1">IFERROR(__xludf.DUMMYFUNCTION("""COMPUTED_VALUE"""),"=6")</f>
        <v>=6</v>
      </c>
      <c r="I160" s="302" t="str">
        <f ca="1">IFERROR(__xludf.DUMMYFUNCTION("""COMPUTED_VALUE"""),"=0,8")</f>
        <v>=0,8</v>
      </c>
      <c r="J160" s="303" t="str">
        <f ca="1">IFERROR(__xludf.DUMMYFUNCTION("""COMPUTED_VALUE"""),"=53")</f>
        <v>=53</v>
      </c>
      <c r="K160" s="282" t="str">
        <f ca="1">IFERROR(__xludf.DUMMYFUNCTION("""COMPUTED_VALUE"""),"=1,3")</f>
        <v>=1,3</v>
      </c>
      <c r="L160" s="304" t="str">
        <f ca="1">IFERROR(__xludf.DUMMYFUNCTION("""COMPUTED_VALUE"""),"=0,658")</f>
        <v>=0,658</v>
      </c>
      <c r="M160" s="304" t="str">
        <f ca="1">IFERROR(__xludf.DUMMYFUNCTION("""COMPUTED_VALUE"""),"=0,625")</f>
        <v>=0,625</v>
      </c>
      <c r="N160" s="305" t="str">
        <f ca="1">IFERROR(__xludf.DUMMYFUNCTION("""COMPUTED_VALUE"""),"=2%")</f>
        <v>=2%</v>
      </c>
      <c r="O160" s="288" t="str">
        <f ca="1">IFERROR(__xludf.DUMMYFUNCTION("""COMPUTED_VALUE"""),"=24")</f>
        <v>=24</v>
      </c>
      <c r="P160" s="282" t="str">
        <f ca="1">IFERROR(__xludf.DUMMYFUNCTION("""COMPUTED_VALUE"""),"=4,2")</f>
        <v>=4,2</v>
      </c>
      <c r="Q160" s="282" t="str">
        <f ca="1">IFERROR(__xludf.DUMMYFUNCTION("""COMPUTED_VALUE"""),"=30")</f>
        <v>=30</v>
      </c>
      <c r="R160" s="302" t="str">
        <f ca="1">IFERROR(__xludf.DUMMYFUNCTION("""COMPUTED_VALUE"""),"=1,3")</f>
        <v>=1,3</v>
      </c>
      <c r="S160" s="282" t="str">
        <f ca="1">IFERROR(__xludf.DUMMYFUNCTION("""COMPUTED_VALUE"""),"=335")</f>
        <v>=335</v>
      </c>
      <c r="T160" s="283" t="str">
        <f ca="1">IFERROR(__xludf.DUMMYFUNCTION("""COMPUTED_VALUE"""),"=500")</f>
        <v>=500</v>
      </c>
      <c r="U160" s="281" t="str">
        <f ca="1">IFERROR(__xludf.DUMMYFUNCTION("""COMPUTED_VALUE"""),"=(13 + 2 * P_Q + (1 + 0,04 * P_Q) * Self_AD) * MOD_Hit * IF(Calc!C49; 1; (1 + Self_Crit * (Self_CritDMG - 1))) + (OH_Phys + OH_Magic + OH_True) * MOD_OH + IT_Proc_Energy * (Self_AS / 17) * MOD_Magic + Calc!O34 * (Self_AS / 3)")</f>
        <v>=(13 + 2 * P_Q + (1 + 0,04 * P_Q) * Self_AD) * MOD_Hit * IF(Calc!C49; 1; (1 + Self_Crit * (Self_CritDMG - 1))) + (OH_Phys + OH_Magic + OH_True) * MOD_OH + IT_Proc_Energy * (Self_AS / 17) * MOD_Magic + Calc!O34 * (Self_AS / 3)</v>
      </c>
      <c r="V160" s="282" t="str">
        <f ca="1">IFERROR(__xludf.DUMMYFUNCTION("""COMPUTED_VALUE"""),"=(-20 + 40 * P_W + 1,3 * Self_AD + 0,25 * Self_AP) * MOD_Phys * IF(Steroid_W; Self_CritDMG; 1)")</f>
        <v>=(-20 + 40 * P_W + 1,3 * Self_AD + 0,25 * Self_AP) * MOD_Phys * IF(Steroid_W; Self_CritDMG; 1)</v>
      </c>
      <c r="W160" s="282" t="str">
        <f ca="1">IFERROR(__xludf.DUMMYFUNCTION("""COMPUTED_VALUE"""),"=0")</f>
        <v>=0</v>
      </c>
      <c r="X160" s="282" t="str">
        <f ca="1">IFERROR(__xludf.DUMMYFUNCTION("""COMPUTED_VALUE"""),"=(75 + 100 * P_R + 0,85 * Self_BoAD + 1,1 * Self_AP)")</f>
        <v>=(75 + 100 * P_R + 0,85 * Self_BoAD + 1,1 * Self_AP)</v>
      </c>
      <c r="Y160" s="283" t="str">
        <f ca="1">IFERROR(__xludf.DUMMYFUNCTION("""COMPUTED_VALUE"""),"=0")</f>
        <v>=0</v>
      </c>
      <c r="Z160" s="281" t="str">
        <f ca="1">IFERROR(__xludf.DUMMYFUNCTION("""COMPUTED_VALUE"""),"=(1 / Self_AS) * (1 + Self_AH)")</f>
        <v>=(1 / Self_AS) * (1 + Self_AH)</v>
      </c>
      <c r="AA160" s="282" t="str">
        <f ca="1">IFERROR(__xludf.DUMMYFUNCTION("""COMPUTED_VALUE"""),"=13-P_E")</f>
        <v>=13-P_E</v>
      </c>
      <c r="AB160" s="282" t="str">
        <f ca="1">IFERROR(__xludf.DUMMYFUNCTION("""COMPUTED_VALUE"""),"=23-1*P_E")</f>
        <v>=23-1*P_E</v>
      </c>
      <c r="AC160" s="282" t="str">
        <f ca="1">IFERROR(__xludf.DUMMYFUNCTION("""COMPUTED_VALUE"""),"=115-15*P_R")</f>
        <v>=115-15*P_R</v>
      </c>
      <c r="AD160" s="283" t="str">
        <f ca="1">IFERROR(__xludf.DUMMYFUNCTION("""COMPUTED_VALUE"""),"=1")</f>
        <v>=1</v>
      </c>
      <c r="AE160" s="281" t="b">
        <f ca="1">IFERROR(__xludf.DUMMYFUNCTION("""COMPUTED_VALUE"""),FALSE)</f>
        <v>0</v>
      </c>
      <c r="AF160" s="629" t="str">
        <f ca="1">IFERROR(__xludf.DUMMYFUNCTION("""COMPUTED_VALUE"""),"=Image(""https://ddragon.leagueoflegends.com/cdn/12.2.1/img/champion/Zeri.png"")")</f>
        <v>=Image("https://ddragon.leagueoflegends.com/cdn/12.2.1/img/champion/Zeri.png")</v>
      </c>
      <c r="AG160" s="629" t="str">
        <f ca="1">IFERROR(__xludf.DUMMYFUNCTION("""COMPUTED_VALUE"""),"=IF(OR(REGEXMATCH(FORMULATEXT(U160);""HMOD"");NOT(P_Q&gt;0));0;U160) * 3+IF(OR(REGEXMATCH(FORMULATEXT(V160);""HMOD"");NOT(P_W&gt;0));0;V160)+IF(OR(REGEXMATCH(FORMULATEXT(W160);""HMOD"");NOT(P_E&gt;0));0;W160)+IF(OR(REGEXMATCH(FORMULATEXT(X160);""HMOD"");NOT(P_R&gt;0)"&amp;");0;X160)+IF(REGEXMATCH(FORMULATEXT(Y160);""HMOD"");0;Y160)+Self_Proc_Item+Self_Proc_Summ+Self_Proc_Rune+Self_DPS")</f>
        <v>=IF(OR(REGEXMATCH(FORMULATEXT(U160);"HMOD");NOT(P_Q&gt;0));0;U160) * 3+IF(OR(REGEXMATCH(FORMULATEXT(V160);"HMOD");NOT(P_W&gt;0));0;V160)+IF(OR(REGEXMATCH(FORMULATEXT(W160);"HMOD");NOT(P_E&gt;0));0;W160)+IF(OR(REGEXMATCH(FORMULATEXT(X160);"HMOD");NOT(P_R&gt;0));0;X160)+IF(REGEXMATCH(FORMULATEXT(Y160);"HMOD");0;Y160)+Self_Proc_Item+Self_Proc_Summ+Self_Proc_Rune+Self_DPS</v>
      </c>
      <c r="AH160" s="629" t="str">
        <f ca="1">IFERROR(__xludf.DUMMYFUNCTION("""COMPUTED_VALUE"""),"=0")</f>
        <v>=0</v>
      </c>
      <c r="AI160" s="629" t="b">
        <f ca="1">IFERROR(__xludf.DUMMYFUNCTION("""COMPUTED_VALUE"""),FALSE)</f>
        <v>0</v>
      </c>
      <c r="AJ160" s="630" t="b">
        <f ca="1">IFERROR(__xludf.DUMMYFUNCTION("""COMPUTED_VALUE"""),FALSE)</f>
        <v>0</v>
      </c>
    </row>
    <row r="161" spans="1:36">
      <c r="A161" s="301" t="str">
        <f ca="1">IFERROR(__xludf.DUMMYFUNCTION("""COMPUTED_VALUE"""),"Renata")</f>
        <v>Renata</v>
      </c>
      <c r="B161" s="282" t="str">
        <f ca="1">IFERROR(__xludf.DUMMYFUNCTION("""COMPUTED_VALUE"""),"=555")</f>
        <v>=555</v>
      </c>
      <c r="C161" s="282" t="str">
        <f ca="1">IFERROR(__xludf.DUMMYFUNCTION("""COMPUTED_VALUE"""),"=94")</f>
        <v>=94</v>
      </c>
      <c r="D161" s="282" t="str">
        <f ca="1">IFERROR(__xludf.DUMMYFUNCTION("""COMPUTED_VALUE"""),"=5,5")</f>
        <v>=5,5</v>
      </c>
      <c r="E161" s="302" t="str">
        <f ca="1">IFERROR(__xludf.DUMMYFUNCTION("""COMPUTED_VALUE"""),"=0,55")</f>
        <v>=0,55</v>
      </c>
      <c r="F161" s="282" t="str">
        <f ca="1">IFERROR(__xludf.DUMMYFUNCTION("""COMPUTED_VALUE"""),"=350")</f>
        <v>=350</v>
      </c>
      <c r="G161" s="282" t="str">
        <f ca="1">IFERROR(__xludf.DUMMYFUNCTION("""COMPUTED_VALUE"""),"=50")</f>
        <v>=50</v>
      </c>
      <c r="H161" s="282" t="str">
        <f ca="1">IFERROR(__xludf.DUMMYFUNCTION("""COMPUTED_VALUE"""),"=11,5")</f>
        <v>=11,5</v>
      </c>
      <c r="I161" s="302" t="str">
        <f ca="1">IFERROR(__xludf.DUMMYFUNCTION("""COMPUTED_VALUE"""),"=0,5")</f>
        <v>=0,5</v>
      </c>
      <c r="J161" s="303" t="str">
        <f ca="1">IFERROR(__xludf.DUMMYFUNCTION("""COMPUTED_VALUE"""),"=49")</f>
        <v>=49</v>
      </c>
      <c r="K161" s="282" t="str">
        <f ca="1">IFERROR(__xludf.DUMMYFUNCTION("""COMPUTED_VALUE"""),"=3")</f>
        <v>=3</v>
      </c>
      <c r="L161" s="304" t="str">
        <f ca="1">IFERROR(__xludf.DUMMYFUNCTION("""COMPUTED_VALUE"""),"=0,625")</f>
        <v>=0,625</v>
      </c>
      <c r="M161" s="304" t="str">
        <f ca="1">IFERROR(__xludf.DUMMYFUNCTION("""COMPUTED_VALUE"""),"=0,625")</f>
        <v>=0,625</v>
      </c>
      <c r="N161" s="305" t="str">
        <f ca="1">IFERROR(__xludf.DUMMYFUNCTION("""COMPUTED_VALUE"""),"=2,11%")</f>
        <v>=2,11%</v>
      </c>
      <c r="O161" s="288" t="str">
        <f ca="1">IFERROR(__xludf.DUMMYFUNCTION("""COMPUTED_VALUE"""),"=27")</f>
        <v>=27</v>
      </c>
      <c r="P161" s="282" t="str">
        <f ca="1">IFERROR(__xludf.DUMMYFUNCTION("""COMPUTED_VALUE"""),"=4,7")</f>
        <v>=4,7</v>
      </c>
      <c r="Q161" s="282" t="str">
        <f ca="1">IFERROR(__xludf.DUMMYFUNCTION("""COMPUTED_VALUE"""),"=30")</f>
        <v>=30</v>
      </c>
      <c r="R161" s="302" t="str">
        <f ca="1">IFERROR(__xludf.DUMMYFUNCTION("""COMPUTED_VALUE"""),"=1,3")</f>
        <v>=1,3</v>
      </c>
      <c r="S161" s="282" t="str">
        <f ca="1">IFERROR(__xludf.DUMMYFUNCTION("""COMPUTED_VALUE"""),"=330")</f>
        <v>=330</v>
      </c>
      <c r="T161" s="283" t="str">
        <f ca="1">IFERROR(__xludf.DUMMYFUNCTION("""COMPUTED_VALUE"""),"=550")</f>
        <v>=550</v>
      </c>
      <c r="U161" s="281" t="str">
        <f ca="1">IFERROR(__xludf.DUMMYFUNCTION("""COMPUTED_VALUE"""),"=(35 + 45 * P_Q + 0,8 * Self_AP) * MOD_Magic")</f>
        <v>=(35 + 45 * P_Q + 0,8 * Self_AP) * MOD_Magic</v>
      </c>
      <c r="V161" s="282" t="str">
        <f ca="1">IFERROR(__xludf.DUMMYFUNCTION("""COMPUTED_VALUE"""),"=5 + 5 * P_W + 0,01 * Self_AP")</f>
        <v>=5 + 5 * P_W + 0,01 * Self_AP</v>
      </c>
      <c r="W161" s="282" t="str">
        <f ca="1">IFERROR(__xludf.DUMMYFUNCTION("""COMPUTED_VALUE"""),"=(35 + 30 * P_E + 0,55 * Self_AP) * MOD_Magic")</f>
        <v>=(35 + 30 * P_E + 0,55 * Self_AP) * MOD_Magic</v>
      </c>
      <c r="X161" s="282" t="str">
        <f ca="1">IFERROR(__xludf.DUMMYFUNCTION("""COMPUTED_VALUE"""),"=0")</f>
        <v>=0</v>
      </c>
      <c r="Y161" s="283" t="str">
        <f ca="1">IFERROR(__xludf.DUMMYFUNCTION("""COMPUTED_VALUE"""),"=((0,01 + 0,01 * (IF(Self_Level - 1 &gt; 8; 8; Self_Level - 1) / 8) + 0,0002 * Self_AP) * E_MHP) * MOD_Magic")</f>
        <v>=((0,01 + 0,01 * (IF(Self_Level - 1 &gt; 8; 8; Self_Level - 1) / 8) + 0,0002 * Self_AP) * E_MHP) * MOD_Magic</v>
      </c>
      <c r="Z161" s="281" t="str">
        <f ca="1">IFERROR(__xludf.DUMMYFUNCTION("""COMPUTED_VALUE"""),"=16")</f>
        <v>=16</v>
      </c>
      <c r="AA161" s="282" t="str">
        <f ca="1">IFERROR(__xludf.DUMMYFUNCTION("""COMPUTED_VALUE"""),"=29-1*P_W")</f>
        <v>=29-1*P_W</v>
      </c>
      <c r="AB161" s="282" t="str">
        <f ca="1">IFERROR(__xludf.DUMMYFUNCTION("""COMPUTED_VALUE"""),"=15-P_E")</f>
        <v>=15-P_E</v>
      </c>
      <c r="AC161" s="282" t="str">
        <f ca="1">IFERROR(__xludf.DUMMYFUNCTION("""COMPUTED_VALUE"""),"=170-20*P_R")</f>
        <v>=170-20*P_R</v>
      </c>
      <c r="AD161" s="283" t="str">
        <f ca="1">IFERROR(__xludf.DUMMYFUNCTION("""COMPUTED_VALUE"""),"=6")</f>
        <v>=6</v>
      </c>
      <c r="AE161" s="281" t="b">
        <f ca="1">IFERROR(__xludf.DUMMYFUNCTION("""COMPUTED_VALUE"""),FALSE)</f>
        <v>0</v>
      </c>
      <c r="AF161" s="629" t="str">
        <f ca="1">IFERROR(__xludf.DUMMYFUNCTION("""COMPUTED_VALUE"""),"=Image(""https://ddragon.leagueoflegends.com/cdn/12.4.1/img/champion/Renata.png"")")</f>
        <v>=Image("https://ddragon.leagueoflegends.com/cdn/12.4.1/img/champion/Renata.png")</v>
      </c>
      <c r="AG161" s="629" t="str">
        <f ca="1">IFERROR(__xludf.DUMMYFUNCTION("""COMPUTED_VALUE"""),"=IF(OR(REGEXMATCH(FORMULATEXT(U161);""HMOD"");NOT(P_Q&gt;0));0;U161) * 3+IF(OR(REGEXMATCH(FORMULATEXT(V161);""HMOD"");NOT(P_W&gt;0));0;V161)+IF(OR(REGEXMATCH(FORMULATEXT(W161);""HMOD"");NOT(P_E&gt;0));0;W161)+IF(OR(REGEXMATCH(FORMULATEXT(X161);""HMOD"");NOT(P_R&gt;0)"&amp;");0;X161)+IF(REGEXMATCH(FORMULATEXT(Y161);""HMOD"");0;Y161)+Self_Proc_Item+Self_Proc_Summ+Self_Proc_Rune+Self_DPS")</f>
        <v>=IF(OR(REGEXMATCH(FORMULATEXT(U161);"HMOD");NOT(P_Q&gt;0));0;U161) * 3+IF(OR(REGEXMATCH(FORMULATEXT(V161);"HMOD");NOT(P_W&gt;0));0;V161)+IF(OR(REGEXMATCH(FORMULATEXT(W161);"HMOD");NOT(P_E&gt;0));0;W161)+IF(OR(REGEXMATCH(FORMULATEXT(X161);"HMOD");NOT(P_R&gt;0));0;X161)+IF(REGEXMATCH(FORMULATEXT(Y161);"HMOD");0;Y161)+Self_Proc_Item+Self_Proc_Summ+Self_Proc_Rune+Self_DPS</v>
      </c>
      <c r="AH161" s="629" t="str">
        <f ca="1">IFERROR(__xludf.DUMMYFUNCTION("""COMPUTED_VALUE"""),"=0")</f>
        <v>=0</v>
      </c>
      <c r="AI161" s="629" t="b">
        <f ca="1">IFERROR(__xludf.DUMMYFUNCTION("""COMPUTED_VALUE"""),FALSE)</f>
        <v>0</v>
      </c>
      <c r="AJ161" s="630" t="b">
        <f ca="1">IFERROR(__xludf.DUMMYFUNCTION("""COMPUTED_VALUE"""),FALSE)</f>
        <v>0</v>
      </c>
    </row>
    <row r="162" spans="1:36">
      <c r="A162" s="301" t="str">
        <f ca="1">IFERROR(__xludf.DUMMYFUNCTION("""COMPUTED_VALUE"""),"Bel'Veth")</f>
        <v>Bel'Veth</v>
      </c>
      <c r="B162" s="282" t="str">
        <f ca="1">IFERROR(__xludf.DUMMYFUNCTION("""COMPUTED_VALUE"""),"=610")</f>
        <v>=610</v>
      </c>
      <c r="C162" s="282" t="str">
        <f ca="1">IFERROR(__xludf.DUMMYFUNCTION("""COMPUTED_VALUE"""),"=99")</f>
        <v>=99</v>
      </c>
      <c r="D162" s="282" t="str">
        <f ca="1">IFERROR(__xludf.DUMMYFUNCTION("""COMPUTED_VALUE"""),"=6")</f>
        <v>=6</v>
      </c>
      <c r="E162" s="302" t="str">
        <f ca="1">IFERROR(__xludf.DUMMYFUNCTION("""COMPUTED_VALUE"""),"=0,6")</f>
        <v>=0,6</v>
      </c>
      <c r="F162" s="282" t="str">
        <f ca="1">IFERROR(__xludf.DUMMYFUNCTION("""COMPUTED_VALUE"""),"=0")</f>
        <v>=0</v>
      </c>
      <c r="G162" s="282" t="str">
        <f ca="1">IFERROR(__xludf.DUMMYFUNCTION("""COMPUTED_VALUE"""),"=0")</f>
        <v>=0</v>
      </c>
      <c r="H162" s="282" t="str">
        <f ca="1">IFERROR(__xludf.DUMMYFUNCTION("""COMPUTED_VALUE"""),"=0")</f>
        <v>=0</v>
      </c>
      <c r="I162" s="302" t="str">
        <f ca="1">IFERROR(__xludf.DUMMYFUNCTION("""COMPUTED_VALUE"""),"=0")</f>
        <v>=0</v>
      </c>
      <c r="J162" s="303" t="str">
        <f ca="1">IFERROR(__xludf.DUMMYFUNCTION("""COMPUTED_VALUE"""),"=60")</f>
        <v>=60</v>
      </c>
      <c r="K162" s="282" t="str">
        <f ca="1">IFERROR(__xludf.DUMMYFUNCTION("""COMPUTED_VALUE"""),"=1,5")</f>
        <v>=1,5</v>
      </c>
      <c r="L162" s="304" t="str">
        <f ca="1">IFERROR(__xludf.DUMMYFUNCTION("""COMPUTED_VALUE"""),"=0,85")</f>
        <v>=0,85</v>
      </c>
      <c r="M162" s="304" t="str">
        <f ca="1">IFERROR(__xludf.DUMMYFUNCTION("""COMPUTED_VALUE"""),"=0,85")</f>
        <v>=0,85</v>
      </c>
      <c r="N162" s="305" t="str">
        <f ca="1">IFERROR(__xludf.DUMMYFUNCTION("""COMPUTED_VALUE"""),"=0")</f>
        <v>=0</v>
      </c>
      <c r="O162" s="288" t="str">
        <f ca="1">IFERROR(__xludf.DUMMYFUNCTION("""COMPUTED_VALUE"""),"=32")</f>
        <v>=32</v>
      </c>
      <c r="P162" s="282" t="str">
        <f ca="1">IFERROR(__xludf.DUMMYFUNCTION("""COMPUTED_VALUE"""),"=4,7")</f>
        <v>=4,7</v>
      </c>
      <c r="Q162" s="282" t="str">
        <f ca="1">IFERROR(__xludf.DUMMYFUNCTION("""COMPUTED_VALUE"""),"=32")</f>
        <v>=32</v>
      </c>
      <c r="R162" s="302" t="str">
        <f ca="1">IFERROR(__xludf.DUMMYFUNCTION("""COMPUTED_VALUE"""),"=2,05")</f>
        <v>=2,05</v>
      </c>
      <c r="S162" s="282" t="str">
        <f ca="1">IFERROR(__xludf.DUMMYFUNCTION("""COMPUTED_VALUE"""),"=340")</f>
        <v>=340</v>
      </c>
      <c r="T162" s="283" t="str">
        <f ca="1">IFERROR(__xludf.DUMMYFUNCTION("""COMPUTED_VALUE"""),"=175 + IF(Steroid_Form;50)")</f>
        <v>=175 + IF(Steroid_Form;50)</v>
      </c>
      <c r="U162" s="281" t="str">
        <f ca="1">IFERROR(__xludf.DUMMYFUNCTION("""COMPUTED_VALUE"""),"=(5 + 5 * P_Q + 1,1 * Self_AD) * MOD_Phys + (OH_Phys + OH_True + OH_Magic) * 0,75")</f>
        <v>=(5 + 5 * P_Q + 1,1 * Self_AD) * MOD_Phys + (OH_Phys + OH_True + OH_Magic) * 0,75</v>
      </c>
      <c r="V162" s="282" t="str">
        <f ca="1">IFERROR(__xludf.DUMMYFUNCTION("""COMPUTED_VALUE"""),"=(30 + 40 * P_W + Self_BoAD + 1,25 * Self_AP) * MOD_Magic")</f>
        <v>=(30 + 40 * P_W + Self_BoAD + 1,25 * Self_AP) * MOD_Magic</v>
      </c>
      <c r="W162" s="282" t="str">
        <f ca="1">IFERROR(__xludf.DUMMYFUNCTION("""COMPUTED_VALUE"""),"=((6 + 2 * P_E + 0,06 * Self_AD) * (1 + (3 * (100 - E_CHP) / 100)) * MOD_Phys + (OH_Phys + OH_True + OH_Magic) * (0,06 + (0,16 * (100 - E_CHP) / 100))) * (6 + ROUNDDOWN(Self_BoAS/0,33))")</f>
        <v>=((6 + 2 * P_E + 0,06 * Self_AD) * (1 + (3 * (100 - E_CHP) / 100)) * MOD_Phys + (OH_Phys + OH_True + OH_Magic) * (0,06 + (0,16 * (100 - E_CHP) / 100))) * (6 + ROUNDDOWN(Self_BoAS/0,33))</v>
      </c>
      <c r="X162" s="282" t="str">
        <f ca="1">IFERROR(__xludf.DUMMYFUNCTION("""COMPUTED_VALUE"""),"=(100 + 50 * P_R + Self_AP + 0,25 * E_MisHPV) * MOD_True")</f>
        <v>=(100 + 50 * P_R + Self_AP + 0,25 * E_MisHPV) * MOD_True</v>
      </c>
      <c r="Y162" s="283" t="str">
        <f ca="1">IFERROR(__xludf.DUMMYFUNCTION("""COMPUTED_VALUE"""),"=0")</f>
        <v>=0</v>
      </c>
      <c r="Z162" s="281" t="str">
        <f ca="1">IFERROR(__xludf.DUMMYFUNCTION("""COMPUTED_VALUE"""),"=((17-P_Q) * (1 + Self_AH)) / (1 + 0,25 * Self_BoAS)")</f>
        <v>=((17-P_Q) * (1 + Self_AH)) / (1 + 0,25 * Self_BoAS)</v>
      </c>
      <c r="AA162" s="282" t="str">
        <f ca="1">IFERROR(__xludf.DUMMYFUNCTION("""COMPUTED_VALUE"""),"=13-P_W")</f>
        <v>=13-P_W</v>
      </c>
      <c r="AB162" s="282" t="str">
        <f ca="1">IFERROR(__xludf.DUMMYFUNCTION("""COMPUTED_VALUE"""),"=25,5-1,5*P_E")</f>
        <v>=25,5-1,5*P_E</v>
      </c>
      <c r="AC162" s="282" t="str">
        <f ca="1">IFERROR(__xludf.DUMMYFUNCTION("""COMPUTED_VALUE"""),"=1")</f>
        <v>=1</v>
      </c>
      <c r="AD162" s="283" t="str">
        <f ca="1">IFERROR(__xludf.DUMMYFUNCTION("""COMPUTED_VALUE"""),"=1")</f>
        <v>=1</v>
      </c>
      <c r="AE162" s="281" t="b">
        <f ca="1">IFERROR(__xludf.DUMMYFUNCTION("""COMPUTED_VALUE"""),TRUE)</f>
        <v>1</v>
      </c>
      <c r="AF162" s="629" t="str">
        <f ca="1">IFERROR(__xludf.DUMMYFUNCTION("""COMPUTED_VALUE"""),"=Image(""https://ddragon.leagueoflegends.com/cdn/12.11.1/img/champion/Belveth.png"")")</f>
        <v>=Image("https://ddragon.leagueoflegends.com/cdn/12.11.1/img/champion/Belveth.png")</v>
      </c>
      <c r="AG162" s="629" t="str">
        <f ca="1">IFERROR(__xludf.DUMMYFUNCTION("""COMPUTED_VALUE"""),"=IF(OR(REGEXMATCH(FORMULATEXT(U162);""HMOD"");NOT(P_Q&gt;0));0;U162) * 3+IF(OR(REGEXMATCH(FORMULATEXT(V162);""HMOD"");NOT(P_W&gt;0));0;V162)+IF(OR(REGEXMATCH(FORMULATEXT(W162);""HMOD"");NOT(P_E&gt;0));0;W162)+IF(OR(REGEXMATCH(FORMULATEXT(X162);""HMOD"");NOT(P_R&gt;0)"&amp;");0;X162)+IF(REGEXMATCH(FORMULATEXT(Y162);""HMOD"");0;Y162)+Self_Proc_Item+Self_Proc_Summ+Self_Proc_Rune+Self_DPS")</f>
        <v>=IF(OR(REGEXMATCH(FORMULATEXT(U162);"HMOD");NOT(P_Q&gt;0));0;U162) * 3+IF(OR(REGEXMATCH(FORMULATEXT(V162);"HMOD");NOT(P_W&gt;0));0;V162)+IF(OR(REGEXMATCH(FORMULATEXT(W162);"HMOD");NOT(P_E&gt;0));0;W162)+IF(OR(REGEXMATCH(FORMULATEXT(X162);"HMOD");NOT(P_R&gt;0));0;X162)+IF(REGEXMATCH(FORMULATEXT(Y162);"HMOD");0;Y162)+Self_Proc_Item+Self_Proc_Summ+Self_Proc_Rune+Self_DPS</v>
      </c>
      <c r="AH162" s="629" t="str">
        <f ca="1">IFERROR(__xludf.DUMMYFUNCTION("""COMPUTED_VALUE"""),"=0")</f>
        <v>=0</v>
      </c>
      <c r="AI162" s="629" t="b">
        <f ca="1">IFERROR(__xludf.DUMMYFUNCTION("""COMPUTED_VALUE"""),FALSE)</f>
        <v>0</v>
      </c>
      <c r="AJ162" s="630" t="b">
        <f ca="1">IFERROR(__xludf.DUMMYFUNCTION("""COMPUTED_VALUE"""),TRUE)</f>
        <v>1</v>
      </c>
    </row>
    <row r="163" spans="1:36">
      <c r="A163" s="301" t="str">
        <f ca="1">IFERROR(__xludf.DUMMYFUNCTION("""COMPUTED_VALUE"""),"Nilah")</f>
        <v>Nilah</v>
      </c>
      <c r="B163" s="282" t="str">
        <f ca="1">IFERROR(__xludf.DUMMYFUNCTION("""COMPUTED_VALUE"""),"=570")</f>
        <v>=570</v>
      </c>
      <c r="C163" s="282" t="str">
        <f ca="1">IFERROR(__xludf.DUMMYFUNCTION("""COMPUTED_VALUE"""),"=101")</f>
        <v>=101</v>
      </c>
      <c r="D163" s="282" t="str">
        <f ca="1">IFERROR(__xludf.DUMMYFUNCTION("""COMPUTED_VALUE"""),"=4")</f>
        <v>=4</v>
      </c>
      <c r="E163" s="302" t="str">
        <f ca="1">IFERROR(__xludf.DUMMYFUNCTION("""COMPUTED_VALUE"""),"=0,18")</f>
        <v>=0,18</v>
      </c>
      <c r="F163" s="282" t="str">
        <f ca="1">IFERROR(__xludf.DUMMYFUNCTION("""COMPUTED_VALUE"""),"=350")</f>
        <v>=350</v>
      </c>
      <c r="G163" s="282" t="str">
        <f ca="1">IFERROR(__xludf.DUMMYFUNCTION("""COMPUTED_VALUE"""),"=35")</f>
        <v>=35</v>
      </c>
      <c r="H163" s="282" t="str">
        <f ca="1">IFERROR(__xludf.DUMMYFUNCTION("""COMPUTED_VALUE"""),"=8,18")</f>
        <v>=8,18</v>
      </c>
      <c r="I163" s="302" t="str">
        <f ca="1">IFERROR(__xludf.DUMMYFUNCTION("""COMPUTED_VALUE"""),"=0,7")</f>
        <v>=0,7</v>
      </c>
      <c r="J163" s="303" t="str">
        <f ca="1">IFERROR(__xludf.DUMMYFUNCTION("""COMPUTED_VALUE"""),"=58")</f>
        <v>=58</v>
      </c>
      <c r="K163" s="282" t="str">
        <f ca="1">IFERROR(__xludf.DUMMYFUNCTION("""COMPUTED_VALUE"""),"=2")</f>
        <v>=2</v>
      </c>
      <c r="L163" s="304" t="str">
        <f ca="1">IFERROR(__xludf.DUMMYFUNCTION("""COMPUTED_VALUE"""),"=0,697")</f>
        <v>=0,697</v>
      </c>
      <c r="M163" s="304" t="str">
        <f ca="1">IFERROR(__xludf.DUMMYFUNCTION("""COMPUTED_VALUE"""),"=0,67")</f>
        <v>=0,67</v>
      </c>
      <c r="N163" s="305" t="str">
        <f ca="1">IFERROR(__xludf.DUMMYFUNCTION("""COMPUTED_VALUE"""),"=3%")</f>
        <v>=3%</v>
      </c>
      <c r="O163" s="288" t="str">
        <f ca="1">IFERROR(__xludf.DUMMYFUNCTION("""COMPUTED_VALUE"""),"=27")</f>
        <v>=27</v>
      </c>
      <c r="P163" s="282" t="str">
        <f ca="1">IFERROR(__xludf.DUMMYFUNCTION("""COMPUTED_VALUE"""),"=4,2")</f>
        <v>=4,2</v>
      </c>
      <c r="Q163" s="282" t="str">
        <f ca="1">IFERROR(__xludf.DUMMYFUNCTION("""COMPUTED_VALUE"""),"=32")</f>
        <v>=32</v>
      </c>
      <c r="R163" s="302" t="str">
        <f ca="1">IFERROR(__xludf.DUMMYFUNCTION("""COMPUTED_VALUE"""),"=2,05")</f>
        <v>=2,05</v>
      </c>
      <c r="S163" s="282" t="str">
        <f ca="1">IFERROR(__xludf.DUMMYFUNCTION("""COMPUTED_VALUE"""),"=340")</f>
        <v>=340</v>
      </c>
      <c r="T163" s="283" t="str">
        <f ca="1">IFERROR(__xludf.DUMMYFUNCTION("""COMPUTED_VALUE"""),"=225 + IF(AND(Steroid_Q; P_Q &gt; 0); 125; 0)")</f>
        <v>=225 + IF(AND(Steroid_Q; P_Q &gt; 0); 125; 0)</v>
      </c>
      <c r="U163" s="281" t="str">
        <f ca="1">IFERROR(__xludf.DUMMYFUNCTION("""COMPUTED_VALUE"""),"=(5 * P_Q + (0,825 + 0,075 * P_Q) * Self_AD) * MOD_Phys * (1 + Self_Crit * 1,2)")</f>
        <v>=(5 * P_Q + (0,825 + 0,075 * P_Q) * Self_AD) * MOD_Phys * (1 + Self_Crit * 1,2)</v>
      </c>
      <c r="V163" s="282" t="str">
        <f ca="1">IFERROR(__xludf.DUMMYFUNCTION("""COMPUTED_VALUE"""),"=0")</f>
        <v>=0</v>
      </c>
      <c r="W163" s="282" t="str">
        <f ca="1">IFERROR(__xludf.DUMMYFUNCTION("""COMPUTED_VALUE"""),"=(40 + 25 * P_Q + 0,2 * Self_AD) * MOD_Phys")</f>
        <v>=(40 + 25 * P_Q + 0,2 * Self_AD) * MOD_Phys</v>
      </c>
      <c r="X163" s="282" t="str">
        <f ca="1">IFERROR(__xludf.DUMMYFUNCTION("""COMPUTED_VALUE"""),"=(25 + 160 * P_R + 2,32 * Self_BoAD) * MOD_Phys")</f>
        <v>=(25 + 160 * P_R + 2,32 * Self_BoAD) * MOD_Phys</v>
      </c>
      <c r="Y163" s="283" t="str">
        <f ca="1">IFERROR(__xludf.DUMMYFUNCTION("""COMPUTED_VALUE"""),"=0")</f>
        <v>=0</v>
      </c>
      <c r="Z163" s="281" t="str">
        <f ca="1">IFERROR(__xludf.DUMMYFUNCTION("""COMPUTED_VALUE"""),"=4")</f>
        <v>=4</v>
      </c>
      <c r="AA163" s="282" t="str">
        <f ca="1">IFERROR(__xludf.DUMMYFUNCTION("""COMPUTED_VALUE"""),"=27 - P_W")</f>
        <v>=27 - P_W</v>
      </c>
      <c r="AB163" s="282" t="str">
        <f ca="1">IFERROR(__xludf.DUMMYFUNCTION("""COMPUTED_VALUE"""),"=29,5-3,5*P_E")</f>
        <v>=29,5-3,5*P_E</v>
      </c>
      <c r="AC163" s="282" t="str">
        <f ca="1">IFERROR(__xludf.DUMMYFUNCTION("""COMPUTED_VALUE"""),"=125-15*P_R")</f>
        <v>=125-15*P_R</v>
      </c>
      <c r="AD163" s="283" t="str">
        <f ca="1">IFERROR(__xludf.DUMMYFUNCTION("""COMPUTED_VALUE"""),"=1")</f>
        <v>=1</v>
      </c>
      <c r="AE163" s="281" t="b">
        <f ca="1">IFERROR(__xludf.DUMMYFUNCTION("""COMPUTED_VALUE"""),TRUE)</f>
        <v>1</v>
      </c>
      <c r="AF163" s="629" t="str">
        <f ca="1">IFERROR(__xludf.DUMMYFUNCTION("""COMPUTED_VALUE"""),"=Image(""https://ddragon.leagueoflegends.com/cdn/12.13.1/img/champion/Nilah.png"")")</f>
        <v>=Image("https://ddragon.leagueoflegends.com/cdn/12.13.1/img/champion/Nilah.png")</v>
      </c>
      <c r="AG163" s="629" t="str">
        <f ca="1">IFERROR(__xludf.DUMMYFUNCTION("""COMPUTED_VALUE"""),"=IF(OR(REGEXMATCH(FORMULATEXT(U163);""HMOD"");NOT(P_Q&gt;0));0;U163) * 3+IF(OR(REGEXMATCH(FORMULATEXT(V163);""HMOD"");NOT(P_W&gt;0));0;V163)+IF(OR(REGEXMATCH(FORMULATEXT(W163);""HMOD"");NOT(P_E&gt;0));0;W163)+IF(OR(REGEXMATCH(FORMULATEXT(X163);""HMOD"");NOT(P_R&gt;0)"&amp;");0;X163)+IF(REGEXMATCH(FORMULATEXT(Y163);""HMOD"");0;Y163)+Self_Proc_Item+Self_Proc_Summ+Self_Proc_Rune+Self_DPS")</f>
        <v>=IF(OR(REGEXMATCH(FORMULATEXT(U163);"HMOD");NOT(P_Q&gt;0));0;U163) * 3+IF(OR(REGEXMATCH(FORMULATEXT(V163);"HMOD");NOT(P_W&gt;0));0;V163)+IF(OR(REGEXMATCH(FORMULATEXT(W163);"HMOD");NOT(P_E&gt;0));0;W163)+IF(OR(REGEXMATCH(FORMULATEXT(X163);"HMOD");NOT(P_R&gt;0));0;X163)+IF(REGEXMATCH(FORMULATEXT(Y163);"HMOD");0;Y163)+Self_Proc_Item+Self_Proc_Summ+Self_Proc_Rune+Self_DPS</v>
      </c>
      <c r="AH163" s="629" t="str">
        <f ca="1">IFERROR(__xludf.DUMMYFUNCTION("""COMPUTED_VALUE"""),"=0")</f>
        <v>=0</v>
      </c>
      <c r="AI163" s="629" t="b">
        <f ca="1">IFERROR(__xludf.DUMMYFUNCTION("""COMPUTED_VALUE"""),FALSE)</f>
        <v>0</v>
      </c>
      <c r="AJ163" s="630" t="b">
        <f ca="1">IFERROR(__xludf.DUMMYFUNCTION("""COMPUTED_VALUE"""),FALSE)</f>
        <v>0</v>
      </c>
    </row>
    <row r="164" spans="1:36">
      <c r="A164" s="301" t="str">
        <f ca="1">IFERROR(__xludf.DUMMYFUNCTION("""COMPUTED_VALUE"""),"K'Sante")</f>
        <v>K'Sante</v>
      </c>
      <c r="B164" s="282" t="str">
        <f ca="1">IFERROR(__xludf.DUMMYFUNCTION("""COMPUTED_VALUE"""),"=610")</f>
        <v>=610</v>
      </c>
      <c r="C164" s="282" t="str">
        <f ca="1">IFERROR(__xludf.DUMMYFUNCTION("""COMPUTED_VALUE"""),"=114")</f>
        <v>=114</v>
      </c>
      <c r="D164" s="282" t="str">
        <f ca="1">IFERROR(__xludf.DUMMYFUNCTION("""COMPUTED_VALUE"""),"=9,5")</f>
        <v>=9,5</v>
      </c>
      <c r="E164" s="302" t="str">
        <f ca="1">IFERROR(__xludf.DUMMYFUNCTION("""COMPUTED_VALUE"""),"=0,85")</f>
        <v>=0,85</v>
      </c>
      <c r="F164" s="282" t="str">
        <f ca="1">IFERROR(__xludf.DUMMYFUNCTION("""COMPUTED_VALUE"""),"=290")</f>
        <v>=290</v>
      </c>
      <c r="G164" s="282" t="str">
        <f ca="1">IFERROR(__xludf.DUMMYFUNCTION("""COMPUTED_VALUE"""),"=60")</f>
        <v>=60</v>
      </c>
      <c r="H164" s="282" t="str">
        <f ca="1">IFERROR(__xludf.DUMMYFUNCTION("""COMPUTED_VALUE"""),"=7")</f>
        <v>=7</v>
      </c>
      <c r="I164" s="302" t="str">
        <f ca="1">IFERROR(__xludf.DUMMYFUNCTION("""COMPUTED_VALUE"""),"=1")</f>
        <v>=1</v>
      </c>
      <c r="J164" s="303" t="str">
        <f ca="1">IFERROR(__xludf.DUMMYFUNCTION("""COMPUTED_VALUE"""),"=64")</f>
        <v>=64</v>
      </c>
      <c r="K164" s="282" t="str">
        <f ca="1">IFERROR(__xludf.DUMMYFUNCTION("""COMPUTED_VALUE"""),"=3,5")</f>
        <v>=3,5</v>
      </c>
      <c r="L164" s="304" t="str">
        <f ca="1">IFERROR(__xludf.DUMMYFUNCTION("""COMPUTED_VALUE"""),"=0,625")</f>
        <v>=0,625</v>
      </c>
      <c r="M164" s="304" t="str">
        <f ca="1">IFERROR(__xludf.DUMMYFUNCTION("""COMPUTED_VALUE"""),"=0,625")</f>
        <v>=0,625</v>
      </c>
      <c r="N164" s="305" t="str">
        <f ca="1">IFERROR(__xludf.DUMMYFUNCTION("""COMPUTED_VALUE"""),"=0,025")</f>
        <v>=0,025</v>
      </c>
      <c r="O164" s="288" t="str">
        <f ca="1">IFERROR(__xludf.DUMMYFUNCTION("""COMPUTED_VALUE"""),"=33")</f>
        <v>=33</v>
      </c>
      <c r="P164" s="282" t="str">
        <f ca="1">IFERROR(__xludf.DUMMYFUNCTION("""COMPUTED_VALUE"""),"=4,7")</f>
        <v>=4,7</v>
      </c>
      <c r="Q164" s="282" t="str">
        <f ca="1">IFERROR(__xludf.DUMMYFUNCTION("""COMPUTED_VALUE"""),"=30")</f>
        <v>=30</v>
      </c>
      <c r="R164" s="302" t="str">
        <f ca="1">IFERROR(__xludf.DUMMYFUNCTION("""COMPUTED_VALUE"""),"=2,1")</f>
        <v>=2,1</v>
      </c>
      <c r="S164" s="282" t="str">
        <f ca="1">IFERROR(__xludf.DUMMYFUNCTION("""COMPUTED_VALUE"""),"=330")</f>
        <v>=330</v>
      </c>
      <c r="T164" s="283" t="str">
        <f ca="1">IFERROR(__xludf.DUMMYFUNCTION("""COMPUTED_VALUE"""),"=175")</f>
        <v>=175</v>
      </c>
      <c r="U164" s="281" t="str">
        <f ca="1">IFERROR(__xludf.DUMMYFUNCTION("""COMPUTED_VALUE"""),"=(25 * P_Q + 25 + 0,4 * Self_AD + 0,3 * Self_BoAR + 0,3 * Self_BoMR) * MOD_Phys")</f>
        <v>=(25 * P_Q + 25 + 0,4 * Self_AD + 0,3 * Self_BoAR + 0,3 * Self_BoMR) * MOD_Phys</v>
      </c>
      <c r="V164" s="282" t="str">
        <f ca="1">IFERROR(__xludf.DUMMYFUNCTION("""COMPUTED_VALUE"""),"=((0,0175 + IF(Steroid_W; 0,05; 0) + 0,0025 * P_W) * E_MHP + IF(Steroid_Form; IF(Steroid_W; 50 + 60 * P_W; 15 + 10 * P_W ) + 0,5 * Self_AD; 0)) * MOD_Phys")</f>
        <v>=((0,0175 + IF(Steroid_W; 0,05; 0) + 0,0025 * P_W) * E_MHP + IF(Steroid_Form; IF(Steroid_W; 50 + 60 * P_W; 15 + 10 * P_W ) + 0,5 * Self_AD; 0)) * MOD_Phys</v>
      </c>
      <c r="W164" s="282" t="str">
        <f ca="1">IFERROR(__xludf.DUMMYFUNCTION("""COMPUTED_VALUE"""),"=(25 + 20 * P_E + 0,15 * Self_MHP) * MOD_SelfHeal")</f>
        <v>=(25 + 20 * P_E + 0,15 * Self_MHP) * MOD_SelfHeal</v>
      </c>
      <c r="X164" s="282" t="str">
        <f ca="1">IFERROR(__xludf.DUMMYFUNCTION("""COMPUTED_VALUE"""),"=(35 * P_R + 0,2 * Self_AD + IF(Steroid_R; 50 + 100 * P_R + 0,2 * Self_AD; 0)) * MOD_Phys")</f>
        <v>=(35 * P_R + 0,2 * Self_AD + IF(Steroid_R; 50 + 100 * P_R + 0,2 * Self_AD; 0)) * MOD_Phys</v>
      </c>
      <c r="Y164" s="283" t="str">
        <f ca="1">IFERROR(__xludf.DUMMYFUNCTION("""COMPUTED_VALUE"""),"=(5 + 15 * Sc_Lin + (0,01 + ROUNDDOWN((Self_Level - 1) / 5) * (1/300)) * E_MHP) * MOD_Phys")</f>
        <v>=(5 + 15 * Sc_Lin + (0,01 + ROUNDDOWN((Self_Level - 1) / 5) * (1/300)) * E_MHP) * MOD_Phys</v>
      </c>
      <c r="Z164" s="281" t="str">
        <f ca="1">IFERROR(__xludf.DUMMYFUNCTION("""COMPUTED_VALUE"""),"=IF(IF(Steroid_Form; 2,5; 3,5) - IF(Self_BoAR + Self_BoMR &gt; 250; 250; Self_BoAR + Self_BoMR) * 0,007 &lt; 1,33; 1,33; IF(Steroid_Form; 2,5; 3,5) - IF(Self_BoAR + Self_BoMR &gt; 250; 250; Self_BoAR + Self_BoMR) * 0,007)")</f>
        <v>=IF(IF(Steroid_Form; 2,5; 3,5) - IF(Self_BoAR + Self_BoMR &gt; 250; 250; Self_BoAR + Self_BoMR) * 0,007 &lt; 1,33; 1,33; IF(Steroid_Form; 2,5; 3,5) - IF(Self_BoAR + Self_BoMR &gt; 250; 250; Self_BoAR + Self_BoMR) * 0,007)</v>
      </c>
      <c r="AA164" s="282" t="str">
        <f ca="1">IFERROR(__xludf.DUMMYFUNCTION("""COMPUTED_VALUE"""),"=26-2*P_W")</f>
        <v>=26-2*P_W</v>
      </c>
      <c r="AB164" s="282" t="str">
        <f ca="1">IFERROR(__xludf.DUMMYFUNCTION("""COMPUTED_VALUE"""),"=11-0,5*P_E")</f>
        <v>=11-0,5*P_E</v>
      </c>
      <c r="AC164" s="282" t="str">
        <f ca="1">IFERROR(__xludf.DUMMYFUNCTION("""COMPUTED_VALUE"""),"=140 - 20 * P_R")</f>
        <v>=140 - 20 * P_R</v>
      </c>
      <c r="AD164" s="283" t="str">
        <f ca="1">IFERROR(__xludf.DUMMYFUNCTION("""COMPUTED_VALUE"""),"=1")</f>
        <v>=1</v>
      </c>
      <c r="AE164" s="281" t="b">
        <f ca="1">IFERROR(__xludf.DUMMYFUNCTION("""COMPUTED_VALUE"""),TRUE)</f>
        <v>1</v>
      </c>
      <c r="AF164" s="629" t="str">
        <f ca="1">IFERROR(__xludf.DUMMYFUNCTION("""COMPUTED_VALUE"""),"=Image(""https://ddragon.leagueoflegends.com/cdn/12.21.1/img/champion/KSante.png"")")</f>
        <v>=Image("https://ddragon.leagueoflegends.com/cdn/12.21.1/img/champion/KSante.png")</v>
      </c>
      <c r="AG164" s="629" t="str">
        <f ca="1">IFERROR(__xludf.DUMMYFUNCTION("""COMPUTED_VALUE"""),"=IF(OR(REGEXMATCH(FORMULATEXT(U164);""HMOD"");NOT(P_Q&gt;0));0;U164) * 3+IF(OR(REGEXMATCH(FORMULATEXT(V164);""HMOD"");NOT(P_W&gt;0));0;V164)+IF(OR(REGEXMATCH(FORMULATEXT(W164);""HMOD"");NOT(P_E&gt;0));0;W164)+IF(OR(REGEXMATCH(FORMULATEXT(X164);""HMOD"");NOT(P_R&gt;0)"&amp;");0;X164)+IF(REGEXMATCH(FORMULATEXT(Y164);""HMOD"");0;Y164)+Self_Proc_Item+Self_Proc_Summ+Self_Proc_Rune+Self_DPS")</f>
        <v>=IF(OR(REGEXMATCH(FORMULATEXT(U164);"HMOD");NOT(P_Q&gt;0));0;U164) * 3+IF(OR(REGEXMATCH(FORMULATEXT(V164);"HMOD");NOT(P_W&gt;0));0;V164)+IF(OR(REGEXMATCH(FORMULATEXT(W164);"HMOD");NOT(P_E&gt;0));0;W164)+IF(OR(REGEXMATCH(FORMULATEXT(X164);"HMOD");NOT(P_R&gt;0));0;X164)+IF(REGEXMATCH(FORMULATEXT(Y164);"HMOD");0;Y164)+Self_Proc_Item+Self_Proc_Summ+Self_Proc_Rune+Self_DPS</v>
      </c>
      <c r="AH164" s="629" t="str">
        <f ca="1">IFERROR(__xludf.DUMMYFUNCTION("""COMPUTED_VALUE"""),"=0")</f>
        <v>=0</v>
      </c>
      <c r="AI164" s="629" t="b">
        <f ca="1">IFERROR(__xludf.DUMMYFUNCTION("""COMPUTED_VALUE"""),FALSE)</f>
        <v>0</v>
      </c>
      <c r="AJ164" s="630" t="b">
        <f ca="1">IFERROR(__xludf.DUMMYFUNCTION("""COMPUTED_VALUE"""),FALSE)</f>
        <v>0</v>
      </c>
    </row>
    <row r="165" spans="1:36">
      <c r="A165" s="301" t="str">
        <f ca="1">IFERROR(__xludf.DUMMYFUNCTION("""COMPUTED_VALUE"""),"Milio")</f>
        <v>Milio</v>
      </c>
      <c r="B165" s="282" t="str">
        <f ca="1">IFERROR(__xludf.DUMMYFUNCTION("""COMPUTED_VALUE"""),"=560")</f>
        <v>=560</v>
      </c>
      <c r="C165" s="282" t="str">
        <f ca="1">IFERROR(__xludf.DUMMYFUNCTION("""COMPUTED_VALUE"""),"=88")</f>
        <v>=88</v>
      </c>
      <c r="D165" s="282" t="str">
        <f ca="1">IFERROR(__xludf.DUMMYFUNCTION("""COMPUTED_VALUE"""),"=5")</f>
        <v>=5</v>
      </c>
      <c r="E165" s="302" t="str">
        <f ca="1">IFERROR(__xludf.DUMMYFUNCTION("""COMPUTED_VALUE"""),"=0,5")</f>
        <v>=0,5</v>
      </c>
      <c r="F165" s="282" t="str">
        <f ca="1">IFERROR(__xludf.DUMMYFUNCTION("""COMPUTED_VALUE"""),"=365")</f>
        <v>=365</v>
      </c>
      <c r="G165" s="282" t="str">
        <f ca="1">IFERROR(__xludf.DUMMYFUNCTION("""COMPUTED_VALUE"""),"=43")</f>
        <v>=43</v>
      </c>
      <c r="H165" s="282" t="str">
        <f ca="1">IFERROR(__xludf.DUMMYFUNCTION("""COMPUTED_VALUE"""),"=11,5")</f>
        <v>=11,5</v>
      </c>
      <c r="I165" s="302" t="str">
        <f ca="1">IFERROR(__xludf.DUMMYFUNCTION("""COMPUTED_VALUE"""),"=0,4")</f>
        <v>=0,4</v>
      </c>
      <c r="J165" s="303" t="str">
        <f ca="1">IFERROR(__xludf.DUMMYFUNCTION("""COMPUTED_VALUE"""),"=48")</f>
        <v>=48</v>
      </c>
      <c r="K165" s="282" t="str">
        <f ca="1">IFERROR(__xludf.DUMMYFUNCTION("""COMPUTED_VALUE"""),"=3,2")</f>
        <v>=3,2</v>
      </c>
      <c r="L165" s="304" t="str">
        <f ca="1">IFERROR(__xludf.DUMMYFUNCTION("""COMPUTED_VALUE"""),"=0,625")</f>
        <v>=0,625</v>
      </c>
      <c r="M165" s="304" t="str">
        <f ca="1">IFERROR(__xludf.DUMMYFUNCTION("""COMPUTED_VALUE"""),"=0,625")</f>
        <v>=0,625</v>
      </c>
      <c r="N165" s="305" t="str">
        <f ca="1">IFERROR(__xludf.DUMMYFUNCTION("""COMPUTED_VALUE"""),"=0,03")</f>
        <v>=0,03</v>
      </c>
      <c r="O165" s="288" t="str">
        <f ca="1">IFERROR(__xludf.DUMMYFUNCTION("""COMPUTED_VALUE"""),"=26")</f>
        <v>=26</v>
      </c>
      <c r="P165" s="282" t="str">
        <f ca="1">IFERROR(__xludf.DUMMYFUNCTION("""COMPUTED_VALUE"""),"=4,6")</f>
        <v>=4,6</v>
      </c>
      <c r="Q165" s="282" t="str">
        <f ca="1">IFERROR(__xludf.DUMMYFUNCTION("""COMPUTED_VALUE"""),"=30")</f>
        <v>=30</v>
      </c>
      <c r="R165" s="302" t="str">
        <f ca="1">IFERROR(__xludf.DUMMYFUNCTION("""COMPUTED_VALUE"""),"=1,2")</f>
        <v>=1,2</v>
      </c>
      <c r="S165" s="282" t="str">
        <f ca="1">IFERROR(__xludf.DUMMYFUNCTION("""COMPUTED_VALUE"""),"=330")</f>
        <v>=330</v>
      </c>
      <c r="T165" s="283" t="str">
        <f ca="1">IFERROR(__xludf.DUMMYFUNCTION("""COMPUTED_VALUE"""),"=525")</f>
        <v>=525</v>
      </c>
      <c r="U165" s="281" t="str">
        <f ca="1">IFERROR(__xludf.DUMMYFUNCTION("""COMPUTED_VALUE"""),"=(45 + 45 * P_Q + 0,9 * Self_AP) * MOD_Magic")</f>
        <v>=(45 + 45 * P_Q + 0,9 * Self_AP) * MOD_Magic</v>
      </c>
      <c r="V165" s="282" t="str">
        <f ca="1">IFERROR(__xludf.DUMMYFUNCTION("""COMPUTED_VALUE"""),"=(50 + 30 * P_W + 0,15 * Self_AP) * MOD_Heal")</f>
        <v>=(50 + 30 * P_W + 0,15 * Self_AP) * MOD_Heal</v>
      </c>
      <c r="W165" s="282" t="str">
        <f ca="1">IFERROR(__xludf.DUMMYFUNCTION("""COMPUTED_VALUE"""),"=(30 + 30 * P_E + 0,3 * Self_AP) * MOD_Heal")</f>
        <v>=(30 + 30 * P_E + 0,3 * Self_AP) * MOD_Heal</v>
      </c>
      <c r="X165" s="282" t="str">
        <f ca="1">IFERROR(__xludf.DUMMYFUNCTION("""COMPUTED_VALUE"""),"=(50 + 100 * P_R + 0,3 * Self_AP) * MOD_Heal")</f>
        <v>=(50 + 100 * P_R + 0,3 * Self_AP) * MOD_Heal</v>
      </c>
      <c r="Y165" s="283" t="str">
        <f ca="1">IFERROR(__xludf.DUMMYFUNCTION("""COMPUTED_VALUE"""),"=((0,15 + 0,35 * Sc_Lin) * Self_AD + 0,2 * Self_AP + 25 + 55 * Sc_Lin) * MOD_Magic")</f>
        <v>=((0,15 + 0,35 * Sc_Lin) * Self_AD + 0,2 * Self_AP + 25 + 55 * Sc_Lin) * MOD_Magic</v>
      </c>
      <c r="Z165" s="281" t="str">
        <f ca="1">IFERROR(__xludf.DUMMYFUNCTION("""COMPUTED_VALUE"""),"=12")</f>
        <v>=12</v>
      </c>
      <c r="AA165" s="282" t="str">
        <f ca="1">IFERROR(__xludf.DUMMYFUNCTION("""COMPUTED_VALUE"""),"=31 - 2 * P_W")</f>
        <v>=31 - 2 * P_W</v>
      </c>
      <c r="AB165" s="282" t="str">
        <f ca="1">IFERROR(__xludf.DUMMYFUNCTION("""COMPUTED_VALUE"""),"=18 - P_E")</f>
        <v>=18 - P_E</v>
      </c>
      <c r="AC165" s="282" t="str">
        <f ca="1">IFERROR(__xludf.DUMMYFUNCTION("""COMPUTED_VALUE"""),"=175-15*P_R")</f>
        <v>=175-15*P_R</v>
      </c>
      <c r="AD165" s="283" t="str">
        <f ca="1">IFERROR(__xludf.DUMMYFUNCTION("""COMPUTED_VALUE"""),"=1")</f>
        <v>=1</v>
      </c>
      <c r="AE165" s="281" t="b">
        <f ca="1">IFERROR(__xludf.DUMMYFUNCTION("""COMPUTED_VALUE"""),FALSE)</f>
        <v>0</v>
      </c>
      <c r="AF165" s="629" t="str">
        <f ca="1">IFERROR(__xludf.DUMMYFUNCTION("""COMPUTED_VALUE"""),"=Image(""https://ddragon.leagueoflegends.com/cdn/13.6.1/img/champion/Milio.png"")")</f>
        <v>=Image("https://ddragon.leagueoflegends.com/cdn/13.6.1/img/champion/Milio.png")</v>
      </c>
      <c r="AG165" s="629" t="str">
        <f ca="1">IFERROR(__xludf.DUMMYFUNCTION("""COMPUTED_VALUE"""),"=IF(OR(REGEXMATCH(FORMULATEXT(U165);""HMOD"");NOT(P_Q&gt;0));0;U165) * 3+IF(OR(REGEXMATCH(FORMULATEXT(V165);""HMOD"");NOT(P_W&gt;0));0;V165)+IF(OR(REGEXMATCH(FORMULATEXT(W165);""HMOD"");NOT(P_E&gt;0));0;W165)+IF(OR(REGEXMATCH(FORMULATEXT(X165);""HMOD"");NOT(P_R&gt;0)"&amp;");0;X165)+IF(REGEXMATCH(FORMULATEXT(Y165);""HMOD"");0;Y165)+Self_Proc_Item+Self_Proc_Summ+Self_Proc_Rune+Self_DPS")</f>
        <v>=IF(OR(REGEXMATCH(FORMULATEXT(U165);"HMOD");NOT(P_Q&gt;0));0;U165) * 3+IF(OR(REGEXMATCH(FORMULATEXT(V165);"HMOD");NOT(P_W&gt;0));0;V165)+IF(OR(REGEXMATCH(FORMULATEXT(W165);"HMOD");NOT(P_E&gt;0));0;W165)+IF(OR(REGEXMATCH(FORMULATEXT(X165);"HMOD");NOT(P_R&gt;0));0;X165)+IF(REGEXMATCH(FORMULATEXT(Y165);"HMOD");0;Y165)+Self_Proc_Item+Self_Proc_Summ+Self_Proc_Rune+Self_DPS</v>
      </c>
      <c r="AH165" s="629" t="str">
        <f ca="1">IFERROR(__xludf.DUMMYFUNCTION("""COMPUTED_VALUE"""),"=0")</f>
        <v>=0</v>
      </c>
      <c r="AI165" s="629" t="b">
        <f ca="1">IFERROR(__xludf.DUMMYFUNCTION("""COMPUTED_VALUE"""),FALSE)</f>
        <v>0</v>
      </c>
      <c r="AJ165" s="630" t="b">
        <f ca="1">IFERROR(__xludf.DUMMYFUNCTION("""COMPUTED_VALUE"""),FALSE)</f>
        <v>0</v>
      </c>
    </row>
    <row r="166" spans="1:36">
      <c r="A166" s="301"/>
      <c r="B166" s="282"/>
      <c r="C166" s="282"/>
      <c r="D166" s="282"/>
      <c r="E166" s="302"/>
      <c r="F166" s="282"/>
      <c r="G166" s="282"/>
      <c r="H166" s="282"/>
      <c r="I166" s="302"/>
      <c r="J166" s="303"/>
      <c r="K166" s="282"/>
      <c r="L166" s="304"/>
      <c r="M166" s="304"/>
      <c r="N166" s="305"/>
      <c r="O166" s="288"/>
      <c r="P166" s="282"/>
      <c r="Q166" s="282"/>
      <c r="R166" s="302"/>
      <c r="S166" s="285"/>
      <c r="T166" s="286"/>
      <c r="U166" s="281"/>
      <c r="V166" s="282"/>
      <c r="W166" s="282"/>
      <c r="X166" s="282"/>
      <c r="Y166" s="283"/>
      <c r="Z166" s="284"/>
      <c r="AA166" s="285"/>
      <c r="AB166" s="285"/>
      <c r="AC166" s="285"/>
      <c r="AD166" s="286"/>
      <c r="AE166" s="281" t="b">
        <f ca="1">IFERROR(__xludf.DUMMYFUNCTION("""COMPUTED_VALUE"""),FALSE)</f>
        <v>0</v>
      </c>
      <c r="AF166" s="631"/>
      <c r="AG166" s="629"/>
      <c r="AH166" s="629"/>
      <c r="AI166" s="629" t="b">
        <f ca="1">IFERROR(__xludf.DUMMYFUNCTION("""COMPUTED_VALUE"""),FALSE)</f>
        <v>0</v>
      </c>
      <c r="AJ166" s="630" t="b">
        <f ca="1">IFERROR(__xludf.DUMMYFUNCTION("""COMPUTED_VALUE"""),FALSE)</f>
        <v>0</v>
      </c>
    </row>
    <row r="167" spans="1:36">
      <c r="A167" s="301"/>
      <c r="B167" s="282"/>
      <c r="C167" s="282"/>
      <c r="D167" s="282"/>
      <c r="E167" s="302"/>
      <c r="F167" s="282"/>
      <c r="G167" s="282"/>
      <c r="H167" s="282"/>
      <c r="I167" s="302"/>
      <c r="J167" s="303"/>
      <c r="K167" s="282"/>
      <c r="L167" s="304"/>
      <c r="M167" s="304"/>
      <c r="N167" s="305"/>
      <c r="O167" s="288"/>
      <c r="P167" s="282"/>
      <c r="Q167" s="282"/>
      <c r="R167" s="302"/>
      <c r="S167" s="285"/>
      <c r="T167" s="286"/>
      <c r="U167" s="281"/>
      <c r="V167" s="282"/>
      <c r="W167" s="282"/>
      <c r="X167" s="282"/>
      <c r="Y167" s="283"/>
      <c r="Z167" s="284"/>
      <c r="AA167" s="285"/>
      <c r="AB167" s="285"/>
      <c r="AC167" s="285"/>
      <c r="AD167" s="286"/>
      <c r="AE167" s="281" t="b">
        <f ca="1">IFERROR(__xludf.DUMMYFUNCTION("""COMPUTED_VALUE"""),FALSE)</f>
        <v>0</v>
      </c>
      <c r="AF167" s="631"/>
      <c r="AG167" s="629"/>
      <c r="AH167" s="629"/>
      <c r="AI167" s="629" t="b">
        <f ca="1">IFERROR(__xludf.DUMMYFUNCTION("""COMPUTED_VALUE"""),FALSE)</f>
        <v>0</v>
      </c>
      <c r="AJ167" s="630" t="b">
        <f ca="1">IFERROR(__xludf.DUMMYFUNCTION("""COMPUTED_VALUE"""),FALSE)</f>
        <v>0</v>
      </c>
    </row>
    <row r="168" spans="1:36">
      <c r="A168" s="301"/>
      <c r="B168" s="282"/>
      <c r="C168" s="282"/>
      <c r="D168" s="282"/>
      <c r="E168" s="302"/>
      <c r="F168" s="282"/>
      <c r="G168" s="282"/>
      <c r="H168" s="282"/>
      <c r="I168" s="302"/>
      <c r="J168" s="303"/>
      <c r="K168" s="282"/>
      <c r="L168" s="304"/>
      <c r="M168" s="304"/>
      <c r="N168" s="305"/>
      <c r="O168" s="288"/>
      <c r="P168" s="282"/>
      <c r="Q168" s="282"/>
      <c r="R168" s="302"/>
      <c r="S168" s="285"/>
      <c r="T168" s="286"/>
      <c r="U168" s="281"/>
      <c r="V168" s="282"/>
      <c r="W168" s="282"/>
      <c r="X168" s="282"/>
      <c r="Y168" s="283"/>
      <c r="Z168" s="284"/>
      <c r="AA168" s="285"/>
      <c r="AB168" s="285"/>
      <c r="AC168" s="285"/>
      <c r="AD168" s="286"/>
      <c r="AE168" s="281" t="b">
        <f ca="1">IFERROR(__xludf.DUMMYFUNCTION("""COMPUTED_VALUE"""),FALSE)</f>
        <v>0</v>
      </c>
      <c r="AF168" s="631"/>
      <c r="AG168" s="629"/>
      <c r="AH168" s="629"/>
      <c r="AI168" s="629" t="b">
        <f ca="1">IFERROR(__xludf.DUMMYFUNCTION("""COMPUTED_VALUE"""),FALSE)</f>
        <v>0</v>
      </c>
      <c r="AJ168" s="630" t="b">
        <f ca="1">IFERROR(__xludf.DUMMYFUNCTION("""COMPUTED_VALUE"""),FALSE)</f>
        <v>0</v>
      </c>
    </row>
    <row r="169" spans="1:36">
      <c r="A169" s="301"/>
      <c r="B169" s="282"/>
      <c r="C169" s="282"/>
      <c r="D169" s="282"/>
      <c r="E169" s="302"/>
      <c r="F169" s="282"/>
      <c r="G169" s="282"/>
      <c r="H169" s="282"/>
      <c r="I169" s="302"/>
      <c r="J169" s="303"/>
      <c r="K169" s="282"/>
      <c r="L169" s="304"/>
      <c r="M169" s="304"/>
      <c r="N169" s="305"/>
      <c r="O169" s="288"/>
      <c r="P169" s="282"/>
      <c r="Q169" s="282"/>
      <c r="R169" s="302"/>
      <c r="S169" s="285"/>
      <c r="T169" s="286"/>
      <c r="U169" s="281"/>
      <c r="V169" s="282"/>
      <c r="W169" s="282"/>
      <c r="X169" s="282"/>
      <c r="Y169" s="283"/>
      <c r="Z169" s="284"/>
      <c r="AA169" s="285"/>
      <c r="AB169" s="285"/>
      <c r="AC169" s="285"/>
      <c r="AD169" s="286"/>
      <c r="AE169" s="281" t="b">
        <f ca="1">IFERROR(__xludf.DUMMYFUNCTION("""COMPUTED_VALUE"""),FALSE)</f>
        <v>0</v>
      </c>
      <c r="AF169" s="631"/>
      <c r="AG169" s="629"/>
      <c r="AH169" s="629"/>
      <c r="AI169" s="629" t="b">
        <f ca="1">IFERROR(__xludf.DUMMYFUNCTION("""COMPUTED_VALUE"""),FALSE)</f>
        <v>0</v>
      </c>
      <c r="AJ169" s="630" t="b">
        <f ca="1">IFERROR(__xludf.DUMMYFUNCTION("""COMPUTED_VALUE"""),FALSE)</f>
        <v>0</v>
      </c>
    </row>
    <row r="170" spans="1:36">
      <c r="A170" s="301"/>
      <c r="B170" s="282"/>
      <c r="C170" s="282"/>
      <c r="D170" s="282"/>
      <c r="E170" s="302"/>
      <c r="F170" s="282"/>
      <c r="G170" s="282"/>
      <c r="H170" s="282"/>
      <c r="I170" s="302"/>
      <c r="J170" s="303"/>
      <c r="K170" s="282"/>
      <c r="L170" s="304"/>
      <c r="M170" s="304"/>
      <c r="N170" s="305"/>
      <c r="O170" s="288"/>
      <c r="P170" s="282"/>
      <c r="Q170" s="282"/>
      <c r="R170" s="302"/>
      <c r="S170" s="285"/>
      <c r="T170" s="286"/>
      <c r="U170" s="281"/>
      <c r="V170" s="282"/>
      <c r="W170" s="282"/>
      <c r="X170" s="282"/>
      <c r="Y170" s="283"/>
      <c r="Z170" s="284"/>
      <c r="AA170" s="285"/>
      <c r="AB170" s="285"/>
      <c r="AC170" s="285"/>
      <c r="AD170" s="286"/>
      <c r="AE170" s="281" t="b">
        <f ca="1">IFERROR(__xludf.DUMMYFUNCTION("""COMPUTED_VALUE"""),FALSE)</f>
        <v>0</v>
      </c>
      <c r="AF170" s="631"/>
      <c r="AG170" s="629"/>
      <c r="AH170" s="629"/>
      <c r="AI170" s="629" t="b">
        <f ca="1">IFERROR(__xludf.DUMMYFUNCTION("""COMPUTED_VALUE"""),FALSE)</f>
        <v>0</v>
      </c>
      <c r="AJ170" s="630" t="b">
        <f ca="1">IFERROR(__xludf.DUMMYFUNCTION("""COMPUTED_VALUE"""),FALSE)</f>
        <v>0</v>
      </c>
    </row>
    <row r="171" spans="1:36">
      <c r="A171" s="301"/>
      <c r="B171" s="282"/>
      <c r="C171" s="282"/>
      <c r="D171" s="282"/>
      <c r="E171" s="302"/>
      <c r="F171" s="282"/>
      <c r="G171" s="282"/>
      <c r="H171" s="282"/>
      <c r="I171" s="302"/>
      <c r="J171" s="303"/>
      <c r="K171" s="282"/>
      <c r="L171" s="304"/>
      <c r="M171" s="304"/>
      <c r="N171" s="305"/>
      <c r="O171" s="288"/>
      <c r="P171" s="282"/>
      <c r="Q171" s="282"/>
      <c r="R171" s="302"/>
      <c r="S171" s="285"/>
      <c r="T171" s="286"/>
      <c r="U171" s="281"/>
      <c r="V171" s="282"/>
      <c r="W171" s="282"/>
      <c r="X171" s="282"/>
      <c r="Y171" s="283"/>
      <c r="Z171" s="284"/>
      <c r="AA171" s="285"/>
      <c r="AB171" s="285"/>
      <c r="AC171" s="285"/>
      <c r="AD171" s="286"/>
      <c r="AE171" s="281" t="b">
        <f ca="1">IFERROR(__xludf.DUMMYFUNCTION("""COMPUTED_VALUE"""),FALSE)</f>
        <v>0</v>
      </c>
      <c r="AF171" s="631"/>
      <c r="AG171" s="629"/>
      <c r="AH171" s="629"/>
      <c r="AI171" s="629" t="b">
        <f ca="1">IFERROR(__xludf.DUMMYFUNCTION("""COMPUTED_VALUE"""),FALSE)</f>
        <v>0</v>
      </c>
      <c r="AJ171" s="630" t="b">
        <f ca="1">IFERROR(__xludf.DUMMYFUNCTION("""COMPUTED_VALUE"""),FALSE)</f>
        <v>0</v>
      </c>
    </row>
    <row r="172" spans="1:36">
      <c r="A172" s="301"/>
      <c r="B172" s="282"/>
      <c r="C172" s="282"/>
      <c r="D172" s="282"/>
      <c r="E172" s="302"/>
      <c r="F172" s="282"/>
      <c r="G172" s="282"/>
      <c r="H172" s="282"/>
      <c r="I172" s="302"/>
      <c r="J172" s="303"/>
      <c r="K172" s="282"/>
      <c r="L172" s="304"/>
      <c r="M172" s="304"/>
      <c r="N172" s="305"/>
      <c r="O172" s="288"/>
      <c r="P172" s="282"/>
      <c r="Q172" s="282"/>
      <c r="R172" s="302"/>
      <c r="S172" s="285"/>
      <c r="T172" s="286"/>
      <c r="U172" s="281"/>
      <c r="V172" s="282"/>
      <c r="W172" s="282"/>
      <c r="X172" s="282"/>
      <c r="Y172" s="283"/>
      <c r="Z172" s="284"/>
      <c r="AA172" s="285"/>
      <c r="AB172" s="285"/>
      <c r="AC172" s="285"/>
      <c r="AD172" s="286"/>
      <c r="AE172" s="281" t="b">
        <f ca="1">IFERROR(__xludf.DUMMYFUNCTION("""COMPUTED_VALUE"""),FALSE)</f>
        <v>0</v>
      </c>
      <c r="AF172" s="631"/>
      <c r="AG172" s="629"/>
      <c r="AH172" s="629"/>
      <c r="AI172" s="629" t="b">
        <f ca="1">IFERROR(__xludf.DUMMYFUNCTION("""COMPUTED_VALUE"""),FALSE)</f>
        <v>0</v>
      </c>
      <c r="AJ172" s="630" t="b">
        <f ca="1">IFERROR(__xludf.DUMMYFUNCTION("""COMPUTED_VALUE"""),FALSE)</f>
        <v>0</v>
      </c>
    </row>
    <row r="173" spans="1:36">
      <c r="A173" s="301"/>
      <c r="B173" s="282"/>
      <c r="C173" s="282"/>
      <c r="D173" s="282"/>
      <c r="E173" s="302"/>
      <c r="F173" s="282"/>
      <c r="G173" s="282"/>
      <c r="H173" s="282"/>
      <c r="I173" s="302"/>
      <c r="J173" s="303"/>
      <c r="K173" s="282"/>
      <c r="L173" s="304"/>
      <c r="M173" s="304"/>
      <c r="N173" s="305"/>
      <c r="O173" s="288"/>
      <c r="P173" s="282"/>
      <c r="Q173" s="282"/>
      <c r="R173" s="302"/>
      <c r="S173" s="285"/>
      <c r="T173" s="286"/>
      <c r="U173" s="281"/>
      <c r="V173" s="282"/>
      <c r="W173" s="282"/>
      <c r="X173" s="282"/>
      <c r="Y173" s="283"/>
      <c r="Z173" s="284"/>
      <c r="AA173" s="285"/>
      <c r="AB173" s="285"/>
      <c r="AC173" s="285"/>
      <c r="AD173" s="286"/>
      <c r="AE173" s="281" t="b">
        <f ca="1">IFERROR(__xludf.DUMMYFUNCTION("""COMPUTED_VALUE"""),FALSE)</f>
        <v>0</v>
      </c>
      <c r="AF173" s="631"/>
      <c r="AG173" s="629"/>
      <c r="AH173" s="629"/>
      <c r="AI173" s="629" t="b">
        <f ca="1">IFERROR(__xludf.DUMMYFUNCTION("""COMPUTED_VALUE"""),FALSE)</f>
        <v>0</v>
      </c>
      <c r="AJ173" s="630" t="b">
        <f ca="1">IFERROR(__xludf.DUMMYFUNCTION("""COMPUTED_VALUE"""),FALSE)</f>
        <v>0</v>
      </c>
    </row>
    <row r="174" spans="1:36">
      <c r="A174" s="301"/>
      <c r="B174" s="282"/>
      <c r="C174" s="282"/>
      <c r="D174" s="282"/>
      <c r="E174" s="302"/>
      <c r="F174" s="282"/>
      <c r="G174" s="282"/>
      <c r="H174" s="282"/>
      <c r="I174" s="302"/>
      <c r="J174" s="303"/>
      <c r="K174" s="282"/>
      <c r="L174" s="304"/>
      <c r="M174" s="304"/>
      <c r="N174" s="305"/>
      <c r="O174" s="288"/>
      <c r="P174" s="282"/>
      <c r="Q174" s="282"/>
      <c r="R174" s="302"/>
      <c r="S174" s="285"/>
      <c r="T174" s="286"/>
      <c r="U174" s="281"/>
      <c r="V174" s="282"/>
      <c r="W174" s="282"/>
      <c r="X174" s="282"/>
      <c r="Y174" s="283"/>
      <c r="Z174" s="284"/>
      <c r="AA174" s="285"/>
      <c r="AB174" s="285"/>
      <c r="AC174" s="285"/>
      <c r="AD174" s="286"/>
      <c r="AE174" s="281" t="b">
        <f ca="1">IFERROR(__xludf.DUMMYFUNCTION("""COMPUTED_VALUE"""),FALSE)</f>
        <v>0</v>
      </c>
      <c r="AF174" s="631"/>
      <c r="AG174" s="629"/>
      <c r="AH174" s="629"/>
      <c r="AI174" s="629" t="b">
        <f ca="1">IFERROR(__xludf.DUMMYFUNCTION("""COMPUTED_VALUE"""),FALSE)</f>
        <v>0</v>
      </c>
      <c r="AJ174" s="630" t="b">
        <f ca="1">IFERROR(__xludf.DUMMYFUNCTION("""COMPUTED_VALUE"""),FALSE)</f>
        <v>0</v>
      </c>
    </row>
    <row r="175" spans="1:36">
      <c r="A175" s="301"/>
      <c r="B175" s="282"/>
      <c r="C175" s="282"/>
      <c r="D175" s="282"/>
      <c r="E175" s="302"/>
      <c r="F175" s="282"/>
      <c r="G175" s="282"/>
      <c r="H175" s="282"/>
      <c r="I175" s="302"/>
      <c r="J175" s="303"/>
      <c r="K175" s="282"/>
      <c r="L175" s="304"/>
      <c r="M175" s="304"/>
      <c r="N175" s="305"/>
      <c r="O175" s="288"/>
      <c r="P175" s="282"/>
      <c r="Q175" s="282"/>
      <c r="R175" s="302"/>
      <c r="S175" s="285"/>
      <c r="T175" s="286"/>
      <c r="U175" s="281"/>
      <c r="V175" s="282"/>
      <c r="W175" s="282"/>
      <c r="X175" s="282"/>
      <c r="Y175" s="283"/>
      <c r="Z175" s="284"/>
      <c r="AA175" s="285"/>
      <c r="AB175" s="285"/>
      <c r="AC175" s="285"/>
      <c r="AD175" s="286"/>
      <c r="AE175" s="281" t="b">
        <f ca="1">IFERROR(__xludf.DUMMYFUNCTION("""COMPUTED_VALUE"""),FALSE)</f>
        <v>0</v>
      </c>
      <c r="AF175" s="631"/>
      <c r="AG175" s="629"/>
      <c r="AH175" s="629"/>
      <c r="AI175" s="629" t="b">
        <f ca="1">IFERROR(__xludf.DUMMYFUNCTION("""COMPUTED_VALUE"""),FALSE)</f>
        <v>0</v>
      </c>
      <c r="AJ175" s="630" t="b">
        <f ca="1">IFERROR(__xludf.DUMMYFUNCTION("""COMPUTED_VALUE"""),FALSE)</f>
        <v>0</v>
      </c>
    </row>
    <row r="176" spans="1:36">
      <c r="A176" s="301"/>
      <c r="B176" s="282"/>
      <c r="C176" s="282"/>
      <c r="D176" s="282"/>
      <c r="E176" s="302"/>
      <c r="F176" s="282"/>
      <c r="G176" s="282"/>
      <c r="H176" s="282"/>
      <c r="I176" s="302"/>
      <c r="J176" s="303"/>
      <c r="K176" s="282"/>
      <c r="L176" s="304"/>
      <c r="M176" s="304"/>
      <c r="N176" s="305"/>
      <c r="O176" s="288"/>
      <c r="P176" s="282"/>
      <c r="Q176" s="282"/>
      <c r="R176" s="302"/>
      <c r="S176" s="285"/>
      <c r="T176" s="286"/>
      <c r="U176" s="281"/>
      <c r="V176" s="282"/>
      <c r="W176" s="282"/>
      <c r="X176" s="282"/>
      <c r="Y176" s="283"/>
      <c r="Z176" s="284"/>
      <c r="AA176" s="285"/>
      <c r="AB176" s="285"/>
      <c r="AC176" s="285"/>
      <c r="AD176" s="286"/>
      <c r="AE176" s="281" t="b">
        <f ca="1">IFERROR(__xludf.DUMMYFUNCTION("""COMPUTED_VALUE"""),FALSE)</f>
        <v>0</v>
      </c>
      <c r="AF176" s="631"/>
      <c r="AG176" s="629"/>
      <c r="AH176" s="629"/>
      <c r="AI176" s="629" t="b">
        <f ca="1">IFERROR(__xludf.DUMMYFUNCTION("""COMPUTED_VALUE"""),FALSE)</f>
        <v>0</v>
      </c>
      <c r="AJ176" s="630" t="b">
        <f ca="1">IFERROR(__xludf.DUMMYFUNCTION("""COMPUTED_VALUE"""),FALSE)</f>
        <v>0</v>
      </c>
    </row>
    <row r="177" spans="1:36">
      <c r="A177" s="301"/>
      <c r="B177" s="282"/>
      <c r="C177" s="282"/>
      <c r="D177" s="282"/>
      <c r="E177" s="302"/>
      <c r="F177" s="282"/>
      <c r="G177" s="282"/>
      <c r="H177" s="282"/>
      <c r="I177" s="302"/>
      <c r="J177" s="303"/>
      <c r="K177" s="282"/>
      <c r="L177" s="304"/>
      <c r="M177" s="304"/>
      <c r="N177" s="305"/>
      <c r="O177" s="288"/>
      <c r="P177" s="282"/>
      <c r="Q177" s="282"/>
      <c r="R177" s="302"/>
      <c r="S177" s="285"/>
      <c r="T177" s="286"/>
      <c r="U177" s="281"/>
      <c r="V177" s="282"/>
      <c r="W177" s="282"/>
      <c r="X177" s="282"/>
      <c r="Y177" s="283"/>
      <c r="Z177" s="284"/>
      <c r="AA177" s="285"/>
      <c r="AB177" s="285"/>
      <c r="AC177" s="285"/>
      <c r="AD177" s="286"/>
      <c r="AE177" s="281" t="b">
        <f ca="1">IFERROR(__xludf.DUMMYFUNCTION("""COMPUTED_VALUE"""),FALSE)</f>
        <v>0</v>
      </c>
      <c r="AF177" s="631"/>
      <c r="AG177" s="629"/>
      <c r="AH177" s="629"/>
      <c r="AI177" s="629" t="b">
        <f ca="1">IFERROR(__xludf.DUMMYFUNCTION("""COMPUTED_VALUE"""),FALSE)</f>
        <v>0</v>
      </c>
      <c r="AJ177" s="630" t="b">
        <f ca="1">IFERROR(__xludf.DUMMYFUNCTION("""COMPUTED_VALUE"""),FALSE)</f>
        <v>0</v>
      </c>
    </row>
    <row r="178" spans="1:36">
      <c r="A178" s="301"/>
      <c r="B178" s="282"/>
      <c r="C178" s="282"/>
      <c r="D178" s="282"/>
      <c r="E178" s="302"/>
      <c r="F178" s="282"/>
      <c r="G178" s="282"/>
      <c r="H178" s="282"/>
      <c r="I178" s="302"/>
      <c r="J178" s="303"/>
      <c r="K178" s="282"/>
      <c r="L178" s="304"/>
      <c r="M178" s="304"/>
      <c r="N178" s="305"/>
      <c r="O178" s="288"/>
      <c r="P178" s="282"/>
      <c r="Q178" s="282"/>
      <c r="R178" s="302"/>
      <c r="S178" s="285"/>
      <c r="T178" s="286"/>
      <c r="U178" s="281"/>
      <c r="V178" s="282"/>
      <c r="W178" s="282"/>
      <c r="X178" s="282"/>
      <c r="Y178" s="283"/>
      <c r="Z178" s="284"/>
      <c r="AA178" s="285"/>
      <c r="AB178" s="285"/>
      <c r="AC178" s="285"/>
      <c r="AD178" s="286"/>
      <c r="AE178" s="281" t="b">
        <f ca="1">IFERROR(__xludf.DUMMYFUNCTION("""COMPUTED_VALUE"""),FALSE)</f>
        <v>0</v>
      </c>
      <c r="AF178" s="631"/>
      <c r="AG178" s="629"/>
      <c r="AH178" s="629"/>
      <c r="AI178" s="629" t="b">
        <f ca="1">IFERROR(__xludf.DUMMYFUNCTION("""COMPUTED_VALUE"""),FALSE)</f>
        <v>0</v>
      </c>
      <c r="AJ178" s="630" t="b">
        <f ca="1">IFERROR(__xludf.DUMMYFUNCTION("""COMPUTED_VALUE"""),FALSE)</f>
        <v>0</v>
      </c>
    </row>
    <row r="179" spans="1:36">
      <c r="A179" s="301"/>
      <c r="B179" s="282"/>
      <c r="C179" s="282"/>
      <c r="D179" s="282"/>
      <c r="E179" s="302"/>
      <c r="F179" s="282"/>
      <c r="G179" s="282"/>
      <c r="H179" s="282"/>
      <c r="I179" s="302"/>
      <c r="J179" s="303"/>
      <c r="K179" s="282"/>
      <c r="L179" s="304"/>
      <c r="M179" s="304"/>
      <c r="N179" s="305"/>
      <c r="O179" s="288"/>
      <c r="P179" s="282"/>
      <c r="Q179" s="282"/>
      <c r="R179" s="302"/>
      <c r="S179" s="285"/>
      <c r="T179" s="286"/>
      <c r="U179" s="281"/>
      <c r="V179" s="282"/>
      <c r="W179" s="282"/>
      <c r="X179" s="282"/>
      <c r="Y179" s="283"/>
      <c r="Z179" s="284"/>
      <c r="AA179" s="285"/>
      <c r="AB179" s="285"/>
      <c r="AC179" s="285"/>
      <c r="AD179" s="286"/>
      <c r="AE179" s="281" t="b">
        <f ca="1">IFERROR(__xludf.DUMMYFUNCTION("""COMPUTED_VALUE"""),FALSE)</f>
        <v>0</v>
      </c>
      <c r="AF179" s="631"/>
      <c r="AG179" s="629"/>
      <c r="AH179" s="629"/>
      <c r="AI179" s="629" t="b">
        <f ca="1">IFERROR(__xludf.DUMMYFUNCTION("""COMPUTED_VALUE"""),FALSE)</f>
        <v>0</v>
      </c>
      <c r="AJ179" s="630" t="b">
        <f ca="1">IFERROR(__xludf.DUMMYFUNCTION("""COMPUTED_VALUE"""),FALSE)</f>
        <v>0</v>
      </c>
    </row>
    <row r="180" spans="1:36">
      <c r="A180" s="301"/>
      <c r="B180" s="282"/>
      <c r="C180" s="282"/>
      <c r="D180" s="282"/>
      <c r="E180" s="302"/>
      <c r="F180" s="282"/>
      <c r="G180" s="282"/>
      <c r="H180" s="282"/>
      <c r="I180" s="302"/>
      <c r="J180" s="303"/>
      <c r="K180" s="282"/>
      <c r="L180" s="304"/>
      <c r="M180" s="304"/>
      <c r="N180" s="305"/>
      <c r="O180" s="288"/>
      <c r="P180" s="282"/>
      <c r="Q180" s="282"/>
      <c r="R180" s="302"/>
      <c r="S180" s="285"/>
      <c r="T180" s="286"/>
      <c r="U180" s="281"/>
      <c r="V180" s="282"/>
      <c r="W180" s="282"/>
      <c r="X180" s="282"/>
      <c r="Y180" s="283"/>
      <c r="Z180" s="284"/>
      <c r="AA180" s="285"/>
      <c r="AB180" s="285"/>
      <c r="AC180" s="285"/>
      <c r="AD180" s="286"/>
      <c r="AE180" s="281" t="b">
        <f ca="1">IFERROR(__xludf.DUMMYFUNCTION("""COMPUTED_VALUE"""),FALSE)</f>
        <v>0</v>
      </c>
      <c r="AF180" s="631"/>
      <c r="AG180" s="629"/>
      <c r="AH180" s="629"/>
      <c r="AI180" s="629" t="b">
        <f ca="1">IFERROR(__xludf.DUMMYFUNCTION("""COMPUTED_VALUE"""),FALSE)</f>
        <v>0</v>
      </c>
      <c r="AJ180" s="630" t="b">
        <f ca="1">IFERROR(__xludf.DUMMYFUNCTION("""COMPUTED_VALUE"""),FALSE)</f>
        <v>0</v>
      </c>
    </row>
    <row r="181" spans="1:36">
      <c r="A181" s="301"/>
      <c r="B181" s="282"/>
      <c r="C181" s="282"/>
      <c r="D181" s="282"/>
      <c r="E181" s="302"/>
      <c r="F181" s="282"/>
      <c r="G181" s="282"/>
      <c r="H181" s="282"/>
      <c r="I181" s="302"/>
      <c r="J181" s="303"/>
      <c r="K181" s="282"/>
      <c r="L181" s="304"/>
      <c r="M181" s="304"/>
      <c r="N181" s="305"/>
      <c r="O181" s="288"/>
      <c r="P181" s="282"/>
      <c r="Q181" s="282"/>
      <c r="R181" s="302"/>
      <c r="S181" s="285"/>
      <c r="T181" s="286"/>
      <c r="U181" s="281"/>
      <c r="V181" s="282"/>
      <c r="W181" s="282"/>
      <c r="X181" s="282"/>
      <c r="Y181" s="283"/>
      <c r="Z181" s="284"/>
      <c r="AA181" s="285"/>
      <c r="AB181" s="285"/>
      <c r="AC181" s="285"/>
      <c r="AD181" s="286"/>
      <c r="AE181" s="281" t="b">
        <f ca="1">IFERROR(__xludf.DUMMYFUNCTION("""COMPUTED_VALUE"""),FALSE)</f>
        <v>0</v>
      </c>
      <c r="AF181" s="631"/>
      <c r="AG181" s="629"/>
      <c r="AH181" s="629"/>
      <c r="AI181" s="629" t="b">
        <f ca="1">IFERROR(__xludf.DUMMYFUNCTION("""COMPUTED_VALUE"""),FALSE)</f>
        <v>0</v>
      </c>
      <c r="AJ181" s="630" t="b">
        <f ca="1">IFERROR(__xludf.DUMMYFUNCTION("""COMPUTED_VALUE"""),FALSE)</f>
        <v>0</v>
      </c>
    </row>
    <row r="182" spans="1:36">
      <c r="A182" s="301"/>
      <c r="B182" s="282"/>
      <c r="C182" s="282"/>
      <c r="D182" s="282"/>
      <c r="E182" s="302"/>
      <c r="F182" s="282"/>
      <c r="G182" s="282"/>
      <c r="H182" s="282"/>
      <c r="I182" s="302"/>
      <c r="J182" s="303"/>
      <c r="K182" s="282"/>
      <c r="L182" s="304"/>
      <c r="M182" s="304"/>
      <c r="N182" s="305"/>
      <c r="O182" s="288"/>
      <c r="P182" s="282"/>
      <c r="Q182" s="282"/>
      <c r="R182" s="302"/>
      <c r="S182" s="285"/>
      <c r="T182" s="286"/>
      <c r="U182" s="281"/>
      <c r="V182" s="282"/>
      <c r="W182" s="282"/>
      <c r="X182" s="282"/>
      <c r="Y182" s="283"/>
      <c r="Z182" s="284"/>
      <c r="AA182" s="285"/>
      <c r="AB182" s="285"/>
      <c r="AC182" s="285"/>
      <c r="AD182" s="286"/>
      <c r="AE182" s="281" t="b">
        <f ca="1">IFERROR(__xludf.DUMMYFUNCTION("""COMPUTED_VALUE"""),FALSE)</f>
        <v>0</v>
      </c>
      <c r="AF182" s="631"/>
      <c r="AG182" s="629"/>
      <c r="AH182" s="629"/>
      <c r="AI182" s="629" t="b">
        <f ca="1">IFERROR(__xludf.DUMMYFUNCTION("""COMPUTED_VALUE"""),FALSE)</f>
        <v>0</v>
      </c>
      <c r="AJ182" s="630" t="b">
        <f ca="1">IFERROR(__xludf.DUMMYFUNCTION("""COMPUTED_VALUE"""),FALSE)</f>
        <v>0</v>
      </c>
    </row>
    <row r="183" spans="1:36">
      <c r="A183" s="301"/>
      <c r="B183" s="282"/>
      <c r="C183" s="282"/>
      <c r="D183" s="282"/>
      <c r="E183" s="302"/>
      <c r="F183" s="282"/>
      <c r="G183" s="282"/>
      <c r="H183" s="282"/>
      <c r="I183" s="302"/>
      <c r="J183" s="303"/>
      <c r="K183" s="282"/>
      <c r="L183" s="304"/>
      <c r="M183" s="304"/>
      <c r="N183" s="305"/>
      <c r="O183" s="288"/>
      <c r="P183" s="282"/>
      <c r="Q183" s="282"/>
      <c r="R183" s="302"/>
      <c r="S183" s="285"/>
      <c r="T183" s="286"/>
      <c r="U183" s="281"/>
      <c r="V183" s="282"/>
      <c r="W183" s="282"/>
      <c r="X183" s="282"/>
      <c r="Y183" s="283"/>
      <c r="Z183" s="284"/>
      <c r="AA183" s="285"/>
      <c r="AB183" s="285"/>
      <c r="AC183" s="285"/>
      <c r="AD183" s="286"/>
      <c r="AE183" s="281" t="b">
        <f ca="1">IFERROR(__xludf.DUMMYFUNCTION("""COMPUTED_VALUE"""),FALSE)</f>
        <v>0</v>
      </c>
      <c r="AF183" s="631"/>
      <c r="AG183" s="629"/>
      <c r="AH183" s="629"/>
      <c r="AI183" s="629" t="b">
        <f ca="1">IFERROR(__xludf.DUMMYFUNCTION("""COMPUTED_VALUE"""),FALSE)</f>
        <v>0</v>
      </c>
      <c r="AJ183" s="630" t="b">
        <f ca="1">IFERROR(__xludf.DUMMYFUNCTION("""COMPUTED_VALUE"""),FALSE)</f>
        <v>0</v>
      </c>
    </row>
    <row r="184" spans="1:36">
      <c r="A184" s="301"/>
      <c r="B184" s="282"/>
      <c r="C184" s="282"/>
      <c r="D184" s="282"/>
      <c r="E184" s="302"/>
      <c r="F184" s="282"/>
      <c r="G184" s="282"/>
      <c r="H184" s="282"/>
      <c r="I184" s="302"/>
      <c r="J184" s="303"/>
      <c r="K184" s="282"/>
      <c r="L184" s="304"/>
      <c r="M184" s="304"/>
      <c r="N184" s="305"/>
      <c r="O184" s="288"/>
      <c r="P184" s="282"/>
      <c r="Q184" s="282"/>
      <c r="R184" s="302"/>
      <c r="S184" s="285"/>
      <c r="T184" s="286"/>
      <c r="U184" s="281"/>
      <c r="V184" s="282"/>
      <c r="W184" s="282"/>
      <c r="X184" s="282"/>
      <c r="Y184" s="283"/>
      <c r="Z184" s="284"/>
      <c r="AA184" s="285"/>
      <c r="AB184" s="285"/>
      <c r="AC184" s="285"/>
      <c r="AD184" s="286"/>
      <c r="AE184" s="281" t="b">
        <f ca="1">IFERROR(__xludf.DUMMYFUNCTION("""COMPUTED_VALUE"""),FALSE)</f>
        <v>0</v>
      </c>
      <c r="AF184" s="631"/>
      <c r="AG184" s="629"/>
      <c r="AH184" s="629"/>
      <c r="AI184" s="629" t="b">
        <f ca="1">IFERROR(__xludf.DUMMYFUNCTION("""COMPUTED_VALUE"""),FALSE)</f>
        <v>0</v>
      </c>
      <c r="AJ184" s="630" t="b">
        <f ca="1">IFERROR(__xludf.DUMMYFUNCTION("""COMPUTED_VALUE"""),FALSE)</f>
        <v>0</v>
      </c>
    </row>
    <row r="185" spans="1:36">
      <c r="A185" s="301"/>
      <c r="B185" s="282"/>
      <c r="C185" s="282"/>
      <c r="D185" s="282"/>
      <c r="E185" s="302"/>
      <c r="F185" s="282"/>
      <c r="G185" s="282"/>
      <c r="H185" s="282"/>
      <c r="I185" s="302"/>
      <c r="J185" s="303"/>
      <c r="K185" s="282"/>
      <c r="L185" s="304"/>
      <c r="M185" s="304"/>
      <c r="N185" s="305"/>
      <c r="O185" s="288"/>
      <c r="P185" s="282"/>
      <c r="Q185" s="282"/>
      <c r="R185" s="302"/>
      <c r="S185" s="285"/>
      <c r="T185" s="286"/>
      <c r="U185" s="281"/>
      <c r="V185" s="282"/>
      <c r="W185" s="282"/>
      <c r="X185" s="282"/>
      <c r="Y185" s="283"/>
      <c r="Z185" s="284"/>
      <c r="AA185" s="285"/>
      <c r="AB185" s="285"/>
      <c r="AC185" s="285"/>
      <c r="AD185" s="286"/>
      <c r="AE185" s="281" t="b">
        <f ca="1">IFERROR(__xludf.DUMMYFUNCTION("""COMPUTED_VALUE"""),FALSE)</f>
        <v>0</v>
      </c>
      <c r="AF185" s="631"/>
      <c r="AG185" s="629"/>
      <c r="AH185" s="629"/>
      <c r="AI185" s="629" t="b">
        <f ca="1">IFERROR(__xludf.DUMMYFUNCTION("""COMPUTED_VALUE"""),FALSE)</f>
        <v>0</v>
      </c>
      <c r="AJ185" s="630" t="b">
        <f ca="1">IFERROR(__xludf.DUMMYFUNCTION("""COMPUTED_VALUE"""),FALSE)</f>
        <v>0</v>
      </c>
    </row>
    <row r="186" spans="1:36">
      <c r="A186" s="301"/>
      <c r="B186" s="282"/>
      <c r="C186" s="282"/>
      <c r="D186" s="282"/>
      <c r="E186" s="302"/>
      <c r="F186" s="282"/>
      <c r="G186" s="282"/>
      <c r="H186" s="282"/>
      <c r="I186" s="302"/>
      <c r="J186" s="303"/>
      <c r="K186" s="282"/>
      <c r="L186" s="304"/>
      <c r="M186" s="304"/>
      <c r="N186" s="305"/>
      <c r="O186" s="288"/>
      <c r="P186" s="282"/>
      <c r="Q186" s="282"/>
      <c r="R186" s="302"/>
      <c r="S186" s="285"/>
      <c r="T186" s="286"/>
      <c r="U186" s="281"/>
      <c r="V186" s="282"/>
      <c r="W186" s="282"/>
      <c r="X186" s="282"/>
      <c r="Y186" s="283"/>
      <c r="Z186" s="284"/>
      <c r="AA186" s="285"/>
      <c r="AB186" s="285"/>
      <c r="AC186" s="285"/>
      <c r="AD186" s="286"/>
      <c r="AE186" s="281" t="b">
        <f ca="1">IFERROR(__xludf.DUMMYFUNCTION("""COMPUTED_VALUE"""),FALSE)</f>
        <v>0</v>
      </c>
      <c r="AF186" s="631"/>
      <c r="AG186" s="629"/>
      <c r="AH186" s="629"/>
      <c r="AI186" s="629" t="b">
        <f ca="1">IFERROR(__xludf.DUMMYFUNCTION("""COMPUTED_VALUE"""),FALSE)</f>
        <v>0</v>
      </c>
      <c r="AJ186" s="630" t="b">
        <f ca="1">IFERROR(__xludf.DUMMYFUNCTION("""COMPUTED_VALUE"""),FALSE)</f>
        <v>0</v>
      </c>
    </row>
    <row r="187" spans="1:36">
      <c r="A187" s="301"/>
      <c r="B187" s="282"/>
      <c r="C187" s="282"/>
      <c r="D187" s="282"/>
      <c r="E187" s="302"/>
      <c r="F187" s="282"/>
      <c r="G187" s="282"/>
      <c r="H187" s="282"/>
      <c r="I187" s="302"/>
      <c r="J187" s="303"/>
      <c r="K187" s="282"/>
      <c r="L187" s="304"/>
      <c r="M187" s="304"/>
      <c r="N187" s="305"/>
      <c r="O187" s="288"/>
      <c r="P187" s="282"/>
      <c r="Q187" s="282"/>
      <c r="R187" s="302"/>
      <c r="S187" s="285"/>
      <c r="T187" s="286"/>
      <c r="U187" s="281"/>
      <c r="V187" s="282"/>
      <c r="W187" s="282"/>
      <c r="X187" s="282"/>
      <c r="Y187" s="283"/>
      <c r="Z187" s="284"/>
      <c r="AA187" s="285"/>
      <c r="AB187" s="285"/>
      <c r="AC187" s="285"/>
      <c r="AD187" s="286"/>
      <c r="AE187" s="281" t="b">
        <f ca="1">IFERROR(__xludf.DUMMYFUNCTION("""COMPUTED_VALUE"""),FALSE)</f>
        <v>0</v>
      </c>
      <c r="AF187" s="631"/>
      <c r="AG187" s="629"/>
      <c r="AH187" s="629"/>
      <c r="AI187" s="629" t="b">
        <f ca="1">IFERROR(__xludf.DUMMYFUNCTION("""COMPUTED_VALUE"""),FALSE)</f>
        <v>0</v>
      </c>
      <c r="AJ187" s="630" t="b">
        <f ca="1">IFERROR(__xludf.DUMMYFUNCTION("""COMPUTED_VALUE"""),FALSE)</f>
        <v>0</v>
      </c>
    </row>
    <row r="188" spans="1:36">
      <c r="A188" s="301"/>
      <c r="B188" s="282"/>
      <c r="C188" s="282"/>
      <c r="D188" s="282"/>
      <c r="E188" s="302"/>
      <c r="F188" s="282"/>
      <c r="G188" s="282"/>
      <c r="H188" s="282"/>
      <c r="I188" s="302"/>
      <c r="J188" s="303"/>
      <c r="K188" s="282"/>
      <c r="L188" s="304"/>
      <c r="M188" s="304"/>
      <c r="N188" s="305"/>
      <c r="O188" s="288"/>
      <c r="P188" s="282"/>
      <c r="Q188" s="282"/>
      <c r="R188" s="302"/>
      <c r="S188" s="285"/>
      <c r="T188" s="286"/>
      <c r="U188" s="281"/>
      <c r="V188" s="282"/>
      <c r="W188" s="282"/>
      <c r="X188" s="282"/>
      <c r="Y188" s="283"/>
      <c r="Z188" s="284"/>
      <c r="AA188" s="285"/>
      <c r="AB188" s="285"/>
      <c r="AC188" s="285"/>
      <c r="AD188" s="286"/>
      <c r="AE188" s="281" t="b">
        <f ca="1">IFERROR(__xludf.DUMMYFUNCTION("""COMPUTED_VALUE"""),FALSE)</f>
        <v>0</v>
      </c>
      <c r="AF188" s="631"/>
      <c r="AG188" s="629"/>
      <c r="AH188" s="629"/>
      <c r="AI188" s="629" t="b">
        <f ca="1">IFERROR(__xludf.DUMMYFUNCTION("""COMPUTED_VALUE"""),FALSE)</f>
        <v>0</v>
      </c>
      <c r="AJ188" s="630" t="b">
        <f ca="1">IFERROR(__xludf.DUMMYFUNCTION("""COMPUTED_VALUE"""),FALSE)</f>
        <v>0</v>
      </c>
    </row>
    <row r="189" spans="1:36">
      <c r="A189" s="301"/>
      <c r="B189" s="282"/>
      <c r="C189" s="282"/>
      <c r="D189" s="282"/>
      <c r="E189" s="302"/>
      <c r="F189" s="282"/>
      <c r="G189" s="282"/>
      <c r="H189" s="282"/>
      <c r="I189" s="302"/>
      <c r="J189" s="303"/>
      <c r="K189" s="282"/>
      <c r="L189" s="304"/>
      <c r="M189" s="304"/>
      <c r="N189" s="305"/>
      <c r="O189" s="288"/>
      <c r="P189" s="282"/>
      <c r="Q189" s="282"/>
      <c r="R189" s="302"/>
      <c r="S189" s="285"/>
      <c r="T189" s="286"/>
      <c r="U189" s="281"/>
      <c r="V189" s="282"/>
      <c r="W189" s="282"/>
      <c r="X189" s="282"/>
      <c r="Y189" s="283"/>
      <c r="Z189" s="284"/>
      <c r="AA189" s="285"/>
      <c r="AB189" s="285"/>
      <c r="AC189" s="285"/>
      <c r="AD189" s="286"/>
      <c r="AE189" s="281" t="b">
        <f ca="1">IFERROR(__xludf.DUMMYFUNCTION("""COMPUTED_VALUE"""),FALSE)</f>
        <v>0</v>
      </c>
      <c r="AF189" s="631"/>
      <c r="AG189" s="629"/>
      <c r="AH189" s="629"/>
      <c r="AI189" s="629" t="b">
        <f ca="1">IFERROR(__xludf.DUMMYFUNCTION("""COMPUTED_VALUE"""),FALSE)</f>
        <v>0</v>
      </c>
      <c r="AJ189" s="630" t="b">
        <f ca="1">IFERROR(__xludf.DUMMYFUNCTION("""COMPUTED_VALUE"""),FALSE)</f>
        <v>0</v>
      </c>
    </row>
    <row r="190" spans="1:36">
      <c r="A190" s="301"/>
      <c r="B190" s="282"/>
      <c r="C190" s="282"/>
      <c r="D190" s="282"/>
      <c r="E190" s="302"/>
      <c r="F190" s="282"/>
      <c r="G190" s="282"/>
      <c r="H190" s="282"/>
      <c r="I190" s="302"/>
      <c r="J190" s="303"/>
      <c r="K190" s="282"/>
      <c r="L190" s="304"/>
      <c r="M190" s="304"/>
      <c r="N190" s="305"/>
      <c r="O190" s="288"/>
      <c r="P190" s="282"/>
      <c r="Q190" s="282"/>
      <c r="R190" s="302"/>
      <c r="S190" s="285"/>
      <c r="T190" s="286"/>
      <c r="U190" s="281"/>
      <c r="V190" s="282"/>
      <c r="W190" s="282"/>
      <c r="X190" s="282"/>
      <c r="Y190" s="283"/>
      <c r="Z190" s="284"/>
      <c r="AA190" s="285"/>
      <c r="AB190" s="285"/>
      <c r="AC190" s="285"/>
      <c r="AD190" s="286"/>
      <c r="AE190" s="281" t="b">
        <f ca="1">IFERROR(__xludf.DUMMYFUNCTION("""COMPUTED_VALUE"""),FALSE)</f>
        <v>0</v>
      </c>
      <c r="AF190" s="631"/>
      <c r="AG190" s="629"/>
      <c r="AH190" s="629"/>
      <c r="AI190" s="629" t="b">
        <f ca="1">IFERROR(__xludf.DUMMYFUNCTION("""COMPUTED_VALUE"""),FALSE)</f>
        <v>0</v>
      </c>
      <c r="AJ190" s="630" t="b">
        <f ca="1">IFERROR(__xludf.DUMMYFUNCTION("""COMPUTED_VALUE"""),FALSE)</f>
        <v>0</v>
      </c>
    </row>
    <row r="191" spans="1:36">
      <c r="A191" s="301"/>
      <c r="B191" s="282"/>
      <c r="C191" s="282"/>
      <c r="D191" s="282"/>
      <c r="E191" s="302"/>
      <c r="F191" s="282"/>
      <c r="G191" s="282"/>
      <c r="H191" s="282"/>
      <c r="I191" s="302"/>
      <c r="J191" s="303"/>
      <c r="K191" s="282"/>
      <c r="L191" s="304"/>
      <c r="M191" s="304"/>
      <c r="N191" s="305"/>
      <c r="O191" s="288"/>
      <c r="P191" s="282"/>
      <c r="Q191" s="282"/>
      <c r="R191" s="302"/>
      <c r="S191" s="285"/>
      <c r="T191" s="286"/>
      <c r="U191" s="281"/>
      <c r="V191" s="282"/>
      <c r="W191" s="282"/>
      <c r="X191" s="282"/>
      <c r="Y191" s="283"/>
      <c r="Z191" s="284"/>
      <c r="AA191" s="285"/>
      <c r="AB191" s="285"/>
      <c r="AC191" s="285"/>
      <c r="AD191" s="286"/>
      <c r="AE191" s="281" t="b">
        <f ca="1">IFERROR(__xludf.DUMMYFUNCTION("""COMPUTED_VALUE"""),FALSE)</f>
        <v>0</v>
      </c>
      <c r="AF191" s="631"/>
      <c r="AG191" s="629"/>
      <c r="AH191" s="629"/>
      <c r="AI191" s="629" t="b">
        <f ca="1">IFERROR(__xludf.DUMMYFUNCTION("""COMPUTED_VALUE"""),FALSE)</f>
        <v>0</v>
      </c>
      <c r="AJ191" s="630" t="b">
        <f ca="1">IFERROR(__xludf.DUMMYFUNCTION("""COMPUTED_VALUE"""),FALSE)</f>
        <v>0</v>
      </c>
    </row>
    <row r="192" spans="1:36">
      <c r="A192" s="301"/>
      <c r="B192" s="282"/>
      <c r="C192" s="282"/>
      <c r="D192" s="282"/>
      <c r="E192" s="302"/>
      <c r="F192" s="282"/>
      <c r="G192" s="282"/>
      <c r="H192" s="282"/>
      <c r="I192" s="302"/>
      <c r="J192" s="303"/>
      <c r="K192" s="282"/>
      <c r="L192" s="304"/>
      <c r="M192" s="304"/>
      <c r="N192" s="305"/>
      <c r="O192" s="288"/>
      <c r="P192" s="282"/>
      <c r="Q192" s="282"/>
      <c r="R192" s="302"/>
      <c r="S192" s="285"/>
      <c r="T192" s="286"/>
      <c r="U192" s="281"/>
      <c r="V192" s="282"/>
      <c r="W192" s="282"/>
      <c r="X192" s="282"/>
      <c r="Y192" s="283"/>
      <c r="Z192" s="284"/>
      <c r="AA192" s="285"/>
      <c r="AB192" s="285"/>
      <c r="AC192" s="285"/>
      <c r="AD192" s="286"/>
      <c r="AE192" s="281" t="b">
        <f ca="1">IFERROR(__xludf.DUMMYFUNCTION("""COMPUTED_VALUE"""),FALSE)</f>
        <v>0</v>
      </c>
      <c r="AF192" s="631"/>
      <c r="AG192" s="629"/>
      <c r="AH192" s="629"/>
      <c r="AI192" s="629" t="b">
        <f ca="1">IFERROR(__xludf.DUMMYFUNCTION("""COMPUTED_VALUE"""),FALSE)</f>
        <v>0</v>
      </c>
      <c r="AJ192" s="630" t="b">
        <f ca="1">IFERROR(__xludf.DUMMYFUNCTION("""COMPUTED_VALUE"""),FALSE)</f>
        <v>0</v>
      </c>
    </row>
    <row r="193" spans="1:36">
      <c r="A193" s="301"/>
      <c r="B193" s="282"/>
      <c r="C193" s="282"/>
      <c r="D193" s="282"/>
      <c r="E193" s="302"/>
      <c r="F193" s="282"/>
      <c r="G193" s="282"/>
      <c r="H193" s="282"/>
      <c r="I193" s="302"/>
      <c r="J193" s="303"/>
      <c r="K193" s="282"/>
      <c r="L193" s="304"/>
      <c r="M193" s="304"/>
      <c r="N193" s="305"/>
      <c r="O193" s="288"/>
      <c r="P193" s="282"/>
      <c r="Q193" s="282"/>
      <c r="R193" s="302"/>
      <c r="S193" s="285"/>
      <c r="T193" s="286"/>
      <c r="U193" s="281"/>
      <c r="V193" s="282"/>
      <c r="W193" s="282"/>
      <c r="X193" s="282"/>
      <c r="Y193" s="283"/>
      <c r="Z193" s="284"/>
      <c r="AA193" s="285"/>
      <c r="AB193" s="285"/>
      <c r="AC193" s="285"/>
      <c r="AD193" s="286"/>
      <c r="AE193" s="281" t="b">
        <f ca="1">IFERROR(__xludf.DUMMYFUNCTION("""COMPUTED_VALUE"""),FALSE)</f>
        <v>0</v>
      </c>
      <c r="AF193" s="631"/>
      <c r="AG193" s="629"/>
      <c r="AH193" s="629"/>
      <c r="AI193" s="629" t="b">
        <f ca="1">IFERROR(__xludf.DUMMYFUNCTION("""COMPUTED_VALUE"""),FALSE)</f>
        <v>0</v>
      </c>
      <c r="AJ193" s="630" t="b">
        <f ca="1">IFERROR(__xludf.DUMMYFUNCTION("""COMPUTED_VALUE"""),FALSE)</f>
        <v>0</v>
      </c>
    </row>
    <row r="194" spans="1:36">
      <c r="A194" s="301"/>
      <c r="B194" s="282"/>
      <c r="C194" s="282"/>
      <c r="D194" s="282"/>
      <c r="E194" s="302"/>
      <c r="F194" s="282"/>
      <c r="G194" s="282"/>
      <c r="H194" s="282"/>
      <c r="I194" s="302"/>
      <c r="J194" s="303"/>
      <c r="K194" s="282"/>
      <c r="L194" s="304"/>
      <c r="M194" s="304"/>
      <c r="N194" s="305"/>
      <c r="O194" s="288"/>
      <c r="P194" s="282"/>
      <c r="Q194" s="282"/>
      <c r="R194" s="302"/>
      <c r="S194" s="285"/>
      <c r="T194" s="286"/>
      <c r="U194" s="281"/>
      <c r="V194" s="282"/>
      <c r="W194" s="282"/>
      <c r="X194" s="282"/>
      <c r="Y194" s="283"/>
      <c r="Z194" s="284"/>
      <c r="AA194" s="285"/>
      <c r="AB194" s="285"/>
      <c r="AC194" s="285"/>
      <c r="AD194" s="286"/>
      <c r="AE194" s="281" t="b">
        <f ca="1">IFERROR(__xludf.DUMMYFUNCTION("""COMPUTED_VALUE"""),FALSE)</f>
        <v>0</v>
      </c>
      <c r="AF194" s="631"/>
      <c r="AG194" s="629"/>
      <c r="AH194" s="629"/>
      <c r="AI194" s="629" t="b">
        <f ca="1">IFERROR(__xludf.DUMMYFUNCTION("""COMPUTED_VALUE"""),FALSE)</f>
        <v>0</v>
      </c>
      <c r="AJ194" s="630" t="b">
        <f ca="1">IFERROR(__xludf.DUMMYFUNCTION("""COMPUTED_VALUE"""),FALSE)</f>
        <v>0</v>
      </c>
    </row>
    <row r="195" spans="1:36">
      <c r="A195" s="301"/>
      <c r="B195" s="282"/>
      <c r="C195" s="282"/>
      <c r="D195" s="282"/>
      <c r="E195" s="302"/>
      <c r="F195" s="282"/>
      <c r="G195" s="282"/>
      <c r="H195" s="282"/>
      <c r="I195" s="302"/>
      <c r="J195" s="303"/>
      <c r="K195" s="282"/>
      <c r="L195" s="304"/>
      <c r="M195" s="304"/>
      <c r="N195" s="305"/>
      <c r="O195" s="288"/>
      <c r="P195" s="282"/>
      <c r="Q195" s="282"/>
      <c r="R195" s="302"/>
      <c r="S195" s="285"/>
      <c r="T195" s="286"/>
      <c r="U195" s="281"/>
      <c r="V195" s="282"/>
      <c r="W195" s="282"/>
      <c r="X195" s="282"/>
      <c r="Y195" s="283"/>
      <c r="Z195" s="284"/>
      <c r="AA195" s="285"/>
      <c r="AB195" s="285"/>
      <c r="AC195" s="285"/>
      <c r="AD195" s="286"/>
      <c r="AE195" s="281" t="b">
        <f ca="1">IFERROR(__xludf.DUMMYFUNCTION("""COMPUTED_VALUE"""),FALSE)</f>
        <v>0</v>
      </c>
      <c r="AF195" s="631"/>
      <c r="AG195" s="629"/>
      <c r="AH195" s="629"/>
      <c r="AI195" s="629" t="b">
        <f ca="1">IFERROR(__xludf.DUMMYFUNCTION("""COMPUTED_VALUE"""),FALSE)</f>
        <v>0</v>
      </c>
      <c r="AJ195" s="630" t="b">
        <f ca="1">IFERROR(__xludf.DUMMYFUNCTION("""COMPUTED_VALUE"""),FALSE)</f>
        <v>0</v>
      </c>
    </row>
    <row r="196" spans="1:36">
      <c r="A196" s="301" t="str">
        <f ca="1">IFERROR(__xludf.DUMMYFUNCTION("""COMPUTED_VALUE"""),"Melee Minion")</f>
        <v>Melee Minion</v>
      </c>
      <c r="B196" s="282" t="str">
        <f ca="1">IFERROR(__xludf.DUMMYFUNCTION("""COMPUTED_VALUE"""),"=MIN(IF(Calc!Q31&lt;=5;(455+22*Calc!Q31+0,3*(Calc!Q31-1)/2*Calc!Q31);(455+22*5+32,25*(Calc!Q31-5)+0,3*(Calc!Q31-1)/2*Calc!Q31));1300)")</f>
        <v>=MIN(IF(Calc!Q31&lt;=5;(455+22*Calc!Q31+0,3*(Calc!Q31-1)/2*Calc!Q31);(455+22*5+32,25*(Calc!Q31-5)+0,3*(Calc!Q31-1)/2*Calc!Q31));1300)</v>
      </c>
      <c r="C196" s="282" t="str">
        <f ca="1">IFERROR(__xludf.DUMMYFUNCTION("""COMPUTED_VALUE"""),"=0")</f>
        <v>=0</v>
      </c>
      <c r="D196" s="282" t="str">
        <f ca="1">IFERROR(__xludf.DUMMYFUNCTION("""COMPUTED_VALUE"""),"=0")</f>
        <v>=0</v>
      </c>
      <c r="E196" s="302" t="str">
        <f ca="1">IFERROR(__xludf.DUMMYFUNCTION("""COMPUTED_VALUE"""),"=0")</f>
        <v>=0</v>
      </c>
      <c r="F196" s="282" t="str">
        <f ca="1">IFERROR(__xludf.DUMMYFUNCTION("""COMPUTED_VALUE"""),"=0")</f>
        <v>=0</v>
      </c>
      <c r="G196" s="282" t="str">
        <f ca="1">IFERROR(__xludf.DUMMYFUNCTION("""COMPUTED_VALUE"""),"=0")</f>
        <v>=0</v>
      </c>
      <c r="H196" s="282" t="str">
        <f ca="1">IFERROR(__xludf.DUMMYFUNCTION("""COMPUTED_VALUE"""),"=0")</f>
        <v>=0</v>
      </c>
      <c r="I196" s="302" t="str">
        <f ca="1">IFERROR(__xludf.DUMMYFUNCTION("""COMPUTED_VALUE"""),"=0")</f>
        <v>=0</v>
      </c>
      <c r="J196" s="303" t="str">
        <f ca="1">IFERROR(__xludf.DUMMYFUNCTION("""COMPUTED_VALUE"""),"=0")</f>
        <v>=0</v>
      </c>
      <c r="K196" s="282" t="str">
        <f ca="1">IFERROR(__xludf.DUMMYFUNCTION("""COMPUTED_VALUE"""),"=0")</f>
        <v>=0</v>
      </c>
      <c r="L196" s="304" t="str">
        <f ca="1">IFERROR(__xludf.DUMMYFUNCTION("""COMPUTED_VALUE"""),"=1,25")</f>
        <v>=1,25</v>
      </c>
      <c r="M196" s="304" t="str">
        <f ca="1">IFERROR(__xludf.DUMMYFUNCTION("""COMPUTED_VALUE"""),"=1,25")</f>
        <v>=1,25</v>
      </c>
      <c r="N196" s="305" t="str">
        <f ca="1">IFERROR(__xludf.DUMMYFUNCTION("""COMPUTED_VALUE"""),"=0")</f>
        <v>=0</v>
      </c>
      <c r="O196" s="288" t="str">
        <f ca="1">IFERROR(__xludf.DUMMYFUNCTION("""COMPUTED_VALUE"""),"=MIN(IF(Calc!Q31&gt;=5;(0,085*(Calc!Q31-5-1)/2*(Calc!Q31-5));0);16)")</f>
        <v>=MIN(IF(Calc!Q31&gt;=5;(0,085*(Calc!Q31-5-1)/2*(Calc!Q31-5));0);16)</v>
      </c>
      <c r="P196" s="282" t="str">
        <f ca="1">IFERROR(__xludf.DUMMYFUNCTION("""COMPUTED_VALUE"""),"=0")</f>
        <v>=0</v>
      </c>
      <c r="Q196" s="282" t="str">
        <f ca="1">IFERROR(__xludf.DUMMYFUNCTION("""COMPUTED_VALUE"""),"=0")</f>
        <v>=0</v>
      </c>
      <c r="R196" s="302" t="str">
        <f ca="1">IFERROR(__xludf.DUMMYFUNCTION("""COMPUTED_VALUE"""),"=0")</f>
        <v>=0</v>
      </c>
      <c r="S196" s="282" t="str">
        <f ca="1">IFERROR(__xludf.DUMMYFUNCTION("""COMPUTED_VALUE"""),"=0")</f>
        <v>=0</v>
      </c>
      <c r="T196" s="283" t="str">
        <f ca="1">IFERROR(__xludf.DUMMYFUNCTION("""COMPUTED_VALUE"""),"=110")</f>
        <v>=110</v>
      </c>
      <c r="U196" s="281" t="str">
        <f ca="1">IFERROR(__xludf.DUMMYFUNCTION("""COMPUTED_VALUE"""),"=0")</f>
        <v>=0</v>
      </c>
      <c r="V196" s="282" t="str">
        <f ca="1">IFERROR(__xludf.DUMMYFUNCTION("""COMPUTED_VALUE"""),"=0")</f>
        <v>=0</v>
      </c>
      <c r="W196" s="282" t="str">
        <f ca="1">IFERROR(__xludf.DUMMYFUNCTION("""COMPUTED_VALUE"""),"=0")</f>
        <v>=0</v>
      </c>
      <c r="X196" s="282" t="str">
        <f ca="1">IFERROR(__xludf.DUMMYFUNCTION("""COMPUTED_VALUE"""),"=0")</f>
        <v>=0</v>
      </c>
      <c r="Y196" s="283" t="str">
        <f ca="1">IFERROR(__xludf.DUMMYFUNCTION("""COMPUTED_VALUE"""),"=0")</f>
        <v>=0</v>
      </c>
      <c r="Z196" s="281" t="str">
        <f ca="1">IFERROR(__xludf.DUMMYFUNCTION("""COMPUTED_VALUE"""),"=1")</f>
        <v>=1</v>
      </c>
      <c r="AA196" s="282" t="str">
        <f ca="1">IFERROR(__xludf.DUMMYFUNCTION("""COMPUTED_VALUE"""),"=1")</f>
        <v>=1</v>
      </c>
      <c r="AB196" s="282" t="str">
        <f ca="1">IFERROR(__xludf.DUMMYFUNCTION("""COMPUTED_VALUE"""),"=1")</f>
        <v>=1</v>
      </c>
      <c r="AC196" s="282" t="str">
        <f ca="1">IFERROR(__xludf.DUMMYFUNCTION("""COMPUTED_VALUE"""),"=1")</f>
        <v>=1</v>
      </c>
      <c r="AD196" s="283" t="str">
        <f ca="1">IFERROR(__xludf.DUMMYFUNCTION("""COMPUTED_VALUE"""),"=1")</f>
        <v>=1</v>
      </c>
      <c r="AE196" s="281" t="b">
        <f ca="1">IFERROR(__xludf.DUMMYFUNCTION("""COMPUTED_VALUE"""),TRUE)</f>
        <v>1</v>
      </c>
      <c r="AF196" s="631"/>
      <c r="AG196" s="629"/>
      <c r="AH196" s="629"/>
      <c r="AI196" s="629" t="b">
        <f ca="1">IFERROR(__xludf.DUMMYFUNCTION("""COMPUTED_VALUE"""),FALSE)</f>
        <v>0</v>
      </c>
      <c r="AJ196" s="630" t="b">
        <f ca="1">IFERROR(__xludf.DUMMYFUNCTION("""COMPUTED_VALUE"""),FALSE)</f>
        <v>0</v>
      </c>
    </row>
    <row r="197" spans="1:36">
      <c r="A197" s="301" t="str">
        <f ca="1">IFERROR(__xludf.DUMMYFUNCTION("""COMPUTED_VALUE"""),"Caster Minion")</f>
        <v>Caster Minion</v>
      </c>
      <c r="B197" s="282" t="str">
        <f ca="1">IFERROR(__xludf.DUMMYFUNCTION("""COMPUTED_VALUE"""),"=MIN(IF(Calc!Q31&lt;=5;290+6*Calc!Q31;290+6*5+8,25*(Calc!Q31-5));485)")</f>
        <v>=MIN(IF(Calc!Q31&lt;=5;290+6*Calc!Q31;290+6*5+8,25*(Calc!Q31-5));485)</v>
      </c>
      <c r="C197" s="282" t="str">
        <f ca="1">IFERROR(__xludf.DUMMYFUNCTION("""COMPUTED_VALUE"""),"=0")</f>
        <v>=0</v>
      </c>
      <c r="D197" s="282" t="str">
        <f ca="1">IFERROR(__xludf.DUMMYFUNCTION("""COMPUTED_VALUE"""),"=0")</f>
        <v>=0</v>
      </c>
      <c r="E197" s="302" t="str">
        <f ca="1">IFERROR(__xludf.DUMMYFUNCTION("""COMPUTED_VALUE"""),"=0")</f>
        <v>=0</v>
      </c>
      <c r="F197" s="282" t="str">
        <f ca="1">IFERROR(__xludf.DUMMYFUNCTION("""COMPUTED_VALUE"""),"=0")</f>
        <v>=0</v>
      </c>
      <c r="G197" s="282" t="str">
        <f ca="1">IFERROR(__xludf.DUMMYFUNCTION("""COMPUTED_VALUE"""),"=0")</f>
        <v>=0</v>
      </c>
      <c r="H197" s="282" t="str">
        <f ca="1">IFERROR(__xludf.DUMMYFUNCTION("""COMPUTED_VALUE"""),"=0")</f>
        <v>=0</v>
      </c>
      <c r="I197" s="302" t="str">
        <f ca="1">IFERROR(__xludf.DUMMYFUNCTION("""COMPUTED_VALUE"""),"=0")</f>
        <v>=0</v>
      </c>
      <c r="J197" s="303" t="str">
        <f ca="1">IFERROR(__xludf.DUMMYFUNCTION("""COMPUTED_VALUE"""),"=0")</f>
        <v>=0</v>
      </c>
      <c r="K197" s="282" t="str">
        <f ca="1">IFERROR(__xludf.DUMMYFUNCTION("""COMPUTED_VALUE"""),"=0")</f>
        <v>=0</v>
      </c>
      <c r="L197" s="304" t="str">
        <f ca="1">IFERROR(__xludf.DUMMYFUNCTION("""COMPUTED_VALUE"""),"=0,667")</f>
        <v>=0,667</v>
      </c>
      <c r="M197" s="304" t="str">
        <f ca="1">IFERROR(__xludf.DUMMYFUNCTION("""COMPUTED_VALUE"""),"=0,667")</f>
        <v>=0,667</v>
      </c>
      <c r="N197" s="305" t="str">
        <f ca="1">IFERROR(__xludf.DUMMYFUNCTION("""COMPUTED_VALUE"""),"=0")</f>
        <v>=0</v>
      </c>
      <c r="O197" s="288" t="str">
        <f ca="1">IFERROR(__xludf.DUMMYFUNCTION("""COMPUTED_VALUE"""),"=0")</f>
        <v>=0</v>
      </c>
      <c r="P197" s="282" t="str">
        <f ca="1">IFERROR(__xludf.DUMMYFUNCTION("""COMPUTED_VALUE"""),"=0")</f>
        <v>=0</v>
      </c>
      <c r="Q197" s="282" t="str">
        <f ca="1">IFERROR(__xludf.DUMMYFUNCTION("""COMPUTED_VALUE"""),"=0")</f>
        <v>=0</v>
      </c>
      <c r="R197" s="302" t="str">
        <f ca="1">IFERROR(__xludf.DUMMYFUNCTION("""COMPUTED_VALUE"""),"=0")</f>
        <v>=0</v>
      </c>
      <c r="S197" s="282" t="str">
        <f ca="1">IFERROR(__xludf.DUMMYFUNCTION("""COMPUTED_VALUE"""),"=0")</f>
        <v>=0</v>
      </c>
      <c r="T197" s="283" t="str">
        <f ca="1">IFERROR(__xludf.DUMMYFUNCTION("""COMPUTED_VALUE"""),"=550")</f>
        <v>=550</v>
      </c>
      <c r="U197" s="281" t="str">
        <f ca="1">IFERROR(__xludf.DUMMYFUNCTION("""COMPUTED_VALUE"""),"=0")</f>
        <v>=0</v>
      </c>
      <c r="V197" s="282" t="str">
        <f ca="1">IFERROR(__xludf.DUMMYFUNCTION("""COMPUTED_VALUE"""),"=0")</f>
        <v>=0</v>
      </c>
      <c r="W197" s="282" t="str">
        <f ca="1">IFERROR(__xludf.DUMMYFUNCTION("""COMPUTED_VALUE"""),"=0")</f>
        <v>=0</v>
      </c>
      <c r="X197" s="282" t="str">
        <f ca="1">IFERROR(__xludf.DUMMYFUNCTION("""COMPUTED_VALUE"""),"=0")</f>
        <v>=0</v>
      </c>
      <c r="Y197" s="283" t="str">
        <f ca="1">IFERROR(__xludf.DUMMYFUNCTION("""COMPUTED_VALUE"""),"=0")</f>
        <v>=0</v>
      </c>
      <c r="Z197" s="281" t="str">
        <f ca="1">IFERROR(__xludf.DUMMYFUNCTION("""COMPUTED_VALUE"""),"=1")</f>
        <v>=1</v>
      </c>
      <c r="AA197" s="282" t="str">
        <f ca="1">IFERROR(__xludf.DUMMYFUNCTION("""COMPUTED_VALUE"""),"=1")</f>
        <v>=1</v>
      </c>
      <c r="AB197" s="282" t="str">
        <f ca="1">IFERROR(__xludf.DUMMYFUNCTION("""COMPUTED_VALUE"""),"=1")</f>
        <v>=1</v>
      </c>
      <c r="AC197" s="282" t="str">
        <f ca="1">IFERROR(__xludf.DUMMYFUNCTION("""COMPUTED_VALUE"""),"=1")</f>
        <v>=1</v>
      </c>
      <c r="AD197" s="283" t="str">
        <f ca="1">IFERROR(__xludf.DUMMYFUNCTION("""COMPUTED_VALUE"""),"=1")</f>
        <v>=1</v>
      </c>
      <c r="AE197" s="281" t="b">
        <f ca="1">IFERROR(__xludf.DUMMYFUNCTION("""COMPUTED_VALUE"""),FALSE)</f>
        <v>0</v>
      </c>
      <c r="AF197" s="631"/>
      <c r="AG197" s="629"/>
      <c r="AH197" s="629"/>
      <c r="AI197" s="629" t="b">
        <f ca="1">IFERROR(__xludf.DUMMYFUNCTION("""COMPUTED_VALUE"""),FALSE)</f>
        <v>0</v>
      </c>
      <c r="AJ197" s="630" t="b">
        <f ca="1">IFERROR(__xludf.DUMMYFUNCTION("""COMPUTED_VALUE"""),FALSE)</f>
        <v>0</v>
      </c>
    </row>
    <row r="198" spans="1:36">
      <c r="A198" s="301" t="str">
        <f ca="1">IFERROR(__xludf.DUMMYFUNCTION("""COMPUTED_VALUE"""),"Siege Minion")</f>
        <v>Siege Minion</v>
      </c>
      <c r="B198" s="282" t="str">
        <f ca="1">IFERROR(__xludf.DUMMYFUNCTION("""COMPUTED_VALUE"""),"=MIN(IF(Calc!Q31&lt;=5;850+62*Calc!Q31;850+62*5+87*(Calc!Q31-5));10850)")</f>
        <v>=MIN(IF(Calc!Q31&lt;=5;850+62*Calc!Q31;850+62*5+87*(Calc!Q31-5));10850)</v>
      </c>
      <c r="C198" s="282" t="str">
        <f ca="1">IFERROR(__xludf.DUMMYFUNCTION("""COMPUTED_VALUE"""),"=0")</f>
        <v>=0</v>
      </c>
      <c r="D198" s="282" t="str">
        <f ca="1">IFERROR(__xludf.DUMMYFUNCTION("""COMPUTED_VALUE"""),"=0")</f>
        <v>=0</v>
      </c>
      <c r="E198" s="302" t="str">
        <f ca="1">IFERROR(__xludf.DUMMYFUNCTION("""COMPUTED_VALUE"""),"=0")</f>
        <v>=0</v>
      </c>
      <c r="F198" s="282" t="str">
        <f ca="1">IFERROR(__xludf.DUMMYFUNCTION("""COMPUTED_VALUE"""),"=0")</f>
        <v>=0</v>
      </c>
      <c r="G198" s="282" t="str">
        <f ca="1">IFERROR(__xludf.DUMMYFUNCTION("""COMPUTED_VALUE"""),"=0")</f>
        <v>=0</v>
      </c>
      <c r="H198" s="282" t="str">
        <f ca="1">IFERROR(__xludf.DUMMYFUNCTION("""COMPUTED_VALUE"""),"=0")</f>
        <v>=0</v>
      </c>
      <c r="I198" s="302" t="str">
        <f ca="1">IFERROR(__xludf.DUMMYFUNCTION("""COMPUTED_VALUE"""),"=0")</f>
        <v>=0</v>
      </c>
      <c r="J198" s="303" t="str">
        <f ca="1">IFERROR(__xludf.DUMMYFUNCTION("""COMPUTED_VALUE"""),"=0")</f>
        <v>=0</v>
      </c>
      <c r="K198" s="282" t="str">
        <f ca="1">IFERROR(__xludf.DUMMYFUNCTION("""COMPUTED_VALUE"""),"=0")</f>
        <v>=0</v>
      </c>
      <c r="L198" s="304" t="str">
        <f ca="1">IFERROR(__xludf.DUMMYFUNCTION("""COMPUTED_VALUE"""),"=1")</f>
        <v>=1</v>
      </c>
      <c r="M198" s="304" t="str">
        <f ca="1">IFERROR(__xludf.DUMMYFUNCTION("""COMPUTED_VALUE"""),"=1")</f>
        <v>=1</v>
      </c>
      <c r="N198" s="305" t="str">
        <f ca="1">IFERROR(__xludf.DUMMYFUNCTION("""COMPUTED_VALUE"""),"=0")</f>
        <v>=0</v>
      </c>
      <c r="O198" s="288" t="str">
        <f ca="1">IFERROR(__xludf.DUMMYFUNCTION("""COMPUTED_VALUE"""),"=0")</f>
        <v>=0</v>
      </c>
      <c r="P198" s="282" t="str">
        <f ca="1">IFERROR(__xludf.DUMMYFUNCTION("""COMPUTED_VALUE"""),"=0")</f>
        <v>=0</v>
      </c>
      <c r="Q198" s="282" t="str">
        <f ca="1">IFERROR(__xludf.DUMMYFUNCTION("""COMPUTED_VALUE"""),"=0")</f>
        <v>=0</v>
      </c>
      <c r="R198" s="302" t="str">
        <f ca="1">IFERROR(__xludf.DUMMYFUNCTION("""COMPUTED_VALUE"""),"=0")</f>
        <v>=0</v>
      </c>
      <c r="S198" s="282" t="str">
        <f ca="1">IFERROR(__xludf.DUMMYFUNCTION("""COMPUTED_VALUE"""),"=0")</f>
        <v>=0</v>
      </c>
      <c r="T198" s="283" t="str">
        <f ca="1">IFERROR(__xludf.DUMMYFUNCTION("""COMPUTED_VALUE"""),"=300")</f>
        <v>=300</v>
      </c>
      <c r="U198" s="281" t="str">
        <f ca="1">IFERROR(__xludf.DUMMYFUNCTION("""COMPUTED_VALUE"""),"=0")</f>
        <v>=0</v>
      </c>
      <c r="V198" s="282" t="str">
        <f ca="1">IFERROR(__xludf.DUMMYFUNCTION("""COMPUTED_VALUE"""),"=0")</f>
        <v>=0</v>
      </c>
      <c r="W198" s="282" t="str">
        <f ca="1">IFERROR(__xludf.DUMMYFUNCTION("""COMPUTED_VALUE"""),"=0")</f>
        <v>=0</v>
      </c>
      <c r="X198" s="282" t="str">
        <f ca="1">IFERROR(__xludf.DUMMYFUNCTION("""COMPUTED_VALUE"""),"=0")</f>
        <v>=0</v>
      </c>
      <c r="Y198" s="283" t="str">
        <f ca="1">IFERROR(__xludf.DUMMYFUNCTION("""COMPUTED_VALUE"""),"=0")</f>
        <v>=0</v>
      </c>
      <c r="Z198" s="281" t="str">
        <f ca="1">IFERROR(__xludf.DUMMYFUNCTION("""COMPUTED_VALUE"""),"=1")</f>
        <v>=1</v>
      </c>
      <c r="AA198" s="282" t="str">
        <f ca="1">IFERROR(__xludf.DUMMYFUNCTION("""COMPUTED_VALUE"""),"=1")</f>
        <v>=1</v>
      </c>
      <c r="AB198" s="282" t="str">
        <f ca="1">IFERROR(__xludf.DUMMYFUNCTION("""COMPUTED_VALUE"""),"=1")</f>
        <v>=1</v>
      </c>
      <c r="AC198" s="282" t="str">
        <f ca="1">IFERROR(__xludf.DUMMYFUNCTION("""COMPUTED_VALUE"""),"=1")</f>
        <v>=1</v>
      </c>
      <c r="AD198" s="283" t="str">
        <f ca="1">IFERROR(__xludf.DUMMYFUNCTION("""COMPUTED_VALUE"""),"=1")</f>
        <v>=1</v>
      </c>
      <c r="AE198" s="281" t="b">
        <f ca="1">IFERROR(__xludf.DUMMYFUNCTION("""COMPUTED_VALUE"""),FALSE)</f>
        <v>0</v>
      </c>
      <c r="AF198" s="631"/>
      <c r="AG198" s="629"/>
      <c r="AH198" s="629"/>
      <c r="AI198" s="629" t="b">
        <f ca="1">IFERROR(__xludf.DUMMYFUNCTION("""COMPUTED_VALUE"""),FALSE)</f>
        <v>0</v>
      </c>
      <c r="AJ198" s="630" t="b">
        <f ca="1">IFERROR(__xludf.DUMMYFUNCTION("""COMPUTED_VALUE"""),FALSE)</f>
        <v>0</v>
      </c>
    </row>
    <row r="199" spans="1:36">
      <c r="A199" s="301" t="str">
        <f ca="1">IFERROR(__xludf.DUMMYFUNCTION("""COMPUTED_VALUE"""),"Super Minion")</f>
        <v>Super Minion</v>
      </c>
      <c r="B199" s="282" t="str">
        <f ca="1">IFERROR(__xludf.DUMMYFUNCTION("""COMPUTED_VALUE"""),"=MIN(1500+100*Calc!Q31;11500)")</f>
        <v>=MIN(1500+100*Calc!Q31;11500)</v>
      </c>
      <c r="C199" s="282" t="str">
        <f ca="1">IFERROR(__xludf.DUMMYFUNCTION("""COMPUTED_VALUE"""),"=0")</f>
        <v>=0</v>
      </c>
      <c r="D199" s="282" t="str">
        <f ca="1">IFERROR(__xludf.DUMMYFUNCTION("""COMPUTED_VALUE"""),"=0")</f>
        <v>=0</v>
      </c>
      <c r="E199" s="302" t="str">
        <f ca="1">IFERROR(__xludf.DUMMYFUNCTION("""COMPUTED_VALUE"""),"=0")</f>
        <v>=0</v>
      </c>
      <c r="F199" s="282" t="str">
        <f ca="1">IFERROR(__xludf.DUMMYFUNCTION("""COMPUTED_VALUE"""),"=0")</f>
        <v>=0</v>
      </c>
      <c r="G199" s="282" t="str">
        <f ca="1">IFERROR(__xludf.DUMMYFUNCTION("""COMPUTED_VALUE"""),"=0")</f>
        <v>=0</v>
      </c>
      <c r="H199" s="282" t="str">
        <f ca="1">IFERROR(__xludf.DUMMYFUNCTION("""COMPUTED_VALUE"""),"=0")</f>
        <v>=0</v>
      </c>
      <c r="I199" s="302" t="str">
        <f ca="1">IFERROR(__xludf.DUMMYFUNCTION("""COMPUTED_VALUE"""),"=0")</f>
        <v>=0</v>
      </c>
      <c r="J199" s="303" t="str">
        <f ca="1">IFERROR(__xludf.DUMMYFUNCTION("""COMPUTED_VALUE"""),"=0")</f>
        <v>=0</v>
      </c>
      <c r="K199" s="282" t="str">
        <f ca="1">IFERROR(__xludf.DUMMYFUNCTION("""COMPUTED_VALUE"""),"=0")</f>
        <v>=0</v>
      </c>
      <c r="L199" s="304" t="str">
        <f ca="1">IFERROR(__xludf.DUMMYFUNCTION("""COMPUTED_VALUE"""),"=0,85")</f>
        <v>=0,85</v>
      </c>
      <c r="M199" s="304" t="str">
        <f ca="1">IFERROR(__xludf.DUMMYFUNCTION("""COMPUTED_VALUE"""),"=0,85")</f>
        <v>=0,85</v>
      </c>
      <c r="N199" s="305" t="str">
        <f ca="1">IFERROR(__xludf.DUMMYFUNCTION("""COMPUTED_VALUE"""),"=0")</f>
        <v>=0</v>
      </c>
      <c r="O199" s="288" t="str">
        <f ca="1">IFERROR(__xludf.DUMMYFUNCTION("""COMPUTED_VALUE"""),"=100")</f>
        <v>=100</v>
      </c>
      <c r="P199" s="282" t="str">
        <f ca="1">IFERROR(__xludf.DUMMYFUNCTION("""COMPUTED_VALUE"""),"=0")</f>
        <v>=0</v>
      </c>
      <c r="Q199" s="282" t="str">
        <f ca="1">IFERROR(__xludf.DUMMYFUNCTION("""COMPUTED_VALUE"""),"=-30")</f>
        <v>=-30</v>
      </c>
      <c r="R199" s="302" t="str">
        <f ca="1">IFERROR(__xludf.DUMMYFUNCTION("""COMPUTED_VALUE"""),"=0")</f>
        <v>=0</v>
      </c>
      <c r="S199" s="282" t="str">
        <f ca="1">IFERROR(__xludf.DUMMYFUNCTION("""COMPUTED_VALUE"""),"=0")</f>
        <v>=0</v>
      </c>
      <c r="T199" s="283" t="str">
        <f ca="1">IFERROR(__xludf.DUMMYFUNCTION("""COMPUTED_VALUE"""),"=170")</f>
        <v>=170</v>
      </c>
      <c r="U199" s="281" t="str">
        <f ca="1">IFERROR(__xludf.DUMMYFUNCTION("""COMPUTED_VALUE"""),"=0")</f>
        <v>=0</v>
      </c>
      <c r="V199" s="282" t="str">
        <f ca="1">IFERROR(__xludf.DUMMYFUNCTION("""COMPUTED_VALUE"""),"=0")</f>
        <v>=0</v>
      </c>
      <c r="W199" s="282" t="str">
        <f ca="1">IFERROR(__xludf.DUMMYFUNCTION("""COMPUTED_VALUE"""),"=0")</f>
        <v>=0</v>
      </c>
      <c r="X199" s="282" t="str">
        <f ca="1">IFERROR(__xludf.DUMMYFUNCTION("""COMPUTED_VALUE"""),"=0")</f>
        <v>=0</v>
      </c>
      <c r="Y199" s="283" t="str">
        <f ca="1">IFERROR(__xludf.DUMMYFUNCTION("""COMPUTED_VALUE"""),"=0")</f>
        <v>=0</v>
      </c>
      <c r="Z199" s="281" t="str">
        <f ca="1">IFERROR(__xludf.DUMMYFUNCTION("""COMPUTED_VALUE"""),"=1")</f>
        <v>=1</v>
      </c>
      <c r="AA199" s="282" t="str">
        <f ca="1">IFERROR(__xludf.DUMMYFUNCTION("""COMPUTED_VALUE"""),"=1")</f>
        <v>=1</v>
      </c>
      <c r="AB199" s="282" t="str">
        <f ca="1">IFERROR(__xludf.DUMMYFUNCTION("""COMPUTED_VALUE"""),"=1")</f>
        <v>=1</v>
      </c>
      <c r="AC199" s="282" t="str">
        <f ca="1">IFERROR(__xludf.DUMMYFUNCTION("""COMPUTED_VALUE"""),"=1")</f>
        <v>=1</v>
      </c>
      <c r="AD199" s="283" t="str">
        <f ca="1">IFERROR(__xludf.DUMMYFUNCTION("""COMPUTED_VALUE"""),"=1")</f>
        <v>=1</v>
      </c>
      <c r="AE199" s="281" t="b">
        <f ca="1">IFERROR(__xludf.DUMMYFUNCTION("""COMPUTED_VALUE"""),TRUE)</f>
        <v>1</v>
      </c>
      <c r="AF199" s="631"/>
      <c r="AG199" s="629"/>
      <c r="AH199" s="629"/>
      <c r="AI199" s="629" t="b">
        <f ca="1">IFERROR(__xludf.DUMMYFUNCTION("""COMPUTED_VALUE"""),FALSE)</f>
        <v>0</v>
      </c>
      <c r="AJ199" s="630" t="b">
        <f ca="1">IFERROR(__xludf.DUMMYFUNCTION("""COMPUTED_VALUE"""),FALSE)</f>
        <v>0</v>
      </c>
    </row>
    <row r="200" spans="1:36">
      <c r="A200" s="301" t="str">
        <f ca="1">IFERROR(__xludf.DUMMYFUNCTION("""COMPUTED_VALUE"""),"TARGETDUMMY")</f>
        <v>TARGETDUMMY</v>
      </c>
      <c r="B200" s="282" t="str">
        <f ca="1">IFERROR(__xludf.DUMMYFUNCTION("""COMPUTED_VALUE"""),"=3000")</f>
        <v>=3000</v>
      </c>
      <c r="C200" s="282" t="str">
        <f ca="1">IFERROR(__xludf.DUMMYFUNCTION("""COMPUTED_VALUE"""),"=0")</f>
        <v>=0</v>
      </c>
      <c r="D200" s="282" t="str">
        <f ca="1">IFERROR(__xludf.DUMMYFUNCTION("""COMPUTED_VALUE"""),"=0")</f>
        <v>=0</v>
      </c>
      <c r="E200" s="302" t="str">
        <f ca="1">IFERROR(__xludf.DUMMYFUNCTION("""COMPUTED_VALUE"""),"=0")</f>
        <v>=0</v>
      </c>
      <c r="F200" s="282" t="str">
        <f ca="1">IFERROR(__xludf.DUMMYFUNCTION("""COMPUTED_VALUE"""),"=0")</f>
        <v>=0</v>
      </c>
      <c r="G200" s="282" t="str">
        <f ca="1">IFERROR(__xludf.DUMMYFUNCTION("""COMPUTED_VALUE"""),"=0")</f>
        <v>=0</v>
      </c>
      <c r="H200" s="282" t="str">
        <f ca="1">IFERROR(__xludf.DUMMYFUNCTION("""COMPUTED_VALUE"""),"=0")</f>
        <v>=0</v>
      </c>
      <c r="I200" s="302" t="str">
        <f ca="1">IFERROR(__xludf.DUMMYFUNCTION("""COMPUTED_VALUE"""),"=0")</f>
        <v>=0</v>
      </c>
      <c r="J200" s="303" t="str">
        <f ca="1">IFERROR(__xludf.DUMMYFUNCTION("""COMPUTED_VALUE"""),"=0")</f>
        <v>=0</v>
      </c>
      <c r="K200" s="282" t="str">
        <f ca="1">IFERROR(__xludf.DUMMYFUNCTION("""COMPUTED_VALUE"""),"=0")</f>
        <v>=0</v>
      </c>
      <c r="L200" s="304" t="str">
        <f ca="1">IFERROR(__xludf.DUMMYFUNCTION("""COMPUTED_VALUE"""),"=0,658")</f>
        <v>=0,658</v>
      </c>
      <c r="M200" s="304" t="str">
        <f ca="1">IFERROR(__xludf.DUMMYFUNCTION("""COMPUTED_VALUE"""),"=0,658")</f>
        <v>=0,658</v>
      </c>
      <c r="N200" s="305" t="str">
        <f ca="1">IFERROR(__xludf.DUMMYFUNCTION("""COMPUTED_VALUE"""),"=0%")</f>
        <v>=0%</v>
      </c>
      <c r="O200" s="288" t="str">
        <f ca="1">IFERROR(__xludf.DUMMYFUNCTION("""COMPUTED_VALUE"""),"=100")</f>
        <v>=100</v>
      </c>
      <c r="P200" s="282" t="str">
        <f ca="1">IFERROR(__xludf.DUMMYFUNCTION("""COMPUTED_VALUE"""),"=0")</f>
        <v>=0</v>
      </c>
      <c r="Q200" s="282" t="str">
        <f ca="1">IFERROR(__xludf.DUMMYFUNCTION("""COMPUTED_VALUE"""),"=100")</f>
        <v>=100</v>
      </c>
      <c r="R200" s="302" t="str">
        <f ca="1">IFERROR(__xludf.DUMMYFUNCTION("""COMPUTED_VALUE"""),"=0")</f>
        <v>=0</v>
      </c>
      <c r="S200" s="282" t="str">
        <f ca="1">IFERROR(__xludf.DUMMYFUNCTION("""COMPUTED_VALUE"""),"=0")</f>
        <v>=0</v>
      </c>
      <c r="T200" s="283" t="str">
        <f ca="1">IFERROR(__xludf.DUMMYFUNCTION("""COMPUTED_VALUE"""),"=0")</f>
        <v>=0</v>
      </c>
      <c r="U200" s="281" t="str">
        <f ca="1">IFERROR(__xludf.DUMMYFUNCTION("""COMPUTED_VALUE"""),"=0")</f>
        <v>=0</v>
      </c>
      <c r="V200" s="282" t="str">
        <f ca="1">IFERROR(__xludf.DUMMYFUNCTION("""COMPUTED_VALUE"""),"=0")</f>
        <v>=0</v>
      </c>
      <c r="W200" s="282" t="str">
        <f ca="1">IFERROR(__xludf.DUMMYFUNCTION("""COMPUTED_VALUE"""),"=0")</f>
        <v>=0</v>
      </c>
      <c r="X200" s="282" t="str">
        <f ca="1">IFERROR(__xludf.DUMMYFUNCTION("""COMPUTED_VALUE"""),"=0")</f>
        <v>=0</v>
      </c>
      <c r="Y200" s="283" t="str">
        <f ca="1">IFERROR(__xludf.DUMMYFUNCTION("""COMPUTED_VALUE"""),"=0")</f>
        <v>=0</v>
      </c>
      <c r="Z200" s="281" t="str">
        <f ca="1">IFERROR(__xludf.DUMMYFUNCTION("""COMPUTED_VALUE"""),"=1")</f>
        <v>=1</v>
      </c>
      <c r="AA200" s="282" t="str">
        <f ca="1">IFERROR(__xludf.DUMMYFUNCTION("""COMPUTED_VALUE"""),"=1")</f>
        <v>=1</v>
      </c>
      <c r="AB200" s="282" t="str">
        <f ca="1">IFERROR(__xludf.DUMMYFUNCTION("""COMPUTED_VALUE"""),"=1")</f>
        <v>=1</v>
      </c>
      <c r="AC200" s="282" t="str">
        <f ca="1">IFERROR(__xludf.DUMMYFUNCTION("""COMPUTED_VALUE"""),"=1")</f>
        <v>=1</v>
      </c>
      <c r="AD200" s="283" t="str">
        <f ca="1">IFERROR(__xludf.DUMMYFUNCTION("""COMPUTED_VALUE"""),"=1")</f>
        <v>=1</v>
      </c>
      <c r="AE200" s="281" t="b">
        <f ca="1">IFERROR(__xludf.DUMMYFUNCTION("""COMPUTED_VALUE"""),TRUE)</f>
        <v>1</v>
      </c>
      <c r="AF200" s="631"/>
      <c r="AG200" s="629"/>
      <c r="AH200" s="629"/>
      <c r="AI200" s="629" t="b">
        <f ca="1">IFERROR(__xludf.DUMMYFUNCTION("""COMPUTED_VALUE"""),FALSE)</f>
        <v>0</v>
      </c>
      <c r="AJ200" s="630" t="b">
        <f ca="1">IFERROR(__xludf.DUMMYFUNCTION("""COMPUTED_VALUE"""),FALSE)</f>
        <v>0</v>
      </c>
    </row>
  </sheetData>
  <hyperlinks>
    <hyperlink ref="A1" r:id="rId1" xr:uid="{00000000-0004-0000-0D00-000000000000}"/>
    <hyperlink ref="T1" r:id="rId2" xr:uid="{00000000-0004-0000-0D00-000001000000}"/>
  </hyperlinks>
  <pageMargins left="0.7" right="0.7" top="0.75" bottom="0.75" header="0.3" footer="0.3"/>
  <legacyDrawing r:id="rId3"/>
  <tableParts count="1">
    <tablePart r:id="rId4"/>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K9"/>
  <sheetViews>
    <sheetView workbookViewId="0"/>
  </sheetViews>
  <sheetFormatPr baseColWidth="10" defaultColWidth="12.6640625" defaultRowHeight="15" customHeight="1"/>
  <cols>
    <col min="1" max="1" width="10.88671875" customWidth="1"/>
    <col min="2" max="2" width="13.109375" customWidth="1"/>
    <col min="3" max="3" width="30.109375" customWidth="1"/>
    <col min="4" max="4" width="13.109375" customWidth="1"/>
    <col min="5" max="5" width="34.77734375" customWidth="1"/>
    <col min="6" max="6" width="13.6640625" customWidth="1"/>
    <col min="7" max="7" width="43.44140625" customWidth="1"/>
    <col min="8" max="8" width="12.6640625" customWidth="1"/>
    <col min="9" max="9" width="47.77734375" customWidth="1"/>
    <col min="10" max="10" width="13.44140625" customWidth="1"/>
    <col min="11" max="11" width="38.6640625" customWidth="1"/>
  </cols>
  <sheetData>
    <row r="1" spans="1:11" ht="15" customHeight="1">
      <c r="A1" s="555">
        <f>IF(Interface!$U$11="Season 12",B1,IF(Interface!$U$11="Season 11",D1,IF(Interface!$U$11="Season 10",F1,IF(Interface!$U$11="Season 9",H1,IF(Interface!$U$11="Season 8",J1,0)))))</f>
        <v>0</v>
      </c>
      <c r="B1" s="556" t="str">
        <f ca="1">IFERROR(__xludf.DUMMYFUNCTION("IMPORTRANGE(""19QEmeWlm_IOMUgVC5P_7ofY_CkEZ4ULFNEedQ8mho9M"",""Log!B1:K9"")"),"")</f>
        <v/>
      </c>
      <c r="C1" s="632"/>
      <c r="D1" s="557"/>
      <c r="E1" s="558"/>
      <c r="F1" s="557"/>
      <c r="G1" s="555"/>
      <c r="H1" s="557"/>
      <c r="I1" s="558"/>
      <c r="J1" s="557"/>
      <c r="K1" s="555"/>
    </row>
    <row r="2" spans="1:11" ht="15" customHeight="1">
      <c r="A2" s="555">
        <f>IF(Interface!$U$11="Season 12",B2,IF(Interface!$U$11="Season 11",D2,IF(Interface!$U$11="Season 10",F2,IF(Interface!$U$11="Season 9",H2,IF(Interface!$U$11="Season 8",J2,0)))))</f>
        <v>0</v>
      </c>
      <c r="B2" s="556"/>
      <c r="C2" s="632"/>
      <c r="D2" s="557"/>
      <c r="E2" s="558"/>
      <c r="F2" s="557"/>
      <c r="G2" s="555"/>
      <c r="H2" s="557" t="str">
        <f ca="1">IFERROR(__xludf.DUMMYFUNCTION("""COMPUTED_VALUE"""),"v. 2.07")</f>
        <v>v. 2.07</v>
      </c>
      <c r="I2" s="558" t="str">
        <f ca="1">IFERROR(__xludf.DUMMYFUNCTION("""COMPUTED_VALUE"""),"v. 2.07: (17.11.2020 | 12:30 gmt+1):
- Implemented an update function, now you do not have to get a new sheet everytime I update it, you can update yours with a single click!
v. 2.07b: (23.11.2020 | 23:30 gmt+1):
- Updated to patch 10.24
v. 2.07c: (09.12."&amp;"2020 | 05:05 gmt+1):
- Updated to patch 10.25
v. 2.07d: (15.12.2020 | 08:55 gmt+1):
- Updated to patch 10.25b")</f>
        <v>v. 2.07: (17.11.2020 | 12:30 gmt+1):
- Implemented an update function, now you do not have to get a new sheet everytime I update it, you can update yours with a single click!
v. 2.07b: (23.11.2020 | 23:30 gmt+1):
- Updated to patch 10.24
v. 2.07c: (09.12.2020 | 05:05 gmt+1):
- Updated to patch 10.25
v. 2.07d: (15.12.2020 | 08:55 gmt+1):
- Updated to patch 10.25b</v>
      </c>
      <c r="J2" s="557"/>
      <c r="K2" s="555"/>
    </row>
    <row r="3" spans="1:11" ht="15" customHeight="1">
      <c r="A3" s="555">
        <f>IF(Interface!$U$11="Season 12",B3,IF(Interface!$U$11="Season 11",D3,IF(Interface!$U$11="Season 10",F3,IF(Interface!$U$11="Season 9",H3,IF(Interface!$U$11="Season 8",J3,0)))))</f>
        <v>0</v>
      </c>
      <c r="B3" s="556"/>
      <c r="C3" s="632"/>
      <c r="D3" s="557" t="str">
        <f ca="1">IFERROR(__xludf.DUMMYFUNCTION("""COMPUTED_VALUE"""),"v. 4.06")</f>
        <v>v. 4.06</v>
      </c>
      <c r="E3" s="558" t="str">
        <f ca="1">IFERROR(__xludf.DUMMYFUNCTION("""COMPUTED_VALUE"""),"v. 4.06: (16.11.2022 | 00:35 gmt+1):
- Updated to patch 12.22
- There might be some errors in this version, since some things were new to implement, if you finde some errors, please tell me on discord :D
v. 4.06a: Same day
- Riot added Navori to the patch"&amp;"list so I added it too :D
v. 4.06b: (06.12.2022 | 23:05 gmt+1):
- Updated to patch 12.23")</f>
        <v>v. 4.06: (16.11.2022 | 00:35 gmt+1):
- Updated to patch 12.22
- There might be some errors in this version, since some things were new to implement, if you finde some errors, please tell me on discord :D
v. 4.06a: Same day
- Riot added Navori to the patchlist so I added it too :D
v. 4.06b: (06.12.2022 | 23:05 gmt+1):
- Updated to patch 12.23</v>
      </c>
      <c r="F3" s="557"/>
      <c r="G3" s="555"/>
      <c r="H3" s="557" t="str">
        <f ca="1">IFERROR(__xludf.DUMMYFUNCTION("""COMPUTED_VALUE"""),"v. 2.06")</f>
        <v>v. 2.06</v>
      </c>
      <c r="I3" s="633" t="str">
        <f ca="1">IFERROR(__xludf.DUMMYFUNCTION("""COMPUTED_VALUE"""),"v. 2.06: (12.11.2020 | 04:50 gmt+1):
- Updated to preseason 2021 and patch 10.23
- To get easier used to the new items, I recommend having
https://lolshop.gg/ open in another tab
v. 2.06a: (13.11.2020 | 11:40 gmt+1):
- Midpatch updates
v. 2.06b: (15.11.20"&amp;"20 | 05:30 gmt+1):
- Fixed an error with critical strikes and dps for the following champions:
Ashe, Caitlyn, Senna, Yasuo, Yone")</f>
        <v>v. 2.06: (12.11.2020 | 04:50 gmt+1):
- Updated to preseason 2021 and patch 10.23
- To get easier used to the new items, I recommend having
https://lolshop.gg/ open in another tab
v. 2.06a: (13.11.2020 | 11:40 gmt+1):
- Midpatch updates
v. 2.06b: (15.11.2020 | 05:30 gmt+1):
- Fixed an error with critical strikes and dps for the following champions:
Ashe, Caitlyn, Senna, Yasuo, Yone</v>
      </c>
      <c r="J3" s="557" t="str">
        <f ca="1">IFERROR(__xludf.DUMMYFUNCTION("""COMPUTED_VALUE"""),"v. 1.15")</f>
        <v>v. 1.15</v>
      </c>
      <c r="K3" s="555" t="str">
        <f ca="1">IFERROR(__xludf.DUMMYFUNCTION("""COMPUTED_VALUE"""),"v. 1.15 (30.10.2019 | 14:00 gmt+1):
- More cleanup
v. 1.15a (05.11.2019 | 23:20 gmt+1):
- Update to patch 9.22
- Adjusted the interface for simpler use
v. 1.15b (19.11.2019 | 23:30 gmt+1):
- Update to patch 9.23
v. 1.15c (11.12.2019 | 07:00 gmt+1):
- Upda"&amp;"te to patch 9.24
v. 1.15d (19.12.2019 | 03:38 gmt+1):
- Update to patch 9.24b")</f>
        <v>v. 1.15 (30.10.2019 | 14:00 gmt+1):
- More cleanup
v. 1.15a (05.11.2019 | 23:20 gmt+1):
- Update to patch 9.22
- Adjusted the interface for simpler use
v. 1.15b (19.11.2019 | 23:30 gmt+1):
- Update to patch 9.23
v. 1.15c (11.12.2019 | 07:00 gmt+1):
- Update to patch 9.24
v. 1.15d (19.12.2019 | 03:38 gmt+1):
- Update to patch 9.24b</v>
      </c>
    </row>
    <row r="4" spans="1:11" ht="15" customHeight="1">
      <c r="A4" s="555">
        <f>IF(Interface!$U$11="Season 12",B4,IF(Interface!$U$11="Season 11",D4,IF(Interface!$U$11="Season 10",F4,IF(Interface!$U$11="Season 9",H4,IF(Interface!$U$11="Season 8",J4,0)))))</f>
        <v>0</v>
      </c>
      <c r="B4" s="556"/>
      <c r="C4" s="632"/>
      <c r="D4" s="557" t="str">
        <f ca="1">IFERROR(__xludf.DUMMYFUNCTION("""COMPUTED_VALUE"""),"v. 4.05")</f>
        <v>v. 4.05</v>
      </c>
      <c r="E4" s="558" t="str">
        <f ca="1">IFERROR(__xludf.DUMMYFUNCTION("""COMPUTED_VALUE"""),"v. 4.05: (19.10.2022 | 00:30 gmt+1):
- Updated to patch 12.20
- Leathal Tempo will not show the correct range values for ranged champs, need to get a new copy for that or just change the range cell :D
v. 4.05a: (05.11.2022 | 18:25 gmt+1):
- Updated to pat"&amp;"ch 12.21
- Getting a new version of the sheet is recommended, since I now calculate the cooldown in the calc tab, this change wont affect you much if you don't get a new copy tho, just keep in mind that some cooldowns can be shown too low then.")</f>
        <v>v. 4.05: (19.10.2022 | 00:30 gmt+1):
- Updated to patch 12.20
- Leathal Tempo will not show the correct range values for ranged champs, need to get a new copy for that or just change the range cell :D
v. 4.05a: (05.11.2022 | 18:25 gmt+1):
- Updated to patch 12.21
- Getting a new version of the sheet is recommended, since I now calculate the cooldown in the calc tab, this change wont affect you much if you don't get a new copy tho, just keep in mind that some cooldowns can be shown too low then.</v>
      </c>
      <c r="F4" s="557" t="str">
        <f ca="1">IFERROR(__xludf.DUMMYFUNCTION("""COMPUTED_VALUE"""),"v. 3.05")</f>
        <v>v. 3.05</v>
      </c>
      <c r="G4" s="555" t="str">
        <f ca="1">IFERROR(__xludf.DUMMYFUNCTION("""COMPUTED_VALUE"""),"-v. 3.05: (03.11.2021 | 19:35 gmt+1):
- Updated to patch 11.22")</f>
        <v>-v. 3.05: (03.11.2021 | 19:35 gmt+1):
- Updated to patch 11.22</v>
      </c>
      <c r="H4" s="557" t="str">
        <f ca="1">IFERROR(__xludf.DUMMYFUNCTION("""COMPUTED_VALUE"""),"v. 2.05")</f>
        <v>v. 2.05</v>
      </c>
      <c r="I4" s="558" t="str">
        <f ca="1">IFERROR(__xludf.DUMMYFUNCTION("""COMPUTED_VALUE"""),"v. 2.05: (13.10.2020 | 23:40 gmt+1):
- Updated to patch 10.21
- Prepared the sheet for translation into other languages
- Redone the calculations and fixed some errors
- Added seraphine (14.10.2020)
v. 2.05a: (27.10.2020 | 18:30 gmt+1):
- Updated to patch"&amp;" 10.22
- Fixed an attack speed error")</f>
        <v>v. 2.05: (13.10.2020 | 23:40 gmt+1):
- Updated to patch 10.21
- Prepared the sheet for translation into other languages
- Redone the calculations and fixed some errors
- Added seraphine (14.10.2020)
v. 2.05a: (27.10.2020 | 18:30 gmt+1):
- Updated to patch 10.22
- Fixed an attack speed error</v>
      </c>
      <c r="J4" s="557" t="str">
        <f ca="1">IFERROR(__xludf.DUMMYFUNCTION("""COMPUTED_VALUE"""),"v. 1.14")</f>
        <v>v. 1.14</v>
      </c>
      <c r="K4" s="555" t="str">
        <f ca="1">IFERROR(__xludf.DUMMYFUNCTION("""COMPUTED_VALUE"""),"v. 1.14 (28.09.2019 | 01:05 gmt+1):
- Update to patch 9.19
v. 1.14a (08.10.2019 | 22:46 gmt+1):
- Update to patch 9.20
v. 1.14b (22.10.2019 | 22:33 gmt+1):
- Update to patch 9.21
v. 1.14c (26.10.2019 | 22:45 gmt+1):
- Polished up the steroids for all cham"&amp;"pions and made it more unified
- Reworked the champion information to give better insight to what some steroids do
- Finished the ""Variables Explained"" tab for people who want to have a better insight into the sheet
- Changed some variable names and cle"&amp;"aned some up for faster and simpler usage")</f>
        <v>v. 1.14 (28.09.2019 | 01:05 gmt+1):
- Update to patch 9.19
v. 1.14a (08.10.2019 | 22:46 gmt+1):
- Update to patch 9.20
v. 1.14b (22.10.2019 | 22:33 gmt+1):
- Update to patch 9.21
v. 1.14c (26.10.2019 | 22:45 gmt+1):
- Polished up the steroids for all champions and made it more unified
- Reworked the champion information to give better insight to what some steroids do
- Finished the "Variables Explained" tab for people who want to have a better insight into the sheet
- Changed some variable names and cleaned some up for faster and simpler usage</v>
      </c>
    </row>
    <row r="5" spans="1:11" ht="15" customHeight="1">
      <c r="A5" s="555">
        <f>IF(Interface!$U$11="Season 12",B5,IF(Interface!$U$11="Season 11",D5,IF(Interface!$U$11="Season 10",F5,IF(Interface!$U$11="Season 9",H5,IF(Interface!$U$11="Season 8",J5,0)))))</f>
        <v>0</v>
      </c>
      <c r="B5" s="556"/>
      <c r="C5" s="632"/>
      <c r="D5" s="557" t="str">
        <f ca="1">IFERROR(__xludf.DUMMYFUNCTION("""COMPUTED_VALUE"""),"v. 4.04")</f>
        <v>v. 4.04</v>
      </c>
      <c r="E5" s="558" t="str">
        <f ca="1">IFERROR(__xludf.DUMMYFUNCTION("""COMPUTED_VALUE"""),"v. 4.04: (10.08.2022 | 01:40 gmt+1):
- Updated to patch 12.15
v. 4.04a: (24.08.2022 | 02:00 gmt+1):
- Updated to patch 12.16
v. 4.04b: (07.09.2022 | 21:15 gmt+1):
- Updated to patch 12.17
v. 4.04c: (21.09.2022 | 00:30 gmt+1):
- Updated to patch 12.18
v. 4"&amp;".04d: (05.10.2022 | 00:15 gmt+1):
- Updated to patch 12.19")</f>
        <v>v. 4.04: (10.08.2022 | 01:40 gmt+1):
- Updated to patch 12.15
v. 4.04a: (24.08.2022 | 02:00 gmt+1):
- Updated to patch 12.16
v. 4.04b: (07.09.2022 | 21:15 gmt+1):
- Updated to patch 12.17
v. 4.04c: (21.09.2022 | 00:30 gmt+1):
- Updated to patch 12.18
v. 4.04d: (05.10.2022 | 00:15 gmt+1):
- Updated to patch 12.19</v>
      </c>
      <c r="F5" s="557" t="str">
        <f ca="1">IFERROR(__xludf.DUMMYFUNCTION("""COMPUTED_VALUE"""),"v. 3.04")</f>
        <v>v. 3.04</v>
      </c>
      <c r="G5" s="555" t="str">
        <f ca="1">IFERROR(__xludf.DUMMYFUNCTION("""COMPUTED_VALUE"""),"-v. 3.04: (25.08.2021 | 01:10 gmt+1):
- Updated to patch 11.17
-v. 3.04a: (08.09.2021 | 22:35 gmt+1):
- Updated to patch 11.18
-v. 3.04b: (22.09.2021 | 04:35 gmt+1):
- Updated to patch 11.19
-v. 3.04c: (05.10.2021 | 22:35 gmt+1):
- Updated to patch 11.20
"&amp;"-v. 3.04d: (19.10.2021 | 22:10 gmt+1):
- Updated to patch 11.21")</f>
        <v>-v. 3.04: (25.08.2021 | 01:10 gmt+1):
- Updated to patch 11.17
-v. 3.04a: (08.09.2021 | 22:35 gmt+1):
- Updated to patch 11.18
-v. 3.04b: (22.09.2021 | 04:35 gmt+1):
- Updated to patch 11.19
-v. 3.04c: (05.10.2021 | 22:35 gmt+1):
- Updated to patch 11.20
-v. 3.04d: (19.10.2021 | 22:10 gmt+1):
- Updated to patch 11.21</v>
      </c>
      <c r="H5" s="557" t="str">
        <f ca="1">IFERROR(__xludf.DUMMYFUNCTION("""COMPUTED_VALUE"""),"v. 2.04")</f>
        <v>v. 2.04</v>
      </c>
      <c r="I5" s="558" t="str">
        <f ca="1">IFERROR(__xludf.DUMMYFUNCTION("""COMPUTED_VALUE"""),"v. 2.04: (01.09.2020 | 23:00 gmt+1):
- Updated to patch 10.18
v. 2.04a: (15.09.2020 | 21:15 gmt+1):
- Updated to patch 10.19
- 2.04b: Samira hotfix (23.09.2020 01:37 | gmt+1)
v. 2.04c: (29.09.2020 | 21:35 gmt+1):
- Updated to patch 10.20
- Added a new tab"&amp;" where the preseason items are already inserted, tho the interactions of mythic and legendary is still missing, those will be added once the items hit live!")</f>
        <v>v. 2.04: (01.09.2020 | 23:00 gmt+1):
- Updated to patch 10.18
v. 2.04a: (15.09.2020 | 21:15 gmt+1):
- Updated to patch 10.19
- 2.04b: Samira hotfix (23.09.2020 01:37 | gmt+1)
v. 2.04c: (29.09.2020 | 21:35 gmt+1):
- Updated to patch 10.20
- Added a new tab where the preseason items are already inserted, tho the interactions of mythic and legendary is still missing, those will be added once the items hit live!</v>
      </c>
      <c r="J5" s="557" t="str">
        <f ca="1">IFERROR(__xludf.DUMMYFUNCTION("""COMPUTED_VALUE"""),"v. 1.13")</f>
        <v>v. 1.13</v>
      </c>
      <c r="K5" s="555" t="str">
        <f ca="1">IFERROR(__xludf.DUMMYFUNCTION("""COMPUTED_VALUE"""),"v. 1.13 (19.07.2019 | 19:00 gmt+1):
- Update to patch 9.14
v. 1.13a (30.07.2019 | 00:00 gmt+1):
- Update to patch 9.15
v. 1.13b (14.08.2019 | 01:30 gmt+1):
- Update to patch 9.16
v. 1.13c (27.08.2019 | 21:00 gmt+1):
- Update to patch 9.17
- Statikk etc. i"&amp;"nto dps, Quinn passive into DPS
v. 1.13d (10.09.2019 | 20:25 gmt+1):
- Update to patch 9.18")</f>
        <v>v. 1.13 (19.07.2019 | 19:00 gmt+1):
- Update to patch 9.14
v. 1.13a (30.07.2019 | 00:00 gmt+1):
- Update to patch 9.15
v. 1.13b (14.08.2019 | 01:30 gmt+1):
- Update to patch 9.16
v. 1.13c (27.08.2019 | 21:00 gmt+1):
- Update to patch 9.17
- Statikk etc. into dps, Quinn passive into DPS
v. 1.13d (10.09.2019 | 20:25 gmt+1):
- Update to patch 9.18</v>
      </c>
    </row>
    <row r="6" spans="1:11" ht="15" customHeight="1">
      <c r="A6" s="555">
        <f>IF(Interface!$U$11="Season 12",B6,IF(Interface!$U$11="Season 11",D6,IF(Interface!$U$11="Season 10",F6,IF(Interface!$U$11="Season 9",H6,IF(Interface!$U$11="Season 8",J6,0)))))</f>
        <v>0</v>
      </c>
      <c r="B6" s="556"/>
      <c r="C6" s="632"/>
      <c r="D6" s="557" t="str">
        <f ca="1">IFERROR(__xludf.DUMMYFUNCTION("""COMPUTED_VALUE"""),"v. 4.03")</f>
        <v>v. 4.03</v>
      </c>
      <c r="E6" s="558" t="str">
        <f ca="1">IFERROR(__xludf.DUMMYFUNCTION("""COMPUTED_VALUE"""),"v. 4.03: (25.05.2022 | 05:00 gmt+1):
- Updated to patch 12.10
v. 4.03a: (08.06.2022 | 06:05 gmt+1):
- Updated to patch 12.11
v. 4.03b: (22.06.2022 | 22:50 gmt+1):
- Updated to patch 12.12
v. 4.03c: (13.07.2022 | 12:20 gmt+1):
- Updated to patch 12.13
v. 4"&amp;".03d: (26.07.2022 | 23:55 gmt+1):
- Updated to patch 12.14")</f>
        <v>v. 4.03: (25.05.2022 | 05:00 gmt+1):
- Updated to patch 12.10
v. 4.03a: (08.06.2022 | 06:05 gmt+1):
- Updated to patch 12.11
v. 4.03b: (22.06.2022 | 22:50 gmt+1):
- Updated to patch 12.12
v. 4.03c: (13.07.2022 | 12:20 gmt+1):
- Updated to patch 12.13
v. 4.03d: (26.07.2022 | 23:55 gmt+1):
- Updated to patch 12.14</v>
      </c>
      <c r="F6" s="557" t="str">
        <f ca="1">IFERROR(__xludf.DUMMYFUNCTION("""COMPUTED_VALUE"""),"v. 3.03")</f>
        <v>v. 3.03</v>
      </c>
      <c r="G6" s="555" t="str">
        <f ca="1">IFERROR(__xludf.DUMMYFUNCTION("""COMPUTED_VALUE"""),"-v. 3.03: (22.06.2021 | 21:30 gmt+1):
- Updated to patch 11.13
-v. 3.03a: (07.07.2021 | 17:15 gmt+1):
- Updated to patch 11.14
-v. 3.03b: (21.07.2021 | 22:15 gmt+1):
- Updated to patch 11.15
- MidPatch: Added Akshans other passive also in the DPS
-v. 3.03"&amp;"c: (11.08.2021 | 03:00 gmt+1):
- Updated to patch 11.16
- Sona will only work correctly if you get a new copy of the sheet")</f>
        <v>-v. 3.03: (22.06.2021 | 21:30 gmt+1):
- Updated to patch 11.13
-v. 3.03a: (07.07.2021 | 17:15 gmt+1):
- Updated to patch 11.14
-v. 3.03b: (21.07.2021 | 22:15 gmt+1):
- Updated to patch 11.15
- MidPatch: Added Akshans other passive also in the DPS
-v. 3.03c: (11.08.2021 | 03:00 gmt+1):
- Updated to patch 11.16
- Sona will only work correctly if you get a new copy of the sheet</v>
      </c>
      <c r="H6" s="557" t="str">
        <f ca="1">IFERROR(__xludf.DUMMYFUNCTION("""COMPUTED_VALUE"""),"v. 2.03")</f>
        <v>v. 2.03</v>
      </c>
      <c r="I6" s="558" t="str">
        <f ca="1">IFERROR(__xludf.DUMMYFUNCTION("""COMPUTED_VALUE"""),"v. 2.03: (07.07.2020 | 23:30 gmt+1):
- Updated to patch 10.14
v. 2.03a: (22.07.2020 | 02:12 gmt+1):
- Updated to patch 10.15
v. 2.03b: (24.07.2020 | 01:41 gmt+1):
- Added Lillia
v. 2.03c: (04.08.2020 | 23:08 gmt+1):
- Updated to patch 10.16
v. 2.03d: (19."&amp;"08.2020 | 23:14 gmt+1):
- Updated to patch 10.17")</f>
        <v>v. 2.03: (07.07.2020 | 23:30 gmt+1):
- Updated to patch 10.14
v. 2.03a: (22.07.2020 | 02:12 gmt+1):
- Updated to patch 10.15
v. 2.03b: (24.07.2020 | 01:41 gmt+1):
- Added Lillia
v. 2.03c: (04.08.2020 | 23:08 gmt+1):
- Updated to patch 10.16
v. 2.03d: (19.08.2020 | 23:14 gmt+1):
- Updated to patch 10.17</v>
      </c>
      <c r="J6" s="557" t="str">
        <f ca="1">IFERROR(__xludf.DUMMYFUNCTION("""COMPUTED_VALUE"""),"v. 1.12")</f>
        <v>v. 1.12</v>
      </c>
      <c r="K6" s="559" t="str">
        <f ca="1">IFERROR(__xludf.DUMMYFUNCTION("""COMPUTED_VALUE"""),"v. 1.12 (09.05.2019 | 12:20 gmt+1):
- Implemented Yuumi and Yuumi as buff
v. 1.12a (14.05.2019 | 10:11 gmt+1):
- Update to patch 9.10
v. 1.12b (30.05.2019 | 05:30 gmt+1):
- Update to patch 9.11
- You can now put 6 points into skills, for champs like Jayce"&amp;", before 5 was equal to 6.
v. 1.12c (12.06.2019 | 04:00 gmt+1):
- Update to patch 9.12
v. 1.12d (25.06.2019 | 23:30 gmt+1):
- Update to patch 9.13")</f>
        <v>v. 1.12 (09.05.2019 | 12:20 gmt+1):
- Implemented Yuumi and Yuumi as buff
v. 1.12a (14.05.2019 | 10:11 gmt+1):
- Update to patch 9.10
v. 1.12b (30.05.2019 | 05:30 gmt+1):
- Update to patch 9.11
- You can now put 6 points into skills, for champs like Jayce, before 5 was equal to 6.
v. 1.12c (12.06.2019 | 04:00 gmt+1):
- Update to patch 9.12
v. 1.12d (25.06.2019 | 23:30 gmt+1):
- Update to patch 9.13</v>
      </c>
    </row>
    <row r="7" spans="1:11" ht="15" customHeight="1">
      <c r="A7" s="555">
        <f>IF(Interface!$U$11="Season 12",B7,IF(Interface!$U$11="Season 11",D7,IF(Interface!$U$11="Season 10",F7,IF(Interface!$U$11="Season 9",H7,IF(Interface!$U$11="Season 8",J7,0)))))</f>
        <v>0</v>
      </c>
      <c r="B7" s="556" t="str">
        <f ca="1">IFERROR(__xludf.DUMMYFUNCTION("""COMPUTED_VALUE"""),"v. 13.12")</f>
        <v>v. 13.12</v>
      </c>
      <c r="C7" s="632" t="str">
        <f ca="1">IFERROR(__xludf.DUMMYFUNCTION("""COMPUTED_VALUE"""),"v. 13.10: (16.05.2023 | 00:00 gmt+1):
- Updated to latest patch
- Its recommended to get a new copy of the sheet
v. 13.11: (01.06.2023 | 13:00 gmt+1):
- Updated to latest patch
v. 13.12: (15.06.2023 | 03:10 gmt+1):
- Updated to latest patch")</f>
        <v>v. 13.10: (16.05.2023 | 00:00 gmt+1):
- Updated to latest patch
- Its recommended to get a new copy of the sheet
v. 13.11: (01.06.2023 | 13:00 gmt+1):
- Updated to latest patch
v. 13.12: (15.06.2023 | 03:10 gmt+1):
- Updated to latest patch</v>
      </c>
      <c r="D7" s="557" t="str">
        <f ca="1">IFERROR(__xludf.DUMMYFUNCTION("""COMPUTED_VALUE"""),"v. 4.02")</f>
        <v>v. 4.02</v>
      </c>
      <c r="E7" s="558" t="str">
        <f ca="1">IFERROR(__xludf.DUMMYFUNCTION("""COMPUTED_VALUE"""),"v. 4.02: (01.03.2022 | 21:40 gmt+1):
- Updated to patch 12.5
v. 4.02a: (30.03.2022 | 13:05 gmt+1):
- Updated to patch 12.6
- Gold from treasure hunter wont show in total gold unless you add it manually or get a new sheet
v. 4.02b: (13.04.2022 | 01:55 gmt+"&amp;"1):
- Updated to patch 12.7
v. 4.02c: (26.04.2022 | 21:55 gmt+1):
- Updated to patch 12.8
v. 4.02d: (11.05.2022 | 00:15 gmt+1):
- Updated to patch 12.9")</f>
        <v>v. 4.02: (01.03.2022 | 21:40 gmt+1):
- Updated to patch 12.5
v. 4.02a: (30.03.2022 | 13:05 gmt+1):
- Updated to patch 12.6
- Gold from treasure hunter wont show in total gold unless you add it manually or get a new sheet
v. 4.02b: (13.04.2022 | 01:55 gmt+1):
- Updated to patch 12.7
v. 4.02c: (26.04.2022 | 21:55 gmt+1):
- Updated to patch 12.8
v. 4.02d: (11.05.2022 | 00:15 gmt+1):
- Updated to patch 12.9</v>
      </c>
      <c r="F7" s="557" t="str">
        <f ca="1">IFERROR(__xludf.DUMMYFUNCTION("""COMPUTED_VALUE"""),"v. 3.02")</f>
        <v>v. 3.02</v>
      </c>
      <c r="G7" s="555" t="str">
        <f ca="1">IFERROR(__xludf.DUMMYFUNCTION("""COMPUTED_VALUE"""),"v. 3.02: (26.05.2021 | 00:40 gmt+1):
- Updated to patch 11.11
- Ultimate hunter and cloud dragon haste is calculated incorrectly, for the correct formula, get a new copy of the sheet
v. 3.02a: (08.06.2021 | 22:40 gmt+1):
- Updated to patch 11.12
v. 3.02b2"&amp;": (09.06.2021 | 23:50 gmt+1):
- Added the Dr. Mundo rework
- Updated the Aphelios Crescendum damage (if it works like the old one it should be very close for the level 2-9 and accurate above)")</f>
        <v>v. 3.02: (26.05.2021 | 00:40 gmt+1):
- Updated to patch 11.11
- Ultimate hunter and cloud dragon haste is calculated incorrectly, for the correct formula, get a new copy of the sheet
v. 3.02a: (08.06.2021 | 22:40 gmt+1):
- Updated to patch 11.12
v. 3.02b2: (09.06.2021 | 23:50 gmt+1):
- Added the Dr. Mundo rework
- Updated the Aphelios Crescendum damage (if it works like the old one it should be very close for the level 2-9 and accurate above)</v>
      </c>
      <c r="H7" s="557" t="str">
        <f ca="1">IFERROR(__xludf.DUMMYFUNCTION("""COMPUTED_VALUE"""),"v. 2.02")</f>
        <v>v. 2.02</v>
      </c>
      <c r="I7" s="558" t="str">
        <f ca="1">IFERROR(__xludf.DUMMYFUNCTION("""COMPUTED_VALUE"""),"v. 2.02: (28.04.2020 | 22:50 gmt+1):
- Updated to patch 10.9
v. 2.02a: (12.05.2020 | 22:25 gmt+1):
- Updated to patch 10.10
v. 2.02b: (27.05.2020 | 22:53 gmt+1):
- Updated to patch 10.11
- Voli Hotfix (02.06.2020)
v. 2.02c: (09.06.2020 | 21:34 gmt+1):
- U"&amp;"pdated to patch 10.12
v. 2.02d: (24.06.2020 | 02:24 gmt+1):
- Updated to patch 10.13")</f>
        <v>v. 2.02: (28.04.2020 | 22:50 gmt+1):
- Updated to patch 10.9
v. 2.02a: (12.05.2020 | 22:25 gmt+1):
- Updated to patch 10.10
v. 2.02b: (27.05.2020 | 22:53 gmt+1):
- Updated to patch 10.11
- Voli Hotfix (02.06.2020)
v. 2.02c: (09.06.2020 | 21:34 gmt+1):
- Updated to patch 10.12
v. 2.02d: (24.06.2020 | 02:24 gmt+1):
- Updated to patch 10.13</v>
      </c>
      <c r="J7" s="557" t="str">
        <f ca="1">IFERROR(__xludf.DUMMYFUNCTION("""COMPUTED_VALUE"""),"v. 1.11")</f>
        <v>v. 1.11</v>
      </c>
      <c r="K7" s="559" t="str">
        <f ca="1">IFERROR(__xludf.DUMMYFUNCTION("""COMPUTED_VALUE"""),"v. 1.11 (19.03.2019 | 23:00 gmt+1):
- Update to patch 9.6
v. 1.11a (30.03.2019 | 05:40 gmt+1):
- Fixed some skill damages based on missing health
- Added some icons to items and champions
v. 1.11b (02.04.2019 | 23:20 gmt+1):
- Update to patch 9.7
v. 1.11c"&amp;" (16.04.2019 | 20:33 gmt+1):
- Update to patch 9.8
v. 1.11d (01.05.2019 | 01:30 gmt+1):
- Update to patch 9.9")</f>
        <v>v. 1.11 (19.03.2019 | 23:00 gmt+1):
- Update to patch 9.6
v. 1.11a (30.03.2019 | 05:40 gmt+1):
- Fixed some skill damages based on missing health
- Added some icons to items and champions
v. 1.11b (02.04.2019 | 23:20 gmt+1):
- Update to patch 9.7
v. 1.11c (16.04.2019 | 20:33 gmt+1):
- Update to patch 9.8
v. 1.11d (01.05.2019 | 01:30 gmt+1):
- Update to patch 9.9</v>
      </c>
    </row>
    <row r="8" spans="1:11" ht="15" customHeight="1">
      <c r="A8" s="555">
        <f>IF(Interface!$U$11="Season 12",B8,IF(Interface!$U$11="Season 11",D8,IF(Interface!$U$11="Season 10",F8,IF(Interface!$U$11="Season 9",H8,IF(Interface!$U$11="Season 8",J8,0)))))</f>
        <v>0</v>
      </c>
      <c r="B8" s="556" t="str">
        <f ca="1">IFERROR(__xludf.DUMMYFUNCTION("""COMPUTED_VALUE"""),"v. 13.9")</f>
        <v>v. 13.9</v>
      </c>
      <c r="C8" s="632" t="str">
        <f ca="1">IFERROR(__xludf.DUMMYFUNCTION("""COMPUTED_VALUE"""),"v. 13.5: (08.03.2023 | 02:40 gmt+1):
- Updated to latest patch
v. 13.6: (22.03.2023 | 18:40 gmt+1):
- Updated to latest patch
v. 13.7: (04.04.2023 | 23:15 gmt+1):
- Updated to latest patch
v. 13.8: (27.04.2023 | 12:10 gmt+1):
- Updated to latest patch
v. "&amp;"13.9: (03.05.2023 | 10:10 gmt+1):
- Updated to latest patch")</f>
        <v>v. 13.5: (08.03.2023 | 02:40 gmt+1):
- Updated to latest patch
v. 13.6: (22.03.2023 | 18:40 gmt+1):
- Updated to latest patch
v. 13.7: (04.04.2023 | 23:15 gmt+1):
- Updated to latest patch
v. 13.8: (27.04.2023 | 12:10 gmt+1):
- Updated to latest patch
v. 13.9: (03.05.2023 | 10:10 gmt+1):
- Updated to latest patch</v>
      </c>
      <c r="D8" s="557" t="str">
        <f ca="1">IFERROR(__xludf.DUMMYFUNCTION("""COMPUTED_VALUE"""),"v. 4.01")</f>
        <v>v. 4.01</v>
      </c>
      <c r="E8" s="558" t="str">
        <f ca="1">IFERROR(__xludf.DUMMYFUNCTION("""COMPUTED_VALUE"""),"v. 4.01: (08.12.2021 | 02:40 gmt+1):
- Updated to patch 11.24
a: - Updated to patch 11.24b
b: - Updated to patch 12.1
v. 4.01c: (20.01.2022 | 02:40 gmt+1):
- Updated to patch 12.2
- Zeri is added to the sheet
v. 4.01d: (02.02.2022 | 00:05 gmt+1):
- Update"&amp;"d to patch 12.3
v. 4.01e: (15.02.2022 | 23:35 gmt+1):
- Updated to patch 12.4")</f>
        <v>v. 4.01: (08.12.2021 | 02:40 gmt+1):
- Updated to patch 11.24
a: - Updated to patch 11.24b
b: - Updated to patch 12.1
v. 4.01c: (20.01.2022 | 02:40 gmt+1):
- Updated to patch 12.2
- Zeri is added to the sheet
v. 4.01d: (02.02.2022 | 00:05 gmt+1):
- Updated to patch 12.3
v. 4.01e: (15.02.2022 | 23:35 gmt+1):
- Updated to patch 12.4</v>
      </c>
      <c r="F8" s="557" t="str">
        <f ca="1">IFERROR(__xludf.DUMMYFUNCTION("""COMPUTED_VALUE"""),"v. 3.01")</f>
        <v>v. 3.01</v>
      </c>
      <c r="G8" s="555" t="str">
        <f ca="1">IFERROR(__xludf.DUMMYFUNCTION("""COMPUTED_VALUE"""),"v. 3.01: (16.03.2021 | 23:40 gmt+1):
- Updated to patch 11.6
v. 3.01a: (31.03.2021 | 3:00 gmt+1):
- Updated to patch 11.7
v. 3.01b: (14.04.2021 | 13:50 gmt+1):
- Updated to patch 11.8
v. 3.01c: (28.04.2021 | 07:50 gmt+1):
- Updated to patch 11.9
v. 3.01d:"&amp;" (12.05.2021 | 14:10 gmt+1):
- Updated to patch 11.10")</f>
        <v>v. 3.01: (16.03.2021 | 23:40 gmt+1):
- Updated to patch 11.6
v. 3.01a: (31.03.2021 | 3:00 gmt+1):
- Updated to patch 11.7
v. 3.01b: (14.04.2021 | 13:50 gmt+1):
- Updated to patch 11.8
v. 3.01c: (28.04.2021 | 07:50 gmt+1):
- Updated to patch 11.9
v. 3.01d: (12.05.2021 | 14:10 gmt+1):
- Updated to patch 11.10</v>
      </c>
      <c r="H8" s="557" t="str">
        <f ca="1">IFERROR(__xludf.DUMMYFUNCTION("""COMPUTED_VALUE"""),"v. 2.01")</f>
        <v>v. 2.01</v>
      </c>
      <c r="I8" s="558" t="str">
        <f ca="1">IFERROR(__xludf.DUMMYFUNCTION("""COMPUTED_VALUE"""),"v. 2.01: (18.02.2020 | 20:35 gmt+1):
- Updated to patch 10.4
v. 2.01a: (04.03.2020 | 05:15 gmt+1):
- Updated to patch 10.5
v. 2.01b: (18.03.2020 | 05:10 gmt+1):
- Updated to patch 10.6
v. 2.01c: (31.03.2020 | 22:25 gmt+1):
- Updated to patch 10.7
v. 2.01d"&amp;": (15.04.2020 | 01:05 gmt+1):
- Updated to patch 10.8")</f>
        <v>v. 2.01: (18.02.2020 | 20:35 gmt+1):
- Updated to patch 10.4
v. 2.01a: (04.03.2020 | 05:15 gmt+1):
- Updated to patch 10.5
v. 2.01b: (18.03.2020 | 05:10 gmt+1):
- Updated to patch 10.6
v. 2.01c: (31.03.2020 | 22:25 gmt+1):
- Updated to patch 10.7
v. 2.01d: (15.04.2020 | 01:05 gmt+1):
- Updated to patch 10.8</v>
      </c>
      <c r="J8" s="557" t="str">
        <f ca="1">IFERROR(__xludf.DUMMYFUNCTION("""COMPUTED_VALUE"""),"v. 1.10")</f>
        <v>v. 1.10</v>
      </c>
      <c r="K8" s="559" t="str">
        <f ca="1">IFERROR(__xludf.DUMMYFUNCTION("""COMPUTED_VALUE"""),"v. 1.10 (11.02.2019 | 20:00 gmt+1):
- Interface overhaul
I really hope this is easier to understand and use, at least it already is for me, let me know if you dislike it or not.
v. 1.10a (16.02.2019 | 03:00 gmt+1): 
- Fixed level not adding stats error
v."&amp;" 1.10b (20.02.2019 | 23:10 gmt+1): 
- Update to patch 9.4
v. 1.10c (06.03.2019 | 01:30 gmt+1):
- Update to patch 9.5
- Neeko Hotix")</f>
        <v>v. 1.10 (11.02.2019 | 20:00 gmt+1):
- Interface overhaul
I really hope this is easier to understand and use, at least it already is for me, let me know if you dislike it or not.
v. 1.10a (16.02.2019 | 03:00 gmt+1): 
- Fixed level not adding stats error
v. 1.10b (20.02.2019 | 23:10 gmt+1): 
- Update to patch 9.4
v. 1.10c (06.03.2019 | 01:30 gmt+1):
- Update to patch 9.5
- Neeko Hotix</v>
      </c>
    </row>
    <row r="9" spans="1:11" ht="15" customHeight="1">
      <c r="A9" s="555">
        <f>IF(Interface!$U$11="Season 12",B9,IF(Interface!$U$11="Season 11",D9,IF(Interface!$U$11="Season 10",F9,IF(Interface!$U$11="Season 9",H9,IF(Interface!$U$11="Season 8",J9,0)))))</f>
        <v>0</v>
      </c>
      <c r="B9" s="556" t="str">
        <f ca="1">IFERROR(__xludf.DUMMYFUNCTION("""COMPUTED_VALUE"""),"v. 13.4")</f>
        <v>v. 13.4</v>
      </c>
      <c r="C9" s="632" t="str">
        <f ca="1">IFERROR(__xludf.DUMMYFUNCTION("""COMPUTED_VALUE"""),"v. 13.1: (11.01.2023 | 03:55 gmt+1):
- Updated to season start patch
- Please note that from now on the version will be the patch number :D
v. 13.1b: (25.01.2023 | 00:55 gmt+1):
- Updated to latest patch
v. 13.3: (08.02.2023 | 06:55 gmt+1):
- Updated to l"&amp;"atest patch
v. 13.4: (22.02.2023 | 21:15 gmt+1):
- Updated to latest patch")</f>
        <v>v. 13.1: (11.01.2023 | 03:55 gmt+1):
- Updated to season start patch
- Please note that from now on the version will be the patch number :D
v. 13.1b: (25.01.2023 | 00:55 gmt+1):
- Updated to latest patch
v. 13.3: (08.02.2023 | 06:55 gmt+1):
- Updated to latest patch
v. 13.4: (22.02.2023 | 21:15 gmt+1):
- Updated to latest patch</v>
      </c>
      <c r="D9" s="557" t="str">
        <f ca="1">IFERROR(__xludf.DUMMYFUNCTION("""COMPUTED_VALUE"""),"v. 4.00")</f>
        <v>v. 4.00</v>
      </c>
      <c r="E9" s="558" t="str">
        <f ca="1">IFERROR(__xludf.DUMMYFUNCTION("""COMPUTED_VALUE"""),"v. 4.00: (17.11.2021 | 07:35 gmt+1):
- Updated to patch 11.23
I changed a whole bunch in the background of this sheet, so I can more easily change stuff in the future, sadly that means that you need to get a new copy of the sheet for it to work!
Also, if "&amp;"you find any error's, let me know :D
v. 4.00a: (17.11.2021 | 17:30 gmt+1):
I forgot the drakes, lol, sorry for this. You need to get a new copy again!
v. 4.00b (01.12.2021 | 09:40 gmt+1):
Fixed rabadons not working correctly")</f>
        <v>v. 4.00: (17.11.2021 | 07:35 gmt+1):
- Updated to patch 11.23
I changed a whole bunch in the background of this sheet, so I can more easily change stuff in the future, sadly that means that you need to get a new copy of the sheet for it to work!
Also, if you find any error's, let me know :D
v. 4.00a: (17.11.2021 | 17:30 gmt+1):
I forgot the drakes, lol, sorry for this. You need to get a new copy again!
v. 4.00b (01.12.2021 | 09:40 gmt+1):
Fixed rabadons not working correctly</v>
      </c>
      <c r="F9" s="557" t="str">
        <f ca="1">IFERROR(__xludf.DUMMYFUNCTION("""COMPUTED_VALUE"""),"v. 3.00")</f>
        <v>v. 3.00</v>
      </c>
      <c r="G9" s="555" t="str">
        <f ca="1">IFERROR(__xludf.DUMMYFUNCTION("""COMPUTED_VALUE"""),"v. 3.00: (05.01.2021 | 21:15 gmt+1):
- Updated to patch 11.1
v. 3.00a: (20.01.2021 | 21:50 gmt+1):
- Updated to patch 11.2
v. 3.00b: (02.02.2021 | 22:40 gmt+1):
- Updated to patch 11.3
v. 3.00c: (17.02.2021 | 20:45 gmt+1):
- Updated to patch 11.4
v. 3.00d"&amp;": (03.03.2021 | 02:10 gmt+1): 
- Updated to patch 11.5
- Fixed Qiyana and Muramana for all spells.")</f>
        <v>v. 3.00: (05.01.2021 | 21:15 gmt+1):
- Updated to patch 11.1
v. 3.00a: (20.01.2021 | 21:50 gmt+1):
- Updated to patch 11.2
v. 3.00b: (02.02.2021 | 22:40 gmt+1):
- Updated to patch 11.3
v. 3.00c: (17.02.2021 | 20:45 gmt+1):
- Updated to patch 11.4
v. 3.00d: (03.03.2021 | 02:10 gmt+1): 
- Updated to patch 11.5
- Fixed Qiyana and Muramana for all spells.</v>
      </c>
      <c r="H9" s="557" t="str">
        <f ca="1">IFERROR(__xludf.DUMMYFUNCTION("""COMPUTED_VALUE"""),"v. 2.00")</f>
        <v>v. 2.00</v>
      </c>
      <c r="I9" s="558" t="str">
        <f ca="1">IFERROR(__xludf.DUMMYFUNCTION("""COMPUTED_VALUE"""),"Welcome to the new season everyone!
v. 2.00: (07.01.2020 | 23:00 gmt+1):
- Updated to patch 10.1
v. 2.00a: (16.01.2020 | 11:00 gmt+1):
- Added Sett
v. 2.00b: (21.01.2020 | 22:30 gmt+1):
- Updated to patch 10.2
v. 2.00c: (04.02.2020 | 22:50 gmt+1):
- Updat"&amp;"ed to patch 10.3
v. 2.00d: (08.02.2020 | 03:46 gmt+1):
- Applied hotfixes for that patch")</f>
        <v>Welcome to the new season everyone!
v. 2.00: (07.01.2020 | 23:00 gmt+1):
- Updated to patch 10.1
v. 2.00a: (16.01.2020 | 11:00 gmt+1):
- Added Sett
v. 2.00b: (21.01.2020 | 22:30 gmt+1):
- Updated to patch 10.2
v. 2.00c: (04.02.2020 | 22:50 gmt+1):
- Updated to patch 10.3
v. 2.00d: (08.02.2020 | 03:46 gmt+1):
- Applied hotfixes for that patch</v>
      </c>
      <c r="J9" s="557" t="str">
        <f ca="1">IFERROR(__xludf.DUMMYFUNCTION("""COMPUTED_VALUE"""),"v. 1.09")</f>
        <v>v. 1.09</v>
      </c>
      <c r="K9" s="559" t="str">
        <f ca="1">IFERROR(__xludf.DUMMYFUNCTION("""COMPUTED_VALUE"""),"v. 1.09 (09.01.2019 | 23:00 gmt+1):
- Update to patch 9.1
- Added the Masterwork Items from Ornn they all start with ""Masterwork:""
- Sylas works but with a placebo ult
/// HAPPY NEW YEAR! ///
v. 1.09a (24.01.2019 | 1:15 gmt+1):
- Update to patch 9.2
- B"&amp;"loodline gets 2 stacks for 1 stack selected
v. 1.09b (06.02.2019 | 17:15 gmt+1):
- Update to patch 9.3
- Phantom dancer shield")</f>
        <v>v. 1.09 (09.01.2019 | 23:00 gmt+1):
- Update to patch 9.1
- Added the Masterwork Items from Ornn they all start with "Masterwork:"
- Sylas works but with a placebo ult
/// HAPPY NEW YEAR! ///
v. 1.09a (24.01.2019 | 1:15 gmt+1):
- Update to patch 9.2
- Bloodline gets 2 stacks for 1 stack selected
v. 1.09b (06.02.2019 | 17:15 gmt+1):
- Update to patch 9.3
- Phantom dancer shield</v>
      </c>
    </row>
  </sheetData>
  <hyperlinks>
    <hyperlink ref="I3" r:id="rId1" display="https://lolshop.gg/" xr:uid="{00000000-0004-0000-0E00-000000000000}"/>
  </hyperlinks>
  <pageMargins left="0.7" right="0.7" top="0.75" bottom="0.75" header="0.3" footer="0.3"/>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Z25"/>
  <sheetViews>
    <sheetView workbookViewId="0"/>
  </sheetViews>
  <sheetFormatPr baseColWidth="10" defaultColWidth="12.6640625" defaultRowHeight="15" customHeight="1"/>
  <cols>
    <col min="1" max="1" width="7.6640625" customWidth="1"/>
    <col min="2" max="2" width="18.88671875" customWidth="1"/>
    <col min="3" max="3" width="1.88671875" customWidth="1"/>
    <col min="4" max="4" width="6.33203125" customWidth="1"/>
    <col min="5" max="5" width="7.6640625" customWidth="1"/>
    <col min="6" max="6" width="18.88671875" customWidth="1"/>
    <col min="7" max="7" width="2.21875" customWidth="1"/>
    <col min="8" max="8" width="6.33203125" customWidth="1"/>
    <col min="9" max="9" width="7.6640625" customWidth="1"/>
    <col min="10" max="10" width="18.88671875" customWidth="1"/>
    <col min="11" max="11" width="1.88671875" customWidth="1"/>
    <col min="12" max="12" width="6.33203125" customWidth="1"/>
    <col min="13" max="13" width="7.6640625" customWidth="1"/>
    <col min="14" max="14" width="18.88671875" customWidth="1"/>
    <col min="15" max="15" width="1.88671875" customWidth="1"/>
    <col min="16" max="16" width="9.33203125" customWidth="1"/>
    <col min="17" max="17" width="7.6640625" customWidth="1"/>
    <col min="18" max="18" width="19.6640625" customWidth="1"/>
    <col min="19" max="19" width="1.88671875" customWidth="1"/>
    <col min="20" max="20" width="6.33203125" customWidth="1"/>
    <col min="21" max="21" width="7.6640625" customWidth="1"/>
    <col min="22" max="22" width="18.88671875" customWidth="1"/>
    <col min="23" max="23" width="2.109375" customWidth="1"/>
    <col min="24" max="26" width="6.33203125" customWidth="1"/>
  </cols>
  <sheetData>
    <row r="1" spans="1:26" ht="15.75" customHeight="1">
      <c r="A1" s="719" t="str">
        <f ca="1">IFERROR(__xludf.DUMMYFUNCTION("IMPORTRANGE(""19QEmeWlm_IOMUgVC5P_7ofY_CkEZ4ULFNEedQ8mho9M"",""DatasourceRune!A1:Z25"")"),"=""Precision""")</f>
        <v>="Precision"</v>
      </c>
      <c r="B1" s="720"/>
      <c r="C1" s="383" t="str">
        <f ca="1">IFERROR(__xludf.DUMMYFUNCTION("""COMPUTED_VALUE"""),"=""#""")</f>
        <v>="#"</v>
      </c>
      <c r="D1" s="384" t="str">
        <f ca="1">IFERROR(__xludf.DUMMYFUNCTION("""COMPUTED_VALUE"""),"=""Value""")</f>
        <v>="Value"</v>
      </c>
      <c r="E1" s="721" t="str">
        <f ca="1">IFERROR(__xludf.DUMMYFUNCTION("""COMPUTED_VALUE"""),"=""Domination""")</f>
        <v>="Domination"</v>
      </c>
      <c r="F1" s="722"/>
      <c r="G1" s="385" t="str">
        <f ca="1">IFERROR(__xludf.DUMMYFUNCTION("""COMPUTED_VALUE"""),"=""#""")</f>
        <v>="#"</v>
      </c>
      <c r="H1" s="386" t="str">
        <f ca="1">IFERROR(__xludf.DUMMYFUNCTION("""COMPUTED_VALUE"""),"=""Value""")</f>
        <v>="Value"</v>
      </c>
      <c r="I1" s="723" t="str">
        <f ca="1">IFERROR(__xludf.DUMMYFUNCTION("""COMPUTED_VALUE"""),"=""Sorcery""")</f>
        <v>="Sorcery"</v>
      </c>
      <c r="J1" s="724"/>
      <c r="K1" s="387" t="str">
        <f ca="1">IFERROR(__xludf.DUMMYFUNCTION("""COMPUTED_VALUE"""),"=""#""")</f>
        <v>="#"</v>
      </c>
      <c r="L1" s="388" t="str">
        <f ca="1">IFERROR(__xludf.DUMMYFUNCTION("""COMPUTED_VALUE"""),"=""Value""")</f>
        <v>="Value"</v>
      </c>
      <c r="M1" s="725" t="str">
        <f ca="1">IFERROR(__xludf.DUMMYFUNCTION("""COMPUTED_VALUE"""),"=""Resolve""")</f>
        <v>="Resolve"</v>
      </c>
      <c r="N1" s="726"/>
      <c r="O1" s="389" t="str">
        <f ca="1">IFERROR(__xludf.DUMMYFUNCTION("""COMPUTED_VALUE"""),"=""#""")</f>
        <v>="#"</v>
      </c>
      <c r="P1" s="390" t="str">
        <f ca="1">IFERROR(__xludf.DUMMYFUNCTION("""COMPUTED_VALUE"""),"=""Value""")</f>
        <v>="Value"</v>
      </c>
      <c r="Q1" s="727" t="str">
        <f ca="1">IFERROR(__xludf.DUMMYFUNCTION("""COMPUTED_VALUE"""),"=""Inspiration""")</f>
        <v>="Inspiration"</v>
      </c>
      <c r="R1" s="728"/>
      <c r="S1" s="391" t="str">
        <f ca="1">IFERROR(__xludf.DUMMYFUNCTION("""COMPUTED_VALUE"""),"=""#""")</f>
        <v>="#"</v>
      </c>
      <c r="T1" s="392" t="str">
        <f ca="1">IFERROR(__xludf.DUMMYFUNCTION("""COMPUTED_VALUE"""),"=""Value""")</f>
        <v>="Value"</v>
      </c>
      <c r="U1" s="729" t="str">
        <f ca="1">IFERROR(__xludf.DUMMYFUNCTION("""COMPUTED_VALUE"""),"=""Shards""")</f>
        <v>="Shards"</v>
      </c>
      <c r="V1" s="730"/>
      <c r="W1" s="393" t="str">
        <f ca="1">IFERROR(__xludf.DUMMYFUNCTION("""COMPUTED_VALUE"""),"=""#""")</f>
        <v>="#"</v>
      </c>
      <c r="X1" s="394" t="str">
        <f ca="1">IFERROR(__xludf.DUMMYFUNCTION("""COMPUTED_VALUE"""),"=""Value""")</f>
        <v>="Value"</v>
      </c>
      <c r="Y1" s="731" t="str">
        <f ca="1">IFERROR(__xludf.DUMMYFUNCTION("""COMPUTED_VALUE"""),"=""Stats""")</f>
        <v>="Stats"</v>
      </c>
      <c r="Z1" s="657"/>
    </row>
    <row r="2" spans="1:26" ht="13.2">
      <c r="A2" s="395" t="str">
        <f ca="1">IFERROR(__xludf.DUMMYFUNCTION("""COMPUTED_VALUE"""),"=""Rune 1""")</f>
        <v>="Rune 1"</v>
      </c>
      <c r="B2" s="396" t="str">
        <f ca="1">IFERROR(__xludf.DUMMYFUNCTION("""COMPUTED_VALUE"""),"=""Press the Attack""")</f>
        <v>="Press the Attack"</v>
      </c>
      <c r="C2" s="397" t="str">
        <f ca="1">IFERROR(__xludf.DUMMYFUNCTION("""COMPUTED_VALUE"""),"=IF(AND(IF(Interface!$E$18=A2;1;0);IF(Interface!$E$16=A$1;1;0));1;0)")</f>
        <v>=IF(AND(IF(Interface!$E$18=A2;1;0);IF(Interface!$E$16=A$1;1;0));1;0)</v>
      </c>
      <c r="D2" s="398" t="str">
        <f ca="1">IFERROR(__xludf.DUMMYFUNCTION("""COMPUTED_VALUE"""),"=IF(C2;ROUND(40+140*Sc_Lin)*if(ForceBit;Calc!M30;Calc!M31);0)")</f>
        <v>=IF(C2;ROUND(40+140*Sc_Lin)*if(ForceBit;Calc!M30;Calc!M31);0)</v>
      </c>
      <c r="E2" s="399" t="str">
        <f ca="1">IFERROR(__xludf.DUMMYFUNCTION("""COMPUTED_VALUE"""),"=""Rune 1""")</f>
        <v>="Rune 1"</v>
      </c>
      <c r="F2" s="400" t="str">
        <f ca="1">IFERROR(__xludf.DUMMYFUNCTION("""COMPUTED_VALUE"""),"=""Electrocute""")</f>
        <v>="Electrocute"</v>
      </c>
      <c r="G2" s="401" t="str">
        <f ca="1">IFERROR(__xludf.DUMMYFUNCTION("""COMPUTED_VALUE"""),"=IF(AND(IF(Interface!$E$18=E2;1;0);IF(Interface!$E$16=E$1;1;0));1;0)")</f>
        <v>=IF(AND(IF(Interface!$E$18=E2;1;0);IF(Interface!$E$16=E$1;1;0));1;0)</v>
      </c>
      <c r="H2" s="504" t="str">
        <f ca="1">IFERROR(__xludf.DUMMYFUNCTION("""COMPUTED_VALUE"""),"=IF(G2;ROUND(30+150*Sc_Lin+0,4*Self_BoAD+0,25*Self_AP)*if(ForceBit;MOD_Phys;MOD_Magic);0)")</f>
        <v>=IF(G2;ROUND(30+150*Sc_Lin+0,4*Self_BoAD+0,25*Self_AP)*if(ForceBit;MOD_Phys;MOD_Magic);0)</v>
      </c>
      <c r="I2" s="403" t="str">
        <f ca="1">IFERROR(__xludf.DUMMYFUNCTION("""COMPUTED_VALUE"""),"=""Rune 1""")</f>
        <v>="Rune 1"</v>
      </c>
      <c r="J2" s="404" t="str">
        <f ca="1">IFERROR(__xludf.DUMMYFUNCTION("""COMPUTED_VALUE"""),"=""Summon Aery""")</f>
        <v>="Summon Aery"</v>
      </c>
      <c r="K2" s="405" t="str">
        <f ca="1">IFERROR(__xludf.DUMMYFUNCTION("""COMPUTED_VALUE"""),"=IF(AND(IF(Interface!$E$18=I2;1;0);IF(Interface!$E$16=I$1;1;0));1;0)")</f>
        <v>=IF(AND(IF(Interface!$E$18=I2;1;0);IF(Interface!$E$16=I$1;1;0));1;0)</v>
      </c>
      <c r="L2" s="406" t="str">
        <f ca="1">IFERROR(__xludf.DUMMYFUNCTION("""COMPUTED_VALUE"""),"=IF(K2;ROUND(10+30*Sc_Lin+0,15*Self_BoAD+0,1*Self_AP)*if(ForceBit;MOD_Phys;MOD_Magic);0)")</f>
        <v>=IF(K2;ROUND(10+30*Sc_Lin+0,15*Self_BoAD+0,1*Self_AP)*if(ForceBit;MOD_Phys;MOD_Magic);0)</v>
      </c>
      <c r="M2" s="407" t="str">
        <f ca="1">IFERROR(__xludf.DUMMYFUNCTION("""COMPUTED_VALUE"""),"=""Rune 1""")</f>
        <v>="Rune 1"</v>
      </c>
      <c r="N2" s="408" t="str">
        <f ca="1">IFERROR(__xludf.DUMMYFUNCTION("""COMPUTED_VALUE"""),"=""Grasp of the Undying""")</f>
        <v>="Grasp of the Undying"</v>
      </c>
      <c r="O2" s="409" t="str">
        <f ca="1">IFERROR(__xludf.DUMMYFUNCTION("""COMPUTED_VALUE"""),"=IF(AND(IF(Interface!$E$18=M2;1;0);IF(Interface!$E$16=M$1;1;0));1;0)")</f>
        <v>=IF(AND(IF(Interface!$E$18=M2;1;0);IF(Interface!$E$16=M$1;1;0));1;0)</v>
      </c>
      <c r="P2" s="410" t="str">
        <f ca="1">IFERROR(__xludf.DUMMYFUNCTION("""COMPUTED_VALUE"""),"=IF(O2; 0,035 * Self_MHP * MOD_Magic * IF(VLOOKUP(Name; Champs!A2:AE190; 31; FALSE); 1; 0,6); 0)")</f>
        <v>=IF(O2; 0,035 * Self_MHP * MOD_Magic * IF(VLOOKUP(Name; Champs!A2:AE190; 31; FALSE); 1; 0,6); 0)</v>
      </c>
      <c r="Q2" s="411" t="str">
        <f ca="1">IFERROR(__xludf.DUMMYFUNCTION("""COMPUTED_VALUE"""),"=""Rune 1""")</f>
        <v>="Rune 1"</v>
      </c>
      <c r="R2" s="412" t="str">
        <f ca="1">IFERROR(__xludf.DUMMYFUNCTION("""COMPUTED_VALUE"""),"=""Unsealed Spellbook""")</f>
        <v>="Unsealed Spellbook"</v>
      </c>
      <c r="S2" s="413" t="str">
        <f ca="1">IFERROR(__xludf.DUMMYFUNCTION("""COMPUTED_VALUE"""),"=IF(AND(IF(Interface!$E$18=Q2;1;0);IF(Interface!$E$16=Q$1;1;0));1;0)")</f>
        <v>=IF(AND(IF(Interface!$E$18=Q2;1;0);IF(Interface!$E$16=Q$1;1;0));1;0)</v>
      </c>
      <c r="T2" s="414" t="str">
        <f ca="1">IFERROR(__xludf.DUMMYFUNCTION("""COMPUTED_VALUE"""),"=0")</f>
        <v>=0</v>
      </c>
      <c r="U2" s="415" t="str">
        <f ca="1">IFERROR(__xludf.DUMMYFUNCTION("""COMPUTED_VALUE"""),"=""Shard 1""")</f>
        <v>="Shard 1"</v>
      </c>
      <c r="V2" s="416" t="str">
        <f ca="1">IFERROR(__xludf.DUMMYFUNCTION("""COMPUTED_VALUE"""),"=""Adaptive Force""")</f>
        <v>="Adaptive Force"</v>
      </c>
      <c r="W2" s="417" t="str">
        <f ca="1">IFERROR(__xludf.DUMMYFUNCTION("""COMPUTED_VALUE"""),"=if(Interface!$E$34=V2;1;0)")</f>
        <v>=if(Interface!$E$34=V2;1;0)</v>
      </c>
      <c r="X2" s="418" t="str">
        <f ca="1">IFERROR(__xludf.DUMMYFUNCTION("""COMPUTED_VALUE"""),"=IF(W2;9;0)")</f>
        <v>=IF(W2;9;0)</v>
      </c>
      <c r="Y2" s="419" t="str">
        <f ca="1">IFERROR(__xludf.DUMMYFUNCTION("""COMPUTED_VALUE"""),"=""ADAPT""")</f>
        <v>="ADAPT"</v>
      </c>
      <c r="Z2" s="419" t="str">
        <f ca="1">IFERROR(__xludf.DUMMYFUNCTION("""COMPUTED_VALUE"""),"=X2+X8+L16+H14+H15+H16+L22+L21+D5")</f>
        <v>=X2+X8+L16+H14+H15+H16+L22+L21+D5</v>
      </c>
    </row>
    <row r="3" spans="1:26" ht="13.2">
      <c r="A3" s="420" t="str">
        <f ca="1">IFERROR(__xludf.DUMMYFUNCTION("""COMPUTED_VALUE"""),"=""Rune 2""")</f>
        <v>="Rune 2"</v>
      </c>
      <c r="B3" s="421" t="str">
        <f ca="1">IFERROR(__xludf.DUMMYFUNCTION("""COMPUTED_VALUE"""),"=""Lethal Temp""")</f>
        <v>="Lethal Temp"</v>
      </c>
      <c r="C3" s="422" t="str">
        <f ca="1">IFERROR(__xludf.DUMMYFUNCTION("""COMPUTED_VALUE"""),"=IF(AND(IF(Interface!$E$18=A3;1;0);IF(Interface!$E$16=A$1;1;0));1;0)")</f>
        <v>=IF(AND(IF(Interface!$E$18=A3;1;0);IF(Interface!$E$16=A$1;1;0));1;0)</v>
      </c>
      <c r="D3" s="423" t="str">
        <f ca="1">IFERROR(__xludf.DUMMYFUNCTION("""COMPUTED_VALUE"""),"=IF(AND(C3; Steroid_Runes);IF(VLOOKUP(Name;Champs!A2:AE190;31;FALSE);0,6 + 0,3 * MIN(1; (Self_Level - 1) / 15); 0,24 + 0,3 * Sc_Lin); 0)")</f>
        <v>=IF(AND(C3; Steroid_Runes);IF(VLOOKUP(Name;Champs!A2:AE190;31;FALSE);0,6 + 0,3 * MIN(1; (Self_Level - 1) / 15); 0,24 + 0,3 * Sc_Lin); 0)</v>
      </c>
      <c r="E3" s="424" t="str">
        <f ca="1">IFERROR(__xludf.DUMMYFUNCTION("""COMPUTED_VALUE"""),"=""Rune 2""")</f>
        <v>="Rune 2"</v>
      </c>
      <c r="F3" s="425" t="str">
        <f ca="1">IFERROR(__xludf.DUMMYFUNCTION("""COMPUTED_VALUE"""),"=""Predator""")</f>
        <v>="Predator"</v>
      </c>
      <c r="G3" s="426" t="str">
        <f ca="1">IFERROR(__xludf.DUMMYFUNCTION("""COMPUTED_VALUE"""),"=IF(AND(IF(Interface!$E$18=E3;1;0);IF(Interface!$E$16=E$1;1;0));1;0)")</f>
        <v>=IF(AND(IF(Interface!$E$18=E3;1;0);IF(Interface!$E$16=E$1;1;0));1;0)</v>
      </c>
      <c r="H3" s="503" t="str">
        <f ca="1">IFERROR(__xludf.DUMMYFUNCTION("""COMPUTED_VALUE"""),"=IF(G3; ROUND(20 + 160 * Sc_Lin + 0,25 * Self_BoAD + 0,15 * Self_AP) * IF(ForceBit; MOD_Phys; MOD_Magic); 0)")</f>
        <v>=IF(G3; ROUND(20 + 160 * Sc_Lin + 0,25 * Self_BoAD + 0,15 * Self_AP) * IF(ForceBit; MOD_Phys; MOD_Magic); 0)</v>
      </c>
      <c r="I3" s="428" t="str">
        <f ca="1">IFERROR(__xludf.DUMMYFUNCTION("""COMPUTED_VALUE"""),"=""Rune 2""")</f>
        <v>="Rune 2"</v>
      </c>
      <c r="J3" s="429" t="str">
        <f ca="1">IFERROR(__xludf.DUMMYFUNCTION("""COMPUTED_VALUE"""),"=""Arcane Comet""")</f>
        <v>="Arcane Comet"</v>
      </c>
      <c r="K3" s="430" t="str">
        <f ca="1">IFERROR(__xludf.DUMMYFUNCTION("""COMPUTED_VALUE"""),"=IF(AND(IF(Interface!$E$18=I3;1;0);IF(Interface!$E$16=I$1;1;0));1;0)")</f>
        <v>=IF(AND(IF(Interface!$E$18=I3;1;0);IF(Interface!$E$16=I$1;1;0));1;0)</v>
      </c>
      <c r="L3" s="431" t="str">
        <f ca="1">IFERROR(__xludf.DUMMYFUNCTION("""COMPUTED_VALUE"""),"=IF(K3;ROUND(30+70*Sc_Lin+0,35*Self_BoAD+0,2*Self_AP)*if(ForceBit;MOD_Phys;MOD_Magic);0)")</f>
        <v>=IF(K3;ROUND(30+70*Sc_Lin+0,35*Self_BoAD+0,2*Self_AP)*if(ForceBit;MOD_Phys;MOD_Magic);0)</v>
      </c>
      <c r="M3" s="432" t="str">
        <f ca="1">IFERROR(__xludf.DUMMYFUNCTION("""COMPUTED_VALUE"""),"=""Rune 2""")</f>
        <v>="Rune 2"</v>
      </c>
      <c r="N3" s="433" t="str">
        <f ca="1">IFERROR(__xludf.DUMMYFUNCTION("""COMPUTED_VALUE"""),"=""Aftershock""")</f>
        <v>="Aftershock"</v>
      </c>
      <c r="O3" s="434" t="str">
        <f ca="1">IFERROR(__xludf.DUMMYFUNCTION("""COMPUTED_VALUE"""),"=IF(AND(IF(Interface!$E$18=M3;1;0);IF(Interface!$E$16=M$1;1;0));1;0)")</f>
        <v>=IF(AND(IF(Interface!$E$18=M3;1;0);IF(Interface!$E$16=M$1;1;0));1;0)</v>
      </c>
      <c r="P3" s="435" t="str">
        <f ca="1">IFERROR(__xludf.DUMMYFUNCTION("""COMPUTED_VALUE"""),"=IF(O3;ROUND(25+95*Sc_Lin+0,08*Self_BoHP)*MOD_Magic;0)")</f>
        <v>=IF(O3;ROUND(25+95*Sc_Lin+0,08*Self_BoHP)*MOD_Magic;0)</v>
      </c>
      <c r="Q3" s="436" t="str">
        <f ca="1">IFERROR(__xludf.DUMMYFUNCTION("""COMPUTED_VALUE"""),"=""Rune 2""")</f>
        <v>="Rune 2"</v>
      </c>
      <c r="R3" s="437" t="str">
        <f ca="1">IFERROR(__xludf.DUMMYFUNCTION("""COMPUTED_VALUE"""),"=""Glacial Augment""")</f>
        <v>="Glacial Augment"</v>
      </c>
      <c r="S3" s="438" t="str">
        <f ca="1">IFERROR(__xludf.DUMMYFUNCTION("""COMPUTED_VALUE"""),"=IF(AND(IF(Interface!$E$18=Q3;1;0);IF(Interface!$E$16=Q$1;1;0));1;0)")</f>
        <v>=IF(AND(IF(Interface!$E$18=Q3;1;0);IF(Interface!$E$16=Q$1;1;0));1;0)</v>
      </c>
      <c r="T3" s="439" t="str">
        <f ca="1">IFERROR(__xludf.DUMMYFUNCTION("""COMPUTED_VALUE"""),"=IF(S3;0,3 + 0,0003 * Self_AP + 0,0004 * Self_BoAD + (MOD_Heal - 1) * 0,9;0)")</f>
        <v>=IF(S3;0,3 + 0,0003 * Self_AP + 0,0004 * Self_BoAD + (MOD_Heal - 1) * 0,9;0)</v>
      </c>
      <c r="U3" s="440" t="str">
        <f ca="1">IFERROR(__xludf.DUMMYFUNCTION("""COMPUTED_VALUE"""),"=""Shard 2""")</f>
        <v>="Shard 2"</v>
      </c>
      <c r="V3" s="441" t="str">
        <f ca="1">IFERROR(__xludf.DUMMYFUNCTION("""COMPUTED_VALUE"""),"=""Attack Speed""")</f>
        <v>="Attack Speed"</v>
      </c>
      <c r="W3" s="441" t="str">
        <f ca="1">IFERROR(__xludf.DUMMYFUNCTION("""COMPUTED_VALUE"""),"=if(Interface!$E$34=V3;1;0)")</f>
        <v>=if(Interface!$E$34=V3;1;0)</v>
      </c>
      <c r="X3" s="442" t="str">
        <f ca="1">IFERROR(__xludf.DUMMYFUNCTION("""COMPUTED_VALUE"""),"=IF(W3;0,1;0)")</f>
        <v>=IF(W3;0,1;0)</v>
      </c>
      <c r="Y3" s="443" t="str">
        <f ca="1">IFERROR(__xludf.DUMMYFUNCTION("""COMPUTED_VALUE"""),"=""AS""")</f>
        <v>="AS"</v>
      </c>
      <c r="Z3" s="444" t="str">
        <f ca="1">IFERROR(__xludf.DUMMYFUNCTION("""COMPUTED_VALUE"""),"=X3+D14+D3+H5")</f>
        <v>=X3+D14+D3+H5</v>
      </c>
    </row>
    <row r="4" spans="1:26" ht="13.2">
      <c r="A4" s="445" t="str">
        <f ca="1">IFERROR(__xludf.DUMMYFUNCTION("""COMPUTED_VALUE"""),"=""Rune 3""")</f>
        <v>="Rune 3"</v>
      </c>
      <c r="B4" s="446" t="str">
        <f ca="1">IFERROR(__xludf.DUMMYFUNCTION("""COMPUTED_VALUE"""),"=""Fleet Foot""")</f>
        <v>="Fleet Foot"</v>
      </c>
      <c r="C4" s="397" t="str">
        <f ca="1">IFERROR(__xludf.DUMMYFUNCTION("""COMPUTED_VALUE"""),"=IF(AND(IF(Interface!$E$18=A4;1;0);IF(Interface!$E$16=A$1;1;0));1;0)")</f>
        <v>=IF(AND(IF(Interface!$E$18=A4;1;0);IF(Interface!$E$16=A$1;1;0));1;0)</v>
      </c>
      <c r="D4" s="398" t="str">
        <f ca="1">IFERROR(__xludf.DUMMYFUNCTION("""COMPUTED_VALUE"""),"=IF(C4; ROUND(10 + 90 * Sc_Lin + 0,3 * Self_BoAD + 0,2 * Self_AP); 0)")</f>
        <v>=IF(C4; ROUND(10 + 90 * Sc_Lin + 0,3 * Self_BoAD + 0,2 * Self_AP); 0)</v>
      </c>
      <c r="E4" s="447" t="str">
        <f ca="1">IFERROR(__xludf.DUMMYFUNCTION("""COMPUTED_VALUE"""),"=""Rune 3""")</f>
        <v>="Rune 3"</v>
      </c>
      <c r="F4" s="448" t="str">
        <f ca="1">IFERROR(__xludf.DUMMYFUNCTION("""COMPUTED_VALUE"""),"=""Dark Harvest""")</f>
        <v>="Dark Harvest"</v>
      </c>
      <c r="G4" s="401" t="str">
        <f ca="1">IFERROR(__xludf.DUMMYFUNCTION("""COMPUTED_VALUE"""),"=IF(AND(IF(Interface!$E$18=E4;1;0);IF(Interface!$E$16=E$1;1;0));1;0)")</f>
        <v>=IF(AND(IF(Interface!$E$18=E4;1;0);IF(Interface!$E$16=E$1;1;0));1;0)</v>
      </c>
      <c r="H4" s="504" t="str">
        <f ca="1">IFERROR(__xludf.DUMMYFUNCTION("""COMPUTED_VALUE"""),"=IF(G4;ROUND(20+40*Sc_Lin+0,25*Self_BoAD+0,15*Self_AP+S_Harvest*5)*if(ForceBit;MOD_Phys;MOD_Magic);0)")</f>
        <v>=IF(G4;ROUND(20+40*Sc_Lin+0,25*Self_BoAD+0,15*Self_AP+S_Harvest*5)*if(ForceBit;MOD_Phys;MOD_Magic);0)</v>
      </c>
      <c r="I4" s="449" t="str">
        <f ca="1">IFERROR(__xludf.DUMMYFUNCTION("""COMPUTED_VALUE"""),"=""Rune 3""")</f>
        <v>="Rune 3"</v>
      </c>
      <c r="J4" s="450" t="str">
        <f ca="1">IFERROR(__xludf.DUMMYFUNCTION("""COMPUTED_VALUE"""),"=""Phase Rush""")</f>
        <v>="Phase Rush"</v>
      </c>
      <c r="K4" s="405" t="str">
        <f ca="1">IFERROR(__xludf.DUMMYFUNCTION("""COMPUTED_VALUE"""),"=IF(AND(IF(Interface!$E$18=I4;1;0);IF(Interface!$E$16=I$1;1;0));1;0)")</f>
        <v>=IF(AND(IF(Interface!$E$18=I4;1;0);IF(Interface!$E$16=I$1;1;0));1;0)</v>
      </c>
      <c r="L4" s="451" t="str">
        <f ca="1">IFERROR(__xludf.DUMMYFUNCTION("""COMPUTED_VALUE"""),"=IF(AND(K4; Steroid_Runes); IF(VLOOKUP(Name;Champs!A2:AJ190;31;False); 0,3 + 0,3 * Sc_Lin; 0,15 + 0,25 * Sc_Lin); 0)")</f>
        <v>=IF(AND(K4; Steroid_Runes); IF(VLOOKUP(Name;Champs!A2:AJ190;31;False); 0,3 + 0,3 * Sc_Lin; 0,15 + 0,25 * Sc_Lin); 0)</v>
      </c>
      <c r="M4" s="452" t="str">
        <f ca="1">IFERROR(__xludf.DUMMYFUNCTION("""COMPUTED_VALUE"""),"=""Rune 3""")</f>
        <v>="Rune 3"</v>
      </c>
      <c r="N4" s="453" t="str">
        <f ca="1">IFERROR(__xludf.DUMMYFUNCTION("""COMPUTED_VALUE"""),"=""Guardian""")</f>
        <v>="Guardian"</v>
      </c>
      <c r="O4" s="409" t="str">
        <f ca="1">IFERROR(__xludf.DUMMYFUNCTION("""COMPUTED_VALUE"""),"=IF(AND(IF(Interface!$E$18=M4;1;0);IF(Interface!$E$16=M$1;1;0));1;0)")</f>
        <v>=IF(AND(IF(Interface!$E$18=M4;1;0);IF(Interface!$E$16=M$1;1;0));1;0)</v>
      </c>
      <c r="P4" s="410" t="str">
        <f ca="1">IFERROR(__xludf.DUMMYFUNCTION("""COMPUTED_VALUE"""),"=IF(O4;ROUND(45 + 75 * Sc_Lin + 0,125 * Self_AP + 0,08 * Self_BoHP) * MOD_Heal;0)")</f>
        <v>=IF(O4;ROUND(45 + 75 * Sc_Lin + 0,125 * Self_AP + 0,08 * Self_BoHP) * MOD_Heal;0)</v>
      </c>
      <c r="Q4" s="454" t="str">
        <f ca="1">IFERROR(__xludf.DUMMYFUNCTION("""COMPUTED_VALUE"""),"=""Rune 3""")</f>
        <v>="Rune 3"</v>
      </c>
      <c r="R4" s="455" t="str">
        <f ca="1">IFERROR(__xludf.DUMMYFUNCTION("""COMPUTED_VALUE"""),"=""First Strike""")</f>
        <v>="First Strike"</v>
      </c>
      <c r="S4" s="413" t="str">
        <f ca="1">IFERROR(__xludf.DUMMYFUNCTION("""COMPUTED_VALUE"""),"=IF(AND(IF(Interface!$E$18=Q4;1;0);IF(Interface!$E$16=Q$1;1;0));1;0)")</f>
        <v>=IF(AND(IF(Interface!$E$18=Q4;1;0);IF(Interface!$E$16=Q$1;1;0));1;0)</v>
      </c>
      <c r="T4" s="456" t="str">
        <f ca="1">IFERROR(__xludf.DUMMYFUNCTION("""COMPUTED_VALUE"""),"=IF(AND(Steroid_Runes;S4); 1,09; 1)")</f>
        <v>=IF(AND(Steroid_Runes;S4); 1,09; 1)</v>
      </c>
      <c r="U4" s="457" t="str">
        <f ca="1">IFERROR(__xludf.DUMMYFUNCTION("""COMPUTED_VALUE"""),"=""Shard 3""")</f>
        <v>="Shard 3"</v>
      </c>
      <c r="V4" s="417" t="str">
        <f ca="1">IFERROR(__xludf.DUMMYFUNCTION("""COMPUTED_VALUE"""),"=""Ability Haste""")</f>
        <v>="Ability Haste"</v>
      </c>
      <c r="W4" s="417" t="str">
        <f ca="1">IFERROR(__xludf.DUMMYFUNCTION("""COMPUTED_VALUE"""),"=if(Interface!$E$34=V4;1;0)")</f>
        <v>=if(Interface!$E$34=V4;1;0)</v>
      </c>
      <c r="X4" s="458" t="str">
        <f ca="1">IFERROR(__xludf.DUMMYFUNCTION("""COMPUTED_VALUE"""),"=IF(W4;0,08;0)")</f>
        <v>=IF(W4;0,08;0)</v>
      </c>
      <c r="Y4" s="419" t="str">
        <f ca="1">IFERROR(__xludf.DUMMYFUNCTION("""COMPUTED_VALUE"""),"=""HP""")</f>
        <v>="HP"</v>
      </c>
      <c r="Z4" s="419" t="str">
        <f ca="1">IFERROR(__xludf.DUMMYFUNCTION("""COMPUTED_VALUE"""),"=IF(O2; IF(VLOOKUP(Name; Champs!A2:AE190; 31; FALSE); 1; 0,6) * 7 * S_Harvest; 0) + P20 + X14 + IF(D16 = 5,25%; 85; 0)")</f>
        <v>=IF(O2; IF(VLOOKUP(Name; Champs!A2:AE190; 31; FALSE); 1; 0,6) * 7 * S_Harvest; 0) + P20 + X14 + IF(D16 = 5,25%; 85; 0)</v>
      </c>
    </row>
    <row r="5" spans="1:26" ht="13.2">
      <c r="A5" s="420" t="str">
        <f ca="1">IFERROR(__xludf.DUMMYFUNCTION("""COMPUTED_VALUE"""),"=""Rune 4""")</f>
        <v>="Rune 4"</v>
      </c>
      <c r="B5" s="421" t="str">
        <f ca="1">IFERROR(__xludf.DUMMYFUNCTION("""COMPUTED_VALUE"""),"=""Conqueror""")</f>
        <v>="Conqueror"</v>
      </c>
      <c r="C5" s="422" t="str">
        <f ca="1">IFERROR(__xludf.DUMMYFUNCTION("""COMPUTED_VALUE"""),"=IF(AND(IF(Interface!$E$18=A5;1;0);IF(Interface!$E$16=A$1;1;0));1;0)")</f>
        <v>=IF(AND(IF(Interface!$E$18=A5;1;0);IF(Interface!$E$16=A$1;1;0));1;0)</v>
      </c>
      <c r="D5" s="459" t="str">
        <f ca="1">IFERROR(__xludf.DUMMYFUNCTION("""COMPUTED_VALUE"""),"=IF(C5;ROUND((2 + 2,5 * Sc_Lin) * IF(Steroid_Runes; 12; S_Conq));0)")</f>
        <v>=IF(C5;ROUND((2 + 2,5 * Sc_Lin) * IF(Steroid_Runes; 12; S_Conq));0)</v>
      </c>
      <c r="E5" s="424" t="str">
        <f ca="1">IFERROR(__xludf.DUMMYFUNCTION("""COMPUTED_VALUE"""),"=""Rune 4""")</f>
        <v>="Rune 4"</v>
      </c>
      <c r="F5" s="425" t="str">
        <f ca="1">IFERROR(__xludf.DUMMYFUNCTION("""COMPUTED_VALUE"""),"=""Hail of Blades""")</f>
        <v>="Hail of Blades"</v>
      </c>
      <c r="G5" s="426" t="str">
        <f ca="1">IFERROR(__xludf.DUMMYFUNCTION("""COMPUTED_VALUE"""),"=IF(AND(IF(Interface!$E$18=E5;1;0);IF(Interface!$E$16=E$1;1;0));1;0)")</f>
        <v>=IF(AND(IF(Interface!$E$18=E5;1;0);IF(Interface!$E$16=E$1;1;0));1;0)</v>
      </c>
      <c r="H5" s="460" t="str">
        <f ca="1">IFERROR(__xludf.DUMMYFUNCTION("""COMPUTED_VALUE"""),"=IF(AND(G5; Steroid_Runes);1,1;0)")</f>
        <v>=IF(AND(G5; Steroid_Runes);1,1;0)</v>
      </c>
      <c r="I5" s="428" t="str">
        <f ca="1">IFERROR(__xludf.DUMMYFUNCTION("""COMPUTED_VALUE"""),"=""Rune 4""")</f>
        <v>="Rune 4"</v>
      </c>
      <c r="J5" s="429"/>
      <c r="K5" s="430" t="str">
        <f ca="1">IFERROR(__xludf.DUMMYFUNCTION("""COMPUTED_VALUE"""),"=IF(AND(IF(Interface!$E$18=I5;1;0);IF(Interface!$E$16=I$1;1;0));1;0)")</f>
        <v>=IF(AND(IF(Interface!$E$18=I5;1;0);IF(Interface!$E$16=I$1;1;0));1;0)</v>
      </c>
      <c r="L5" s="461"/>
      <c r="M5" s="432" t="str">
        <f ca="1">IFERROR(__xludf.DUMMYFUNCTION("""COMPUTED_VALUE"""),"=""Rune 4""")</f>
        <v>="Rune 4"</v>
      </c>
      <c r="N5" s="433"/>
      <c r="O5" s="434" t="str">
        <f ca="1">IFERROR(__xludf.DUMMYFUNCTION("""COMPUTED_VALUE"""),"=IF(AND(IF(Interface!$E$18=M5;1;0);IF(Interface!$E$16=M$1;1;0));1;0)")</f>
        <v>=IF(AND(IF(Interface!$E$18=M5;1;0);IF(Interface!$E$16=M$1;1;0));1;0)</v>
      </c>
      <c r="P5" s="462"/>
      <c r="Q5" s="436" t="str">
        <f ca="1">IFERROR(__xludf.DUMMYFUNCTION("""COMPUTED_VALUE"""),"=""Rune 4""")</f>
        <v>="Rune 4"</v>
      </c>
      <c r="R5" s="437"/>
      <c r="S5" s="438" t="str">
        <f ca="1">IFERROR(__xludf.DUMMYFUNCTION("""COMPUTED_VALUE"""),"=IF(AND(IF(Interface!$E$18=Q5;1;0);IF(Interface!$E$16=Q$1;1;0));1;0)")</f>
        <v>=IF(AND(IF(Interface!$E$18=Q5;1;0);IF(Interface!$E$16=Q$1;1;0));1;0)</v>
      </c>
      <c r="T5" s="439"/>
      <c r="U5" s="440" t="str">
        <f ca="1">IFERROR(__xludf.DUMMYFUNCTION("""COMPUTED_VALUE"""),"=""Shard 4""")</f>
        <v>="Shard 4"</v>
      </c>
      <c r="V5" s="441"/>
      <c r="W5" s="441"/>
      <c r="X5" s="463"/>
      <c r="Y5" s="443" t="str">
        <f ca="1">IFERROR(__xludf.DUMMYFUNCTION("""COMPUTED_VALUE"""),"=""MP""")</f>
        <v>="MP"</v>
      </c>
      <c r="Z5" s="443" t="str">
        <f ca="1">IFERROR(__xludf.DUMMYFUNCTION("""COMPUTED_VALUE"""),"=T16+L9")</f>
        <v>=T16+L9</v>
      </c>
    </row>
    <row r="6" spans="1:26" ht="13.2">
      <c r="A6" s="445" t="str">
        <f ca="1">IFERROR(__xludf.DUMMYFUNCTION("""COMPUTED_VALUE"""),"=""Rune 5""")</f>
        <v>="Rune 5"</v>
      </c>
      <c r="B6" s="446"/>
      <c r="C6" s="397" t="str">
        <f ca="1">IFERROR(__xludf.DUMMYFUNCTION("""COMPUTED_VALUE"""),"=IF(AND(IF(Interface!$E$18=A6;1;0);IF(Interface!$E$16=A$1;1;0));1;0)")</f>
        <v>=IF(AND(IF(Interface!$E$18=A6;1;0);IF(Interface!$E$16=A$1;1;0));1;0)</v>
      </c>
      <c r="D6" s="464"/>
      <c r="E6" s="447" t="str">
        <f ca="1">IFERROR(__xludf.DUMMYFUNCTION("""COMPUTED_VALUE"""),"=""Rune 5""")</f>
        <v>="Rune 5"</v>
      </c>
      <c r="F6" s="448"/>
      <c r="G6" s="401" t="str">
        <f ca="1">IFERROR(__xludf.DUMMYFUNCTION("""COMPUTED_VALUE"""),"=IF(AND(IF(Interface!$E$18=E6;1;0);IF(Interface!$E$16=E$1;1;0));1;0)")</f>
        <v>=IF(AND(IF(Interface!$E$18=E6;1;0);IF(Interface!$E$16=E$1;1;0));1;0)</v>
      </c>
      <c r="H6" s="465"/>
      <c r="I6" s="449" t="str">
        <f ca="1">IFERROR(__xludf.DUMMYFUNCTION("""COMPUTED_VALUE"""),"=""Rune 5""")</f>
        <v>="Rune 5"</v>
      </c>
      <c r="J6" s="450"/>
      <c r="K6" s="405" t="str">
        <f ca="1">IFERROR(__xludf.DUMMYFUNCTION("""COMPUTED_VALUE"""),"=IF(AND(IF(Interface!$E$18=I6;1;0);IF(Interface!$E$16=I$1;1;0));1;0)")</f>
        <v>=IF(AND(IF(Interface!$E$18=I6;1;0);IF(Interface!$E$16=I$1;1;0));1;0)</v>
      </c>
      <c r="L6" s="466"/>
      <c r="M6" s="452" t="str">
        <f ca="1">IFERROR(__xludf.DUMMYFUNCTION("""COMPUTED_VALUE"""),"=""Rune 5""")</f>
        <v>="Rune 5"</v>
      </c>
      <c r="N6" s="453"/>
      <c r="O6" s="409" t="str">
        <f ca="1">IFERROR(__xludf.DUMMYFUNCTION("""COMPUTED_VALUE"""),"=IF(AND(IF(Interface!$E$18=M6;1;0);IF(Interface!$E$16=M$1;1;0));1;0)")</f>
        <v>=IF(AND(IF(Interface!$E$18=M6;1;0);IF(Interface!$E$16=M$1;1;0));1;0)</v>
      </c>
      <c r="P6" s="467"/>
      <c r="Q6" s="454" t="str">
        <f ca="1">IFERROR(__xludf.DUMMYFUNCTION("""COMPUTED_VALUE"""),"=""Rune 5""")</f>
        <v>="Rune 5"</v>
      </c>
      <c r="R6" s="455"/>
      <c r="S6" s="413" t="str">
        <f ca="1">IFERROR(__xludf.DUMMYFUNCTION("""COMPUTED_VALUE"""),"=IF(AND(IF(Interface!$E$18=Q6;1;0);IF(Interface!$E$16=Q$1;1;0));1;0)")</f>
        <v>=IF(AND(IF(Interface!$E$18=Q6;1;0);IF(Interface!$E$16=Q$1;1;0));1;0)</v>
      </c>
      <c r="T6" s="456"/>
      <c r="U6" s="457" t="str">
        <f ca="1">IFERROR(__xludf.DUMMYFUNCTION("""COMPUTED_VALUE"""),"=""Shard 5""")</f>
        <v>="Shard 5"</v>
      </c>
      <c r="V6" s="417"/>
      <c r="W6" s="417"/>
      <c r="X6" s="418"/>
      <c r="Y6" s="419" t="str">
        <f ca="1">IFERROR(__xludf.DUMMYFUNCTION("""COMPUTED_VALUE"""),"=""AR""")</f>
        <v>="AR"</v>
      </c>
      <c r="Z6" s="419" t="str">
        <f ca="1">IFERROR(__xludf.DUMMYFUNCTION("""COMPUTED_VALUE"""),"=X9+X15+P14+IF(AND(O10;Self_Shield&gt;0);1+9*Sc_Lin;0)")</f>
        <v>=X9+X15+P14+IF(AND(O10;Self_Shield&gt;0);1+9*Sc_Lin;0)</v>
      </c>
    </row>
    <row r="7" spans="1:26" ht="13.2">
      <c r="A7" s="468" t="str">
        <f ca="1">IFERROR(__xludf.DUMMYFUNCTION("""COMPUTED_VALUE"""),"=""Rune 6""")</f>
        <v>="Rune 6"</v>
      </c>
      <c r="B7" s="469"/>
      <c r="C7" s="470" t="str">
        <f ca="1">IFERROR(__xludf.DUMMYFUNCTION("""COMPUTED_VALUE"""),"=IF(AND(IF(Interface!$E$18=A7;1;0);IF(Interface!$E$16=A$1;1;0));1;0)")</f>
        <v>=IF(AND(IF(Interface!$E$18=A7;1;0);IF(Interface!$E$16=A$1;1;0));1;0)</v>
      </c>
      <c r="D7" s="471"/>
      <c r="E7" s="472" t="str">
        <f ca="1">IFERROR(__xludf.DUMMYFUNCTION("""COMPUTED_VALUE"""),"=""Rune 6""")</f>
        <v>="Rune 6"</v>
      </c>
      <c r="F7" s="473"/>
      <c r="G7" s="474" t="str">
        <f ca="1">IFERROR(__xludf.DUMMYFUNCTION("""COMPUTED_VALUE"""),"=IF(AND(IF(Interface!$E$18=E7;1;0);IF(Interface!$E$16=E$1;1;0));1;0)")</f>
        <v>=IF(AND(IF(Interface!$E$18=E7;1;0);IF(Interface!$E$16=E$1;1;0));1;0)</v>
      </c>
      <c r="H7" s="475"/>
      <c r="I7" s="476" t="str">
        <f ca="1">IFERROR(__xludf.DUMMYFUNCTION("""COMPUTED_VALUE"""),"=""Rune 6""")</f>
        <v>="Rune 6"</v>
      </c>
      <c r="J7" s="477"/>
      <c r="K7" s="478" t="str">
        <f ca="1">IFERROR(__xludf.DUMMYFUNCTION("""COMPUTED_VALUE"""),"=IF(AND(IF(Interface!$E$18=I7;1;0);IF(Interface!$E$16=I$1;1;0));1;0)")</f>
        <v>=IF(AND(IF(Interface!$E$18=I7;1;0);IF(Interface!$E$16=I$1;1;0));1;0)</v>
      </c>
      <c r="L7" s="479"/>
      <c r="M7" s="480" t="str">
        <f ca="1">IFERROR(__xludf.DUMMYFUNCTION("""COMPUTED_VALUE"""),"=""Rune 6""")</f>
        <v>="Rune 6"</v>
      </c>
      <c r="N7" s="481"/>
      <c r="O7" s="482" t="str">
        <f ca="1">IFERROR(__xludf.DUMMYFUNCTION("""COMPUTED_VALUE"""),"=IF(AND(IF(Interface!$E$18=M7;1;0);IF(Interface!$E$16=M$1;1;0));1;0)")</f>
        <v>=IF(AND(IF(Interface!$E$18=M7;1;0);IF(Interface!$E$16=M$1;1;0));1;0)</v>
      </c>
      <c r="P7" s="483"/>
      <c r="Q7" s="484" t="str">
        <f ca="1">IFERROR(__xludf.DUMMYFUNCTION("""COMPUTED_VALUE"""),"=""Rune 6""")</f>
        <v>="Rune 6"</v>
      </c>
      <c r="R7" s="485"/>
      <c r="S7" s="486" t="str">
        <f ca="1">IFERROR(__xludf.DUMMYFUNCTION("""COMPUTED_VALUE"""),"=IF(AND(IF(Interface!$E$18=Q7;1;0);IF(Interface!$E$16=Q$1;1;0));1;0)")</f>
        <v>=IF(AND(IF(Interface!$E$18=Q7;1;0);IF(Interface!$E$16=Q$1;1;0));1;0)</v>
      </c>
      <c r="T7" s="487"/>
      <c r="U7" s="488" t="str">
        <f ca="1">IFERROR(__xludf.DUMMYFUNCTION("""COMPUTED_VALUE"""),"=""Shard 6""")</f>
        <v>="Shard 6"</v>
      </c>
      <c r="V7" s="489" t="str">
        <f ca="1">IFERROR(__xludf.DUMMYFUNCTION("""COMPUTED_VALUE"""),"=""-""")</f>
        <v>="-"</v>
      </c>
      <c r="W7" s="489"/>
      <c r="X7" s="490" t="str">
        <f ca="1">IFERROR(__xludf.DUMMYFUNCTION("""COMPUTED_VALUE"""),"=0")</f>
        <v>=0</v>
      </c>
      <c r="Y7" s="443" t="str">
        <f ca="1">IFERROR(__xludf.DUMMYFUNCTION("""COMPUTED_VALUE"""),"=""MR""")</f>
        <v>="MR"</v>
      </c>
      <c r="Z7" s="443" t="str">
        <f ca="1">IFERROR(__xludf.DUMMYFUNCTION("""COMPUTED_VALUE"""),"=X10+X16+P14+IF(AND(O10;Self_Shield&gt;0);1+9*Sc_Lin;0)")</f>
        <v>=X10+X16+P14+IF(AND(O10;Self_Shield&gt;0);1+9*Sc_Lin;0)</v>
      </c>
    </row>
    <row r="8" spans="1:26" ht="13.2">
      <c r="A8" s="395" t="str">
        <f ca="1">IFERROR(__xludf.DUMMYFUNCTION("""COMPUTED_VALUE"""),"=""Rune 1""")</f>
        <v>="Rune 1"</v>
      </c>
      <c r="B8" s="396" t="str">
        <f ca="1">IFERROR(__xludf.DUMMYFUNCTION("""COMPUTED_VALUE"""),"=""Overheal""")</f>
        <v>="Overheal"</v>
      </c>
      <c r="C8" s="491" t="str">
        <f ca="1">IFERROR(__xludf.DUMMYFUNCTION("""COMPUTED_VALUE"""),"=IF(OR(AND(IF(Interface!$E$20=A8;1;0);IF(Interface!$E$16=A$1;1;0));AND(IF(Interface!$E$27=A8;1;0);IF(Interface!$E$25=A$1;1;0)));1;0)")</f>
        <v>=IF(OR(AND(IF(Interface!$E$20=A8;1;0);IF(Interface!$E$16=A$1;1;0));AND(IF(Interface!$E$27=A8;1;0);IF(Interface!$E$25=A$1;1;0)));1;0)</v>
      </c>
      <c r="D8" s="492" t="str">
        <f ca="1">IFERROR(__xludf.DUMMYFUNCTION("""COMPUTED_VALUE"""),"=IF(C8;ROUND(0,11 * Self_MHP);0)")</f>
        <v>=IF(C8;ROUND(0,11 * Self_MHP);0)</v>
      </c>
      <c r="E8" s="399" t="str">
        <f ca="1">IFERROR(__xludf.DUMMYFUNCTION("""COMPUTED_VALUE"""),"=""Rune 1""")</f>
        <v>="Rune 1"</v>
      </c>
      <c r="F8" s="400" t="str">
        <f ca="1">IFERROR(__xludf.DUMMYFUNCTION("""COMPUTED_VALUE"""),"=""Cheap Shot""")</f>
        <v>="Cheap Shot"</v>
      </c>
      <c r="G8" s="493" t="str">
        <f ca="1">IFERROR(__xludf.DUMMYFUNCTION("""COMPUTED_VALUE"""),"=IF(OR(AND(IF(Interface!$E$20=E8;1;0);IF(Interface!$E$16=E$1;1;0));AND(IF(Interface!$E$27=E8;1;0);IF(Interface!$E$25=E$1;1;0)));1;0)")</f>
        <v>=IF(OR(AND(IF(Interface!$E$20=E8;1;0);IF(Interface!$E$16=E$1;1;0));AND(IF(Interface!$E$27=E8;1;0);IF(Interface!$E$25=E$1;1;0)));1;0)</v>
      </c>
      <c r="H8" s="494" t="str">
        <f ca="1">IFERROR(__xludf.DUMMYFUNCTION("""COMPUTED_VALUE"""),"=IF(G8;Round(10+35*Sc_Lin);0)*Calc!O10")</f>
        <v>=IF(G8;Round(10+35*Sc_Lin);0)*Calc!O10</v>
      </c>
      <c r="I8" s="403" t="str">
        <f ca="1">IFERROR(__xludf.DUMMYFUNCTION("""COMPUTED_VALUE"""),"=""Rune 1""")</f>
        <v>="Rune 1"</v>
      </c>
      <c r="J8" s="404" t="str">
        <f ca="1">IFERROR(__xludf.DUMMYFUNCTION("""COMPUTED_VALUE"""),"=""Nullifying Orb""")</f>
        <v>="Nullifying Orb"</v>
      </c>
      <c r="K8" s="495" t="str">
        <f ca="1">IFERROR(__xludf.DUMMYFUNCTION("""COMPUTED_VALUE"""),"=IF(OR(AND(IF(Interface!$E$20=I8;1;0);IF(Interface!$E$16=I$1;1;0));AND(IF(Interface!$E$27=I8;1;0);IF(Interface!$E$25=I$1;1;0)));1;0)")</f>
        <v>=IF(OR(AND(IF(Interface!$E$20=I8;1;0);IF(Interface!$E$16=I$1;1;0));AND(IF(Interface!$E$27=I8;1;0);IF(Interface!$E$25=I$1;1;0)));1;0)</v>
      </c>
      <c r="L8" s="496" t="str">
        <f ca="1">IFERROR(__xludf.DUMMYFUNCTION("""COMPUTED_VALUE"""),"=IF(K8;ROUND(35+75*Sc_Lin+0,09*Self_AP+0,14*Self_BoAD);0)")</f>
        <v>=IF(K8;ROUND(35+75*Sc_Lin+0,09*Self_AP+0,14*Self_BoAD);0)</v>
      </c>
      <c r="M8" s="407" t="str">
        <f ca="1">IFERROR(__xludf.DUMMYFUNCTION("""COMPUTED_VALUE"""),"=""Rune 1""")</f>
        <v>="Rune 1"</v>
      </c>
      <c r="N8" s="408" t="str">
        <f ca="1">IFERROR(__xludf.DUMMYFUNCTION("""COMPUTED_VALUE"""),"=""Demolish""")</f>
        <v>="Demolish"</v>
      </c>
      <c r="O8" s="497" t="str">
        <f ca="1">IFERROR(__xludf.DUMMYFUNCTION("""COMPUTED_VALUE"""),"=IF(OR(AND(IF(Interface!$E$20=M8;1;0);IF(Interface!$E$16=M$1;1;0));AND(IF(Interface!$E$27=M8;1;0);IF(Interface!$E$25=M$1;1;0)));1;0)")</f>
        <v>=IF(OR(AND(IF(Interface!$E$20=M8;1;0);IF(Interface!$E$16=M$1;1;0));AND(IF(Interface!$E$27=M8;1;0);IF(Interface!$E$25=M$1;1;0)));1;0)</v>
      </c>
      <c r="P8" s="498" t="str">
        <f ca="1">IFERROR(__xludf.DUMMYFUNCTION("""COMPUTED_VALUE"""),"=IF(O8;ROUND(100+0,35*Self_MHP);0)")</f>
        <v>=IF(O8;ROUND(100+0,35*Self_MHP);0)</v>
      </c>
      <c r="Q8" s="411" t="str">
        <f ca="1">IFERROR(__xludf.DUMMYFUNCTION("""COMPUTED_VALUE"""),"=""Rune 1""")</f>
        <v>="Rune 1"</v>
      </c>
      <c r="R8" s="412" t="str">
        <f ca="1">IFERROR(__xludf.DUMMYFUNCTION("""COMPUTED_VALUE"""),"=""Hextech Flashtrap""")</f>
        <v>="Hextech Flashtrap"</v>
      </c>
      <c r="S8" s="499" t="str">
        <f ca="1">IFERROR(__xludf.DUMMYFUNCTION("""COMPUTED_VALUE"""),"=IF(OR(AND(IF(Interface!$E$20=Q8;1;0);IF(Interface!$E$16=Q$1;1;0));AND(IF(Interface!$E$27=Q8;1;0);IF(Interface!$E$25=Q$1;1;0)));1;0)")</f>
        <v>=IF(OR(AND(IF(Interface!$E$20=Q8;1;0);IF(Interface!$E$16=Q$1;1;0));AND(IF(Interface!$E$27=Q8;1;0);IF(Interface!$E$25=Q$1;1;0)));1;0)</v>
      </c>
      <c r="T8" s="500" t="str">
        <f ca="1">IFERROR(__xludf.DUMMYFUNCTION("""COMPUTED_VALUE"""),"=20")</f>
        <v>=20</v>
      </c>
      <c r="U8" s="415" t="str">
        <f ca="1">IFERROR(__xludf.DUMMYFUNCTION("""COMPUTED_VALUE"""),"=""Shard 1""")</f>
        <v>="Shard 1"</v>
      </c>
      <c r="V8" s="416" t="str">
        <f ca="1">IFERROR(__xludf.DUMMYFUNCTION("""COMPUTED_VALUE"""),"=""Adaptive Force""")</f>
        <v>="Adaptive Force"</v>
      </c>
      <c r="W8" s="416" t="str">
        <f ca="1">IFERROR(__xludf.DUMMYFUNCTION("""COMPUTED_VALUE"""),"=if(Interface!$E$36=V8;1;0)")</f>
        <v>=if(Interface!$E$36=V8;1;0)</v>
      </c>
      <c r="X8" s="501" t="str">
        <f ca="1">IFERROR(__xludf.DUMMYFUNCTION("""COMPUTED_VALUE"""),"=IF(W8;9;0)")</f>
        <v>=IF(W8;9;0)</v>
      </c>
      <c r="Y8" s="419" t="str">
        <f ca="1">IFERROR(__xludf.DUMMYFUNCTION("""COMPUTED_VALUE"""),"=""AH""")</f>
        <v>="AH"</v>
      </c>
      <c r="Z8" s="419" t="str">
        <f ca="1">IFERROR(__xludf.DUMMYFUNCTION("""COMPUTED_VALUE"""),"=X4+L14")</f>
        <v>=X4+L14</v>
      </c>
    </row>
    <row r="9" spans="1:26" ht="13.2">
      <c r="A9" s="420" t="str">
        <f ca="1">IFERROR(__xludf.DUMMYFUNCTION("""COMPUTED_VALUE"""),"=""Rune 2""")</f>
        <v>="Rune 2"</v>
      </c>
      <c r="B9" s="421" t="str">
        <f ca="1">IFERROR(__xludf.DUMMYFUNCTION("""COMPUTED_VALUE"""),"=""Triumph""")</f>
        <v>="Triumph"</v>
      </c>
      <c r="C9" s="422" t="str">
        <f ca="1">IFERROR(__xludf.DUMMYFUNCTION("""COMPUTED_VALUE"""),"=IF(OR(AND(IF(Interface!$E$20=A9;1;0);IF(Interface!$E$16=A$1;1;0));AND(IF(Interface!$E$27=A9;1;0);IF(Interface!$E$25=A$1;1;0)));1;0)")</f>
        <v>=IF(OR(AND(IF(Interface!$E$20=A9;1;0);IF(Interface!$E$16=A$1;1;0));AND(IF(Interface!$E$27=A9;1;0);IF(Interface!$E$25=A$1;1;0)));1;0)</v>
      </c>
      <c r="D9" s="502" t="str">
        <f ca="1">IFERROR(__xludf.DUMMYFUNCTION("""COMPUTED_VALUE"""),"=IF(C9;ROUND((Self_MHP - (Self_MHP * (Self_CHPP/100))) * 0,05 + 0,025 * Self_MHP);0)")</f>
        <v>=IF(C9;ROUND((Self_MHP - (Self_MHP * (Self_CHPP/100))) * 0,05 + 0,025 * Self_MHP);0)</v>
      </c>
      <c r="E9" s="424" t="str">
        <f ca="1">IFERROR(__xludf.DUMMYFUNCTION("""COMPUTED_VALUE"""),"=""Rune 2""")</f>
        <v>="Rune 2"</v>
      </c>
      <c r="F9" s="425" t="str">
        <f ca="1">IFERROR(__xludf.DUMMYFUNCTION("""COMPUTED_VALUE"""),"=""Taste of Blood""")</f>
        <v>="Taste of Blood"</v>
      </c>
      <c r="G9" s="426" t="str">
        <f ca="1">IFERROR(__xludf.DUMMYFUNCTION("""COMPUTED_VALUE"""),"=IF(OR(AND(IF(Interface!$E$20=E9;1;0);IF(Interface!$E$16=E$1;1;0));AND(IF(Interface!$E$27=E9;1;0);IF(Interface!$E$25=E$1;1;0)));1;0)")</f>
        <v>=IF(OR(AND(IF(Interface!$E$20=E9;1;0);IF(Interface!$E$16=E$1;1;0));AND(IF(Interface!$E$27=E9;1;0);IF(Interface!$E$25=E$1;1;0)));1;0)</v>
      </c>
      <c r="H9" s="503" t="str">
        <f ca="1">IFERROR(__xludf.DUMMYFUNCTION("""COMPUTED_VALUE"""),"=IF(G9;ROUND(0,15 * Self_BoAD + 0,08 * Self_AP + 16 + 14 * Sc_Lin);0)")</f>
        <v>=IF(G9;ROUND(0,15 * Self_BoAD + 0,08 * Self_AP + 16 + 14 * Sc_Lin);0)</v>
      </c>
      <c r="I9" s="428" t="str">
        <f ca="1">IFERROR(__xludf.DUMMYFUNCTION("""COMPUTED_VALUE"""),"=""Rune 2""")</f>
        <v>="Rune 2"</v>
      </c>
      <c r="J9" s="429" t="str">
        <f ca="1">IFERROR(__xludf.DUMMYFUNCTION("""COMPUTED_VALUE"""),"=""Manaflow Band""")</f>
        <v>="Manaflow Band"</v>
      </c>
      <c r="K9" s="430" t="str">
        <f ca="1">IFERROR(__xludf.DUMMYFUNCTION("""COMPUTED_VALUE"""),"=IF(OR(AND(IF(Interface!$E$20=I9;1;0);IF(Interface!$E$16=I$1;1;0));AND(IF(Interface!$E$27=I9;1;0);IF(Interface!$E$25=I$1;1;0)));1;0)")</f>
        <v>=IF(OR(AND(IF(Interface!$E$20=I9;1;0);IF(Interface!$E$16=I$1;1;0));AND(IF(Interface!$E$27=I9;1;0);IF(Interface!$E$25=I$1;1;0)));1;0)</v>
      </c>
      <c r="L9" s="461" t="str">
        <f ca="1">IFERROR(__xludf.DUMMYFUNCTION("""COMPUTED_VALUE"""),"=IF(K9;250;0)")</f>
        <v>=IF(K9;250;0)</v>
      </c>
      <c r="M9" s="432" t="str">
        <f ca="1">IFERROR(__xludf.DUMMYFUNCTION("""COMPUTED_VALUE"""),"=""Rune 2""")</f>
        <v>="Rune 2"</v>
      </c>
      <c r="N9" s="433" t="str">
        <f ca="1">IFERROR(__xludf.DUMMYFUNCTION("""COMPUTED_VALUE"""),"=""Font of Life""")</f>
        <v>="Font of Life"</v>
      </c>
      <c r="O9" s="434" t="str">
        <f ca="1">IFERROR(__xludf.DUMMYFUNCTION("""COMPUTED_VALUE"""),"=IF(OR(AND(IF(Interface!$E$20=M9;1;0);IF(Interface!$E$16=M$1;1;0));AND(IF(Interface!$E$27=M9;1;0);IF(Interface!$E$25=M$1;1;0)));1;0)")</f>
        <v>=IF(OR(AND(IF(Interface!$E$20=M9;1;0);IF(Interface!$E$16=M$1;1;0));AND(IF(Interface!$E$27=M9;1;0);IF(Interface!$E$25=M$1;1;0)));1;0)</v>
      </c>
      <c r="P9" s="462" t="str">
        <f ca="1">IFERROR(__xludf.DUMMYFUNCTION("""COMPUTED_VALUE"""),"=IF(O9;ROUND(5+0,009*Self_MHP);0)")</f>
        <v>=IF(O9;ROUND(5+0,009*Self_MHP);0)</v>
      </c>
      <c r="Q9" s="436" t="str">
        <f ca="1">IFERROR(__xludf.DUMMYFUNCTION("""COMPUTED_VALUE"""),"=""Rune 2""")</f>
        <v>="Rune 2"</v>
      </c>
      <c r="R9" s="437" t="str">
        <f ca="1">IFERROR(__xludf.DUMMYFUNCTION("""COMPUTED_VALUE"""),"=""Magical Footwear""")</f>
        <v>="Magical Footwear"</v>
      </c>
      <c r="S9" s="438" t="str">
        <f ca="1">IFERROR(__xludf.DUMMYFUNCTION("""COMPUTED_VALUE"""),"=IF(OR(AND(IF(Interface!$E$20=Q9;1;0);IF(Interface!$E$16=Q$1;1;0));AND(IF(Interface!$E$27=Q9;1;0);IF(Interface!$E$25=Q$1;1;0)));1;0)")</f>
        <v>=IF(OR(AND(IF(Interface!$E$20=Q9;1;0);IF(Interface!$E$16=Q$1;1;0));AND(IF(Interface!$E$27=Q9;1;0);IF(Interface!$E$25=Q$1;1;0)));1;0)</v>
      </c>
      <c r="T9" s="439" t="str">
        <f ca="1">IFERROR(__xludf.DUMMYFUNCTION("""COMPUTED_VALUE"""),"=IF(S9;10;0)")</f>
        <v>=IF(S9;10;0)</v>
      </c>
      <c r="U9" s="440" t="str">
        <f ca="1">IFERROR(__xludf.DUMMYFUNCTION("""COMPUTED_VALUE"""),"=""Shard 2""")</f>
        <v>="Shard 2"</v>
      </c>
      <c r="V9" s="441" t="str">
        <f ca="1">IFERROR(__xludf.DUMMYFUNCTION("""COMPUTED_VALUE"""),"=""Armor""")</f>
        <v>="Armor"</v>
      </c>
      <c r="W9" s="441" t="str">
        <f ca="1">IFERROR(__xludf.DUMMYFUNCTION("""COMPUTED_VALUE"""),"=if(Interface!$E$36=V9;1;0)")</f>
        <v>=if(Interface!$E$36=V9;1;0)</v>
      </c>
      <c r="X9" s="463" t="str">
        <f ca="1">IFERROR(__xludf.DUMMYFUNCTION("""COMPUTED_VALUE"""),"=IF(W9;6;0)")</f>
        <v>=IF(W9;6;0)</v>
      </c>
      <c r="Y9" s="443" t="str">
        <f ca="1">IFERROR(__xludf.DUMMYFUNCTION("""COMPUTED_VALUE"""),"=""MS""")</f>
        <v>="MS"</v>
      </c>
      <c r="Z9" s="443" t="str">
        <f ca="1">IFERROR(__xludf.DUMMYFUNCTION("""COMPUTED_VALUE"""),"=L15+L4+L10")</f>
        <v>=L15+L4+L10</v>
      </c>
    </row>
    <row r="10" spans="1:26" ht="13.2">
      <c r="A10" s="445" t="str">
        <f ca="1">IFERROR(__xludf.DUMMYFUNCTION("""COMPUTED_VALUE"""),"=""Rune 3""")</f>
        <v>="Rune 3"</v>
      </c>
      <c r="B10" s="446" t="str">
        <f ca="1">IFERROR(__xludf.DUMMYFUNCTION("""COMPUTED_VALUE"""),"=""Presence of Mind""")</f>
        <v>="Presence of Mind"</v>
      </c>
      <c r="C10" s="397" t="str">
        <f ca="1">IFERROR(__xludf.DUMMYFUNCTION("""COMPUTED_VALUE"""),"=IF(OR(AND(IF(Interface!$E$20=A10;1;0);IF(Interface!$E$16=A$1;1;0));AND(IF(Interface!$E$27=A10;1;0);IF(Interface!$E$25=A$1;1;0)));1;0)")</f>
        <v>=IF(OR(AND(IF(Interface!$E$20=A10;1;0);IF(Interface!$E$16=A$1;1;0));AND(IF(Interface!$E$27=A10;1;0);IF(Interface!$E$25=A$1;1;0)));1;0)</v>
      </c>
      <c r="D10" s="464" t="str">
        <f ca="1">IFERROR(__xludf.DUMMYFUNCTION("""COMPUTED_VALUE"""),"=IF(AND(C10;Steroid_Runes);if(VLOOKUP(Name;Champs!A2:AJ190;35;False);1,5;if(VLOOKUP(Name;Champs!A2:AJ190;36;False);0;1,5+9,5*Sc_Lin));0)")</f>
        <v>=IF(AND(C10;Steroid_Runes);if(VLOOKUP(Name;Champs!A2:AJ190;35;False);1,5;if(VLOOKUP(Name;Champs!A2:AJ190;36;False);0;1,5+9,5*Sc_Lin));0)</v>
      </c>
      <c r="E10" s="447" t="str">
        <f ca="1">IFERROR(__xludf.DUMMYFUNCTION("""COMPUTED_VALUE"""),"=""Rune 3""")</f>
        <v>="Rune 3"</v>
      </c>
      <c r="F10" s="448" t="str">
        <f ca="1">IFERROR(__xludf.DUMMYFUNCTION("""COMPUTED_VALUE"""),"=""Sudden Impact""")</f>
        <v>="Sudden Impact"</v>
      </c>
      <c r="G10" s="401" t="str">
        <f ca="1">IFERROR(__xludf.DUMMYFUNCTION("""COMPUTED_VALUE"""),"=IF(OR(AND(IF(Interface!$E$20=E10;1;0);IF(Interface!$E$16=E$1;1;0));AND(IF(Interface!$E$27=E10;1;0);IF(Interface!$E$25=E$1;1;0)));1;0)")</f>
        <v>=IF(OR(AND(IF(Interface!$E$20=E10;1;0);IF(Interface!$E$16=E$1;1;0));AND(IF(Interface!$E$27=E10;1;0);IF(Interface!$E$25=E$1;1;0)));1;0)</v>
      </c>
      <c r="H10" s="504" t="str">
        <f ca="1">IFERROR(__xludf.DUMMYFUNCTION("""COMPUTED_VALUE"""),"=IF(G10;9;0)")</f>
        <v>=IF(G10;9;0)</v>
      </c>
      <c r="I10" s="449" t="str">
        <f ca="1">IFERROR(__xludf.DUMMYFUNCTION("""COMPUTED_VALUE"""),"=""Rune 3""")</f>
        <v>="Rune 3"</v>
      </c>
      <c r="J10" s="450" t="str">
        <f ca="1">IFERROR(__xludf.DUMMYFUNCTION("""COMPUTED_VALUE"""),"=""Nimbus Cloak""")</f>
        <v>="Nimbus Cloak"</v>
      </c>
      <c r="K10" s="405" t="str">
        <f ca="1">IFERROR(__xludf.DUMMYFUNCTION("""COMPUTED_VALUE"""),"=IF(OR(AND(IF(Interface!$E$20=I10;1;0);IF(Interface!$E$16=I$1;1;0));AND(IF(Interface!$E$27=I10;1;0);IF(Interface!$E$25=I$1;1;0)));1;0)")</f>
        <v>=IF(OR(AND(IF(Interface!$E$20=I10;1;0);IF(Interface!$E$16=I$1;1;0));AND(IF(Interface!$E$27=I10;1;0);IF(Interface!$E$25=I$1;1;0)));1;0)</v>
      </c>
      <c r="L10" s="505" t="str">
        <f ca="1">IFERROR(__xludf.DUMMYFUNCTION("""COMPUTED_VALUE"""),"=IF(AND(K10;Steroid_Runes);0,2;0)")</f>
        <v>=IF(AND(K10;Steroid_Runes);0,2;0)</v>
      </c>
      <c r="M10" s="452" t="str">
        <f ca="1">IFERROR(__xludf.DUMMYFUNCTION("""COMPUTED_VALUE"""),"=""Rune 3""")</f>
        <v>="Rune 3"</v>
      </c>
      <c r="N10" s="453" t="str">
        <f ca="1">IFERROR(__xludf.DUMMYFUNCTION("""COMPUTED_VALUE"""),"=""Shield Bash""")</f>
        <v>="Shield Bash"</v>
      </c>
      <c r="O10" s="409" t="str">
        <f ca="1">IFERROR(__xludf.DUMMYFUNCTION("""COMPUTED_VALUE"""),"=IF(OR(AND(IF(Interface!$E$20=M10;1;0);IF(Interface!$E$16=M$1;1;0));AND(IF(Interface!$E$27=M10;1;0);IF(Interface!$E$25=M$1;1;0)));1;0)")</f>
        <v>=IF(OR(AND(IF(Interface!$E$20=M10;1;0);IF(Interface!$E$16=M$1;1;0));AND(IF(Interface!$E$27=M10;1;0);IF(Interface!$E$25=M$1;1;0)));1;0)</v>
      </c>
      <c r="P10" s="467" t="str">
        <f ca="1">IFERROR(__xludf.DUMMYFUNCTION("""COMPUTED_VALUE"""),"=IF(O10;(5+25*Sc_Lin+0,085*Self_Shield+0,015*Self_BoHP)*if(ForceBit;MOD_Phys;MOD_Magic);0)")</f>
        <v>=IF(O10;(5+25*Sc_Lin+0,085*Self_Shield+0,015*Self_BoHP)*if(ForceBit;MOD_Phys;MOD_Magic);0)</v>
      </c>
      <c r="Q10" s="454" t="str">
        <f ca="1">IFERROR(__xludf.DUMMYFUNCTION("""COMPUTED_VALUE"""),"=""Rune 3""")</f>
        <v>="Rune 3"</v>
      </c>
      <c r="R10" s="455" t="str">
        <f ca="1">IFERROR(__xludf.DUMMYFUNCTION("""COMPUTED_VALUE"""),"=""Perfect Timing""")</f>
        <v>="Perfect Timing"</v>
      </c>
      <c r="S10" s="413" t="str">
        <f ca="1">IFERROR(__xludf.DUMMYFUNCTION("""COMPUTED_VALUE"""),"=IF(OR(AND(IF(Interface!$E$20=Q10;1;0);IF(Interface!$E$16=Q$1;1;0));AND(IF(Interface!$E$27=Q10;1;0);IF(Interface!$E$25=Q$1;1;0)));1;0)")</f>
        <v>=IF(OR(AND(IF(Interface!$E$20=Q10;1;0);IF(Interface!$E$16=Q$1;1;0));AND(IF(Interface!$E$27=Q10;1;0);IF(Interface!$E$25=Q$1;1;0)));1;0)</v>
      </c>
      <c r="T10" s="456" t="str">
        <f ca="1">IFERROR(__xludf.DUMMYFUNCTION("""COMPUTED_VALUE"""),"=IF(AND(Gametime&gt;=14;S10);""Can use"";""Not useable"")")</f>
        <v>=IF(AND(Gametime&gt;=14;S10);"Can use";"Not useable")</v>
      </c>
      <c r="U10" s="457" t="str">
        <f ca="1">IFERROR(__xludf.DUMMYFUNCTION("""COMPUTED_VALUE"""),"=""Shard 3""")</f>
        <v>="Shard 3"</v>
      </c>
      <c r="V10" s="417" t="str">
        <f ca="1">IFERROR(__xludf.DUMMYFUNCTION("""COMPUTED_VALUE"""),"=""Magic Resist""")</f>
        <v>="Magic Resist"</v>
      </c>
      <c r="W10" s="417" t="str">
        <f ca="1">IFERROR(__xludf.DUMMYFUNCTION("""COMPUTED_VALUE"""),"=if(Interface!$E$36=V10;1;0)")</f>
        <v>=if(Interface!$E$36=V10;1;0)</v>
      </c>
      <c r="X10" s="418" t="str">
        <f ca="1">IFERROR(__xludf.DUMMYFUNCTION("""COMPUTED_VALUE"""),"=IF(W10;8;0)")</f>
        <v>=IF(W10;8;0)</v>
      </c>
      <c r="Y10" s="419" t="str">
        <f ca="1">IFERROR(__xludf.DUMMYFUNCTION("""COMPUTED_VALUE"""),"=""MOD""")</f>
        <v>="MOD"</v>
      </c>
      <c r="Z10" s="506" t="str">
        <f ca="1">IFERROR(__xludf.DUMMYFUNCTION("""COMPUTED_VALUE"""),"=D22*D21*D20*T4")</f>
        <v>=D22*D21*D20*T4</v>
      </c>
    </row>
    <row r="11" spans="1:26" ht="13.2">
      <c r="A11" s="420" t="str">
        <f ca="1">IFERROR(__xludf.DUMMYFUNCTION("""COMPUTED_VALUE"""),"=""Rune 4""")</f>
        <v>="Rune 4"</v>
      </c>
      <c r="B11" s="421"/>
      <c r="C11" s="422" t="str">
        <f ca="1">IFERROR(__xludf.DUMMYFUNCTION("""COMPUTED_VALUE"""),"=IF(OR(AND(IF(Interface!$E$20=A11;1;0);IF(Interface!$E$16=A$1;1;0));AND(IF(Interface!$E$27=A11;1;0);IF(Interface!$E$25=A$1;1;0)));1;0)")</f>
        <v>=IF(OR(AND(IF(Interface!$E$20=A11;1;0);IF(Interface!$E$16=A$1;1;0));AND(IF(Interface!$E$27=A11;1;0);IF(Interface!$E$25=A$1;1;0)));1;0)</v>
      </c>
      <c r="D11" s="502"/>
      <c r="E11" s="424" t="str">
        <f ca="1">IFERROR(__xludf.DUMMYFUNCTION("""COMPUTED_VALUE"""),"=""Rune 4""")</f>
        <v>="Rune 4"</v>
      </c>
      <c r="F11" s="425"/>
      <c r="G11" s="426" t="str">
        <f ca="1">IFERROR(__xludf.DUMMYFUNCTION("""COMPUTED_VALUE"""),"=IF(OR(AND(IF(Interface!$E$20=E11;1;0);IF(Interface!$E$16=E$1;1;0));AND(IF(Interface!$E$27=E11;1;0);IF(Interface!$E$25=E$1;1;0)));1;0)")</f>
        <v>=IF(OR(AND(IF(Interface!$E$20=E11;1;0);IF(Interface!$E$16=E$1;1;0));AND(IF(Interface!$E$27=E11;1;0);IF(Interface!$E$25=E$1;1;0)));1;0)</v>
      </c>
      <c r="H11" s="507"/>
      <c r="I11" s="428" t="str">
        <f ca="1">IFERROR(__xludf.DUMMYFUNCTION("""COMPUTED_VALUE"""),"=""Rune 4""")</f>
        <v>="Rune 4"</v>
      </c>
      <c r="J11" s="429"/>
      <c r="K11" s="430" t="str">
        <f ca="1">IFERROR(__xludf.DUMMYFUNCTION("""COMPUTED_VALUE"""),"=IF(OR(AND(IF(Interface!$E$20=I11;1;0);IF(Interface!$E$16=I$1;1;0));AND(IF(Interface!$E$27=I11;1;0);IF(Interface!$E$25=I$1;1;0)));1;0)")</f>
        <v>=IF(OR(AND(IF(Interface!$E$20=I11;1;0);IF(Interface!$E$16=I$1;1;0));AND(IF(Interface!$E$27=I11;1;0);IF(Interface!$E$25=I$1;1;0)));1;0)</v>
      </c>
      <c r="L11" s="461"/>
      <c r="M11" s="432" t="str">
        <f ca="1">IFERROR(__xludf.DUMMYFUNCTION("""COMPUTED_VALUE"""),"=""Rune 4""")</f>
        <v>="Rune 4"</v>
      </c>
      <c r="N11" s="433"/>
      <c r="O11" s="434" t="str">
        <f ca="1">IFERROR(__xludf.DUMMYFUNCTION("""COMPUTED_VALUE"""),"=IF(OR(AND(IF(Interface!$E$20=M11;1;0);IF(Interface!$E$16=M$1;1;0));AND(IF(Interface!$E$27=M11;1;0);IF(Interface!$E$25=M$1;1;0)));1;0)")</f>
        <v>=IF(OR(AND(IF(Interface!$E$20=M11;1;0);IF(Interface!$E$16=M$1;1;0));AND(IF(Interface!$E$27=M11;1;0);IF(Interface!$E$25=M$1;1;0)));1;0)</v>
      </c>
      <c r="P11" s="462"/>
      <c r="Q11" s="436" t="str">
        <f ca="1">IFERROR(__xludf.DUMMYFUNCTION("""COMPUTED_VALUE"""),"=""Rune 4""")</f>
        <v>="Rune 4"</v>
      </c>
      <c r="R11" s="437"/>
      <c r="S11" s="438" t="str">
        <f ca="1">IFERROR(__xludf.DUMMYFUNCTION("""COMPUTED_VALUE"""),"=IF(OR(AND(IF(Interface!$E$20=Q11;1;0);IF(Interface!$E$16=Q$1;1;0));AND(IF(Interface!$E$27=Q11;1;0);IF(Interface!$E$25=Q$1;1;0)));1;0)")</f>
        <v>=IF(OR(AND(IF(Interface!$E$20=Q11;1;0);IF(Interface!$E$16=Q$1;1;0));AND(IF(Interface!$E$27=Q11;1;0);IF(Interface!$E$25=Q$1;1;0)));1;0)</v>
      </c>
      <c r="T11" s="439"/>
      <c r="U11" s="440" t="str">
        <f ca="1">IFERROR(__xludf.DUMMYFUNCTION("""COMPUTED_VALUE"""),"=""Shard 4""")</f>
        <v>="Shard 4"</v>
      </c>
      <c r="V11" s="441"/>
      <c r="W11" s="441"/>
      <c r="X11" s="463"/>
      <c r="Y11" s="443" t="str">
        <f ca="1">IFERROR(__xludf.DUMMYFUNCTION("""COMPUTED_VALUE"""),"=""PTAM""")</f>
        <v>="PTAM"</v>
      </c>
      <c r="Z11" s="444" t="str">
        <f ca="1">IFERROR(__xludf.DUMMYFUNCTION("""COMPUTED_VALUE"""),"=IF(AND(C2;Steroid_Runes);1,08+0,04*Sc_Lin;1)")</f>
        <v>=IF(AND(C2;Steroid_Runes);1,08+0,04*Sc_Lin;1)</v>
      </c>
    </row>
    <row r="12" spans="1:26" ht="13.2">
      <c r="A12" s="445" t="str">
        <f ca="1">IFERROR(__xludf.DUMMYFUNCTION("""COMPUTED_VALUE"""),"=""Rune 5""")</f>
        <v>="Rune 5"</v>
      </c>
      <c r="B12" s="446"/>
      <c r="C12" s="397" t="str">
        <f ca="1">IFERROR(__xludf.DUMMYFUNCTION("""COMPUTED_VALUE"""),"=IF(OR(AND(IF(Interface!$E$20=A12;1;0);IF(Interface!$E$16=A$1;1;0));AND(IF(Interface!$E$27=A12;1;0);IF(Interface!$E$25=A$1;1;0)));1;0)")</f>
        <v>=IF(OR(AND(IF(Interface!$E$20=A12;1;0);IF(Interface!$E$16=A$1;1;0));AND(IF(Interface!$E$27=A12;1;0);IF(Interface!$E$25=A$1;1;0)));1;0)</v>
      </c>
      <c r="D12" s="464"/>
      <c r="E12" s="447" t="str">
        <f ca="1">IFERROR(__xludf.DUMMYFUNCTION("""COMPUTED_VALUE"""),"=""Rune 5""")</f>
        <v>="Rune 5"</v>
      </c>
      <c r="F12" s="448"/>
      <c r="G12" s="401" t="str">
        <f ca="1">IFERROR(__xludf.DUMMYFUNCTION("""COMPUTED_VALUE"""),"=IF(OR(AND(IF(Interface!$E$20=E12;1;0);IF(Interface!$E$16=E$1;1;0));AND(IF(Interface!$E$27=E12;1;0);IF(Interface!$E$25=E$1;1;0)));1;0)")</f>
        <v>=IF(OR(AND(IF(Interface!$E$20=E12;1;0);IF(Interface!$E$16=E$1;1;0));AND(IF(Interface!$E$27=E12;1;0);IF(Interface!$E$25=E$1;1;0)));1;0)</v>
      </c>
      <c r="H12" s="465"/>
      <c r="I12" s="449" t="str">
        <f ca="1">IFERROR(__xludf.DUMMYFUNCTION("""COMPUTED_VALUE"""),"=""Rune 5""")</f>
        <v>="Rune 5"</v>
      </c>
      <c r="J12" s="450"/>
      <c r="K12" s="405" t="str">
        <f ca="1">IFERROR(__xludf.DUMMYFUNCTION("""COMPUTED_VALUE"""),"=IF(OR(AND(IF(Interface!$E$20=I12;1;0);IF(Interface!$E$16=I$1;1;0));AND(IF(Interface!$E$27=I12;1;0);IF(Interface!$E$25=I$1;1;0)));1;0)")</f>
        <v>=IF(OR(AND(IF(Interface!$E$20=I12;1;0);IF(Interface!$E$16=I$1;1;0));AND(IF(Interface!$E$27=I12;1;0);IF(Interface!$E$25=I$1;1;0)));1;0)</v>
      </c>
      <c r="L12" s="466"/>
      <c r="M12" s="452" t="str">
        <f ca="1">IFERROR(__xludf.DUMMYFUNCTION("""COMPUTED_VALUE"""),"=""Rune 5""")</f>
        <v>="Rune 5"</v>
      </c>
      <c r="N12" s="453"/>
      <c r="O12" s="409" t="str">
        <f ca="1">IFERROR(__xludf.DUMMYFUNCTION("""COMPUTED_VALUE"""),"=IF(OR(AND(IF(Interface!$E$20=M12;1;0);IF(Interface!$E$16=M$1;1;0));AND(IF(Interface!$E$27=M12;1;0);IF(Interface!$E$25=M$1;1;0)));1;0)")</f>
        <v>=IF(OR(AND(IF(Interface!$E$20=M12;1;0);IF(Interface!$E$16=M$1;1;0));AND(IF(Interface!$E$27=M12;1;0);IF(Interface!$E$25=M$1;1;0)));1;0)</v>
      </c>
      <c r="P12" s="467"/>
      <c r="Q12" s="454" t="str">
        <f ca="1">IFERROR(__xludf.DUMMYFUNCTION("""COMPUTED_VALUE"""),"=""Rune 5""")</f>
        <v>="Rune 5"</v>
      </c>
      <c r="R12" s="455"/>
      <c r="S12" s="413" t="str">
        <f ca="1">IFERROR(__xludf.DUMMYFUNCTION("""COMPUTED_VALUE"""),"=IF(OR(AND(IF(Interface!$E$20=Q12;1;0);IF(Interface!$E$16=Q$1;1;0));AND(IF(Interface!$E$27=Q12;1;0);IF(Interface!$E$25=Q$1;1;0)));1;0)")</f>
        <v>=IF(OR(AND(IF(Interface!$E$20=Q12;1;0);IF(Interface!$E$16=Q$1;1;0));AND(IF(Interface!$E$27=Q12;1;0);IF(Interface!$E$25=Q$1;1;0)));1;0)</v>
      </c>
      <c r="T12" s="456"/>
      <c r="U12" s="457" t="str">
        <f ca="1">IFERROR(__xludf.DUMMYFUNCTION("""COMPUTED_VALUE"""),"=""Shard 5""")</f>
        <v>="Shard 5"</v>
      </c>
      <c r="V12" s="417"/>
      <c r="W12" s="417"/>
      <c r="X12" s="418"/>
      <c r="Y12" s="419"/>
      <c r="Z12" s="419"/>
    </row>
    <row r="13" spans="1:26" ht="13.2">
      <c r="A13" s="468" t="str">
        <f ca="1">IFERROR(__xludf.DUMMYFUNCTION("""COMPUTED_VALUE"""),"=""Rune 6""")</f>
        <v>="Rune 6"</v>
      </c>
      <c r="B13" s="469"/>
      <c r="C13" s="470" t="str">
        <f ca="1">IFERROR(__xludf.DUMMYFUNCTION("""COMPUTED_VALUE"""),"=IF(OR(AND(IF(Interface!$E$20=A13;1;0);IF(Interface!$E$16=A$1;1;0));AND(IF(Interface!$E$27=A13;1;0);IF(Interface!$E$25=A$1;1;0)));1;0)")</f>
        <v>=IF(OR(AND(IF(Interface!$E$20=A13;1;0);IF(Interface!$E$16=A$1;1;0));AND(IF(Interface!$E$27=A13;1;0);IF(Interface!$E$25=A$1;1;0)));1;0)</v>
      </c>
      <c r="D13" s="471"/>
      <c r="E13" s="472" t="str">
        <f ca="1">IFERROR(__xludf.DUMMYFUNCTION("""COMPUTED_VALUE"""),"=""Rune 6""")</f>
        <v>="Rune 6"</v>
      </c>
      <c r="F13" s="473"/>
      <c r="G13" s="474" t="str">
        <f ca="1">IFERROR(__xludf.DUMMYFUNCTION("""COMPUTED_VALUE"""),"=IF(OR(AND(IF(Interface!$E$20=E13;1;0);IF(Interface!$E$16=E$1;1;0));AND(IF(Interface!$E$27=E13;1;0);IF(Interface!$E$25=E$1;1;0)));1;0)")</f>
        <v>=IF(OR(AND(IF(Interface!$E$20=E13;1;0);IF(Interface!$E$16=E$1;1;0));AND(IF(Interface!$E$27=E13;1;0);IF(Interface!$E$25=E$1;1;0)));1;0)</v>
      </c>
      <c r="H13" s="475"/>
      <c r="I13" s="476" t="str">
        <f ca="1">IFERROR(__xludf.DUMMYFUNCTION("""COMPUTED_VALUE"""),"=""Rune 6""")</f>
        <v>="Rune 6"</v>
      </c>
      <c r="J13" s="477"/>
      <c r="K13" s="478" t="str">
        <f ca="1">IFERROR(__xludf.DUMMYFUNCTION("""COMPUTED_VALUE"""),"=IF(OR(AND(IF(Interface!$E$20=I13;1;0);IF(Interface!$E$16=I$1;1;0));AND(IF(Interface!$E$27=I13;1;0);IF(Interface!$E$25=I$1;1;0)));1;0)")</f>
        <v>=IF(OR(AND(IF(Interface!$E$20=I13;1;0);IF(Interface!$E$16=I$1;1;0));AND(IF(Interface!$E$27=I13;1;0);IF(Interface!$E$25=I$1;1;0)));1;0)</v>
      </c>
      <c r="L13" s="479"/>
      <c r="M13" s="480" t="str">
        <f ca="1">IFERROR(__xludf.DUMMYFUNCTION("""COMPUTED_VALUE"""),"=""Rune 6""")</f>
        <v>="Rune 6"</v>
      </c>
      <c r="N13" s="481"/>
      <c r="O13" s="482" t="str">
        <f ca="1">IFERROR(__xludf.DUMMYFUNCTION("""COMPUTED_VALUE"""),"=IF(OR(AND(IF(Interface!$E$20=M13;1;0);IF(Interface!$E$16=M$1;1;0));AND(IF(Interface!$E$27=M13;1;0);IF(Interface!$E$25=M$1;1;0)));1;0)")</f>
        <v>=IF(OR(AND(IF(Interface!$E$20=M13;1;0);IF(Interface!$E$16=M$1;1;0));AND(IF(Interface!$E$27=M13;1;0);IF(Interface!$E$25=M$1;1;0)));1;0)</v>
      </c>
      <c r="P13" s="483"/>
      <c r="Q13" s="484" t="str">
        <f ca="1">IFERROR(__xludf.DUMMYFUNCTION("""COMPUTED_VALUE"""),"=""Rune 6""")</f>
        <v>="Rune 6"</v>
      </c>
      <c r="R13" s="485"/>
      <c r="S13" s="486" t="str">
        <f ca="1">IFERROR(__xludf.DUMMYFUNCTION("""COMPUTED_VALUE"""),"=IF(OR(AND(IF(Interface!$E$20=Q13;1;0);IF(Interface!$E$16=Q$1;1;0));AND(IF(Interface!$E$27=Q13;1;0);IF(Interface!$E$25=Q$1;1;0)));1;0)")</f>
        <v>=IF(OR(AND(IF(Interface!$E$20=Q13;1;0);IF(Interface!$E$16=Q$1;1;0));AND(IF(Interface!$E$27=Q13;1;0);IF(Interface!$E$25=Q$1;1;0)));1;0)</v>
      </c>
      <c r="T13" s="487"/>
      <c r="U13" s="488" t="str">
        <f ca="1">IFERROR(__xludf.DUMMYFUNCTION("""COMPUTED_VALUE"""),"=""Shard 6""")</f>
        <v>="Shard 6"</v>
      </c>
      <c r="V13" s="489" t="str">
        <f ca="1">IFERROR(__xludf.DUMMYFUNCTION("""COMPUTED_VALUE"""),"=""-""")</f>
        <v>="-"</v>
      </c>
      <c r="W13" s="489"/>
      <c r="X13" s="490" t="str">
        <f ca="1">IFERROR(__xludf.DUMMYFUNCTION("""COMPUTED_VALUE"""),"=0")</f>
        <v>=0</v>
      </c>
      <c r="Y13" s="443"/>
      <c r="Z13" s="443"/>
    </row>
    <row r="14" spans="1:26" ht="13.2">
      <c r="A14" s="395" t="str">
        <f ca="1">IFERROR(__xludf.DUMMYFUNCTION("""COMPUTED_VALUE"""),"=""Rune 1""")</f>
        <v>="Rune 1"</v>
      </c>
      <c r="B14" s="396" t="str">
        <f ca="1">IFERROR(__xludf.DUMMYFUNCTION("""COMPUTED_VALUE"""),"=""Alacrity""")</f>
        <v>="Alacrity"</v>
      </c>
      <c r="C14" s="491" t="str">
        <f ca="1">IFERROR(__xludf.DUMMYFUNCTION("""COMPUTED_VALUE"""),"=IF(OR(AND(IF(Interface!$E$22=A14;1;0);IF(Interface!$E$16=A$1;1;0));AND(IF(Interface!$E$29=A14;1;0);IF(Interface!$E$25=A$1;1;0)));1;0)")</f>
        <v>=IF(OR(AND(IF(Interface!$E$22=A14;1;0);IF(Interface!$E$16=A$1;1;0));AND(IF(Interface!$E$29=A14;1;0);IF(Interface!$E$25=A$1;1;0)));1;0)</v>
      </c>
      <c r="D14" s="508" t="str">
        <f ca="1">IFERROR(__xludf.DUMMYFUNCTION("""COMPUTED_VALUE"""),"=IF(C14;(0,03+0,015*S_Legend);0)")</f>
        <v>=IF(C14;(0,03+0,015*S_Legend);0)</v>
      </c>
      <c r="E14" s="399" t="str">
        <f ca="1">IFERROR(__xludf.DUMMYFUNCTION("""COMPUTED_VALUE"""),"=""Rune 1""")</f>
        <v>="Rune 1"</v>
      </c>
      <c r="F14" s="400" t="str">
        <f ca="1">IFERROR(__xludf.DUMMYFUNCTION("""COMPUTED_VALUE"""),"=""Zombie Ward""")</f>
        <v>="Zombie Ward"</v>
      </c>
      <c r="G14" s="493" t="str">
        <f ca="1">IFERROR(__xludf.DUMMYFUNCTION("""COMPUTED_VALUE"""),"=IF(OR(AND(IF(Interface!$E$22=E14;1;0);IF(Interface!$E$16=E$1;1;0));AND(IF(Interface!$E$29=E14;1;0);IF(Interface!$E$25=E$1;1;0)));1;0)")</f>
        <v>=IF(OR(AND(IF(Interface!$E$22=E14;1;0);IF(Interface!$E$16=E$1;1;0));AND(IF(Interface!$E$29=E14;1;0);IF(Interface!$E$25=E$1;1;0)));1;0)</v>
      </c>
      <c r="H14" s="509" t="str">
        <f ca="1">IFERROR(__xludf.DUMMYFUNCTION("""COMPUTED_VALUE"""),"=IF(G14;IF(S_Legend&gt;=10;15;S_Legend)*2;0)")</f>
        <v>=IF(G14;IF(S_Legend&gt;=10;15;S_Legend)*2;0)</v>
      </c>
      <c r="I14" s="403" t="str">
        <f ca="1">IFERROR(__xludf.DUMMYFUNCTION("""COMPUTED_VALUE"""),"=""Rune 1""")</f>
        <v>="Rune 1"</v>
      </c>
      <c r="J14" s="404" t="str">
        <f ca="1">IFERROR(__xludf.DUMMYFUNCTION("""COMPUTED_VALUE"""),"=""Transcendence""")</f>
        <v>="Transcendence"</v>
      </c>
      <c r="K14" s="495" t="str">
        <f ca="1">IFERROR(__xludf.DUMMYFUNCTION("""COMPUTED_VALUE"""),"=IF(OR(AND(IF(Interface!$E$22=I14;1;0);IF(Interface!$E$16=I$1;1;0));AND(IF(Interface!$E$29=I14;1;0);IF(Interface!$E$25=I$1;1;0)));1;0)")</f>
        <v>=IF(OR(AND(IF(Interface!$E$22=I14;1;0);IF(Interface!$E$16=I$1;1;0));AND(IF(Interface!$E$29=I14;1;0);IF(Interface!$E$25=I$1;1;0)));1;0)</v>
      </c>
      <c r="L14" s="510" t="str">
        <f ca="1">IFERROR(__xludf.DUMMYFUNCTION("""COMPUTED_VALUE"""),"=IF(K14;IF(Self_Level&gt;7;0,1;IF(Self_Level&gt;4;0,05;0));0)")</f>
        <v>=IF(K14;IF(Self_Level&gt;7;0,1;IF(Self_Level&gt;4;0,05;0));0)</v>
      </c>
      <c r="M14" s="407" t="str">
        <f ca="1">IFERROR(__xludf.DUMMYFUNCTION("""COMPUTED_VALUE"""),"=""Rune 1""")</f>
        <v>="Rune 1"</v>
      </c>
      <c r="N14" s="408" t="str">
        <f ca="1">IFERROR(__xludf.DUMMYFUNCTION("""COMPUTED_VALUE"""),"=""Conditioning""")</f>
        <v>="Conditioning"</v>
      </c>
      <c r="O14" s="497" t="str">
        <f ca="1">IFERROR(__xludf.DUMMYFUNCTION("""COMPUTED_VALUE"""),"=IF(OR(AND(IF(Interface!$E$22=M14;1;0);IF(Interface!$E$16=M$1;1;0));AND(IF(Interface!$E$29=M14;1;0);IF(Interface!$E$25=M$1;1;0)));1;0)")</f>
        <v>=IF(OR(AND(IF(Interface!$E$22=M14;1;0);IF(Interface!$E$16=M$1;1;0));AND(IF(Interface!$E$29=M14;1;0);IF(Interface!$E$25=M$1;1;0)));1;0)</v>
      </c>
      <c r="P14" s="498" t="str">
        <f ca="1">IFERROR(__xludf.DUMMYFUNCTION("""COMPUTED_VALUE"""),"=IF(AND(Gametime&gt;=12;O14);8;0)")</f>
        <v>=IF(AND(Gametime&gt;=12;O14);8;0)</v>
      </c>
      <c r="Q14" s="411" t="str">
        <f ca="1">IFERROR(__xludf.DUMMYFUNCTION("""COMPUTED_VALUE"""),"=""Rune 1""")</f>
        <v>="Rune 1"</v>
      </c>
      <c r="R14" s="455" t="str">
        <f ca="1">IFERROR(__xludf.DUMMYFUNCTION("""COMPUTED_VALUE"""),"=""Futures Market""")</f>
        <v>="Futures Market"</v>
      </c>
      <c r="S14" s="413" t="str">
        <f ca="1">IFERROR(__xludf.DUMMYFUNCTION("""COMPUTED_VALUE"""),"=IF(OR(AND(IF(Interface!$E$22=Q14;1;0);IF(Interface!$E$16=Q$1;1;0));AND(IF(Interface!$E$29=Q14;1;0);IF(Interface!$E$25=Q$1;1;0)));1;0)")</f>
        <v>=IF(OR(AND(IF(Interface!$E$22=Q14;1;0);IF(Interface!$E$16=Q$1;1;0));AND(IF(Interface!$E$29=Q14;1;0);IF(Interface!$E$25=Q$1;1;0)));1;0)</v>
      </c>
      <c r="T14" s="456" t="str">
        <f ca="1">IFERROR(__xludf.DUMMYFUNCTION("""COMPUTED_VALUE"""),"=IF(S14;150+5*Gametime;0)")</f>
        <v>=IF(S14;150+5*Gametime;0)</v>
      </c>
      <c r="U14" s="415" t="str">
        <f ca="1">IFERROR(__xludf.DUMMYFUNCTION("""COMPUTED_VALUE"""),"=""Shard 1""")</f>
        <v>="Shard 1"</v>
      </c>
      <c r="V14" s="416" t="str">
        <f ca="1">IFERROR(__xludf.DUMMYFUNCTION("""COMPUTED_VALUE"""),"=""Health""")</f>
        <v>="Health"</v>
      </c>
      <c r="W14" s="416" t="str">
        <f ca="1">IFERROR(__xludf.DUMMYFUNCTION("""COMPUTED_VALUE"""),"=if(Interface!$E$38=V14;1;0)")</f>
        <v>=if(Interface!$E$38=V14;1;0)</v>
      </c>
      <c r="X14" s="501" t="str">
        <f ca="1">IFERROR(__xludf.DUMMYFUNCTION("""COMPUTED_VALUE"""),"=IF(W14; 15 + 125 * Sc_Lin; 0)")</f>
        <v>=IF(W14; 15 + 125 * Sc_Lin; 0)</v>
      </c>
      <c r="Y14" s="419"/>
      <c r="Z14" s="419"/>
    </row>
    <row r="15" spans="1:26" ht="13.2">
      <c r="A15" s="420" t="str">
        <f ca="1">IFERROR(__xludf.DUMMYFUNCTION("""COMPUTED_VALUE"""),"=""Rune 2""")</f>
        <v>="Rune 2"</v>
      </c>
      <c r="B15" s="421" t="str">
        <f ca="1">IFERROR(__xludf.DUMMYFUNCTION("""COMPUTED_VALUE"""),"=""Tenacity""")</f>
        <v>="Tenacity"</v>
      </c>
      <c r="C15" s="422" t="str">
        <f ca="1">IFERROR(__xludf.DUMMYFUNCTION("""COMPUTED_VALUE"""),"=IF(OR(AND(IF(Interface!$E$22=A15;1;0);IF(Interface!$E$16=A$1;1;0));AND(IF(Interface!$E$29=A15;1;0);IF(Interface!$E$25=A$1;1;0)));1;0)")</f>
        <v>=IF(OR(AND(IF(Interface!$E$22=A15;1;0);IF(Interface!$E$16=A$1;1;0));AND(IF(Interface!$E$29=A15;1;0);IF(Interface!$E$25=A$1;1;0)));1;0)</v>
      </c>
      <c r="D15" s="511" t="str">
        <f ca="1">IFERROR(__xludf.DUMMYFUNCTION("""COMPUTED_VALUE"""),"=IF(C15;(0,05+0,015*S_Legend);0)")</f>
        <v>=IF(C15;(0,05+0,015*S_Legend);0)</v>
      </c>
      <c r="E15" s="424" t="str">
        <f ca="1">IFERROR(__xludf.DUMMYFUNCTION("""COMPUTED_VALUE"""),"=""Rune 2""")</f>
        <v>="Rune 2"</v>
      </c>
      <c r="F15" s="425" t="str">
        <f ca="1">IFERROR(__xludf.DUMMYFUNCTION("""COMPUTED_VALUE"""),"=""Ghost Poro""")</f>
        <v>="Ghost Poro"</v>
      </c>
      <c r="G15" s="426" t="str">
        <f ca="1">IFERROR(__xludf.DUMMYFUNCTION("""COMPUTED_VALUE"""),"=IF(OR(AND(IF(Interface!$E$22=E15;1;0);IF(Interface!$E$16=E$1;1;0));AND(IF(Interface!$E$29=E15;1;0);IF(Interface!$E$25=E$1;1;0)));1;0)")</f>
        <v>=IF(OR(AND(IF(Interface!$E$22=E15;1;0);IF(Interface!$E$16=E$1;1;0));AND(IF(Interface!$E$29=E15;1;0);IF(Interface!$E$25=E$1;1;0)));1;0)</v>
      </c>
      <c r="H15" s="507" t="str">
        <f ca="1">IFERROR(__xludf.DUMMYFUNCTION("""COMPUTED_VALUE"""),"=IF(G15;IF(S_Legend&gt;=10;15;S_Legend)*2;0)")</f>
        <v>=IF(G15;IF(S_Legend&gt;=10;15;S_Legend)*2;0)</v>
      </c>
      <c r="I15" s="428" t="str">
        <f ca="1">IFERROR(__xludf.DUMMYFUNCTION("""COMPUTED_VALUE"""),"=""Rune 2""")</f>
        <v>="Rune 2"</v>
      </c>
      <c r="J15" s="429" t="str">
        <f ca="1">IFERROR(__xludf.DUMMYFUNCTION("""COMPUTED_VALUE"""),"=""Celerity""")</f>
        <v>="Celerity"</v>
      </c>
      <c r="K15" s="430" t="str">
        <f ca="1">IFERROR(__xludf.DUMMYFUNCTION("""COMPUTED_VALUE"""),"=IF(OR(AND(IF(Interface!$E$22=I15;1;0);IF(Interface!$E$16=I$1;1;0));AND(IF(Interface!$E$29=I15;1;0);IF(Interface!$E$25=I$1;1;0)));1;0)")</f>
        <v>=IF(OR(AND(IF(Interface!$E$22=I15;1;0);IF(Interface!$E$16=I$1;1;0));AND(IF(Interface!$E$29=I15;1;0);IF(Interface!$E$25=I$1;1;0)));1;0)</v>
      </c>
      <c r="L15" s="512" t="str">
        <f ca="1">IFERROR(__xludf.DUMMYFUNCTION("""COMPUTED_VALUE"""),"=IF(K15;0,01;0)")</f>
        <v>=IF(K15;0,01;0)</v>
      </c>
      <c r="M15" s="432" t="str">
        <f ca="1">IFERROR(__xludf.DUMMYFUNCTION("""COMPUTED_VALUE"""),"=""Rune 2""")</f>
        <v>="Rune 2"</v>
      </c>
      <c r="N15" s="433" t="str">
        <f ca="1">IFERROR(__xludf.DUMMYFUNCTION("""COMPUTED_VALUE"""),"=""Second Wind""")</f>
        <v>="Second Wind"</v>
      </c>
      <c r="O15" s="434" t="str">
        <f ca="1">IFERROR(__xludf.DUMMYFUNCTION("""COMPUTED_VALUE"""),"=IF(OR(AND(IF(Interface!$E$22=M15;1;0);IF(Interface!$E$16=M$1;1;0));AND(IF(Interface!$E$29=M15;1;0);IF(Interface!$E$25=M$1;1;0)));1;0)")</f>
        <v>=IF(OR(AND(IF(Interface!$E$22=M15;1;0);IF(Interface!$E$16=M$1;1;0));AND(IF(Interface!$E$29=M15;1;0);IF(Interface!$E$25=M$1;1;0)));1;0)</v>
      </c>
      <c r="P15" s="462" t="str">
        <f ca="1">IFERROR(__xludf.DUMMYFUNCTION("""COMPUTED_VALUE"""),"=IF(O15;(3+(Self_MHP*(1-(Self_CHPP/100)))*0,04)*IF(Calc!C52;1,25;1);0)")</f>
        <v>=IF(O15;(3+(Self_MHP*(1-(Self_CHPP/100)))*0,04)*IF(Calc!C52;1,25;1);0)</v>
      </c>
      <c r="Q15" s="436" t="str">
        <f ca="1">IFERROR(__xludf.DUMMYFUNCTION("""COMPUTED_VALUE"""),"=""Rune 2""")</f>
        <v>="Rune 2"</v>
      </c>
      <c r="R15" s="437" t="str">
        <f ca="1">IFERROR(__xludf.DUMMYFUNCTION("""COMPUTED_VALUE"""),"=""Minion Dematerializer""")</f>
        <v>="Minion Dematerializer"</v>
      </c>
      <c r="S15" s="438" t="str">
        <f ca="1">IFERROR(__xludf.DUMMYFUNCTION("""COMPUTED_VALUE"""),"=IF(OR(AND(IF(Interface!$E$22=Q15;1;0);IF(Interface!$E$16=Q$1;1;0));AND(IF(Interface!$E$29=Q15;1;0);IF(Interface!$E$25=Q$1;1;0)));1;0)")</f>
        <v>=IF(OR(AND(IF(Interface!$E$22=Q15;1;0);IF(Interface!$E$16=Q$1;1;0));AND(IF(Interface!$E$29=Q15;1;0);IF(Interface!$E$25=Q$1;1;0)));1;0)</v>
      </c>
      <c r="T15" s="513" t="str">
        <f ca="1">IFERROR(__xludf.DUMMYFUNCTION("""COMPUTED_VALUE"""),"=1,12")</f>
        <v>=1,12</v>
      </c>
      <c r="U15" s="440" t="str">
        <f ca="1">IFERROR(__xludf.DUMMYFUNCTION("""COMPUTED_VALUE"""),"=""Shard 2""")</f>
        <v>="Shard 2"</v>
      </c>
      <c r="V15" s="441" t="str">
        <f ca="1">IFERROR(__xludf.DUMMYFUNCTION("""COMPUTED_VALUE"""),"=""Armor""")</f>
        <v>="Armor"</v>
      </c>
      <c r="W15" s="441" t="str">
        <f ca="1">IFERROR(__xludf.DUMMYFUNCTION("""COMPUTED_VALUE"""),"=if(Interface!$E$38=V15;1;0)")</f>
        <v>=if(Interface!$E$38=V15;1;0)</v>
      </c>
      <c r="X15" s="463" t="str">
        <f ca="1">IFERROR(__xludf.DUMMYFUNCTION("""COMPUTED_VALUE"""),"=IF(W15;6;0)")</f>
        <v>=IF(W15;6;0)</v>
      </c>
      <c r="Y15" s="443"/>
      <c r="Z15" s="443"/>
    </row>
    <row r="16" spans="1:26" ht="13.2">
      <c r="A16" s="445" t="str">
        <f ca="1">IFERROR(__xludf.DUMMYFUNCTION("""COMPUTED_VALUE"""),"=""Rune 3""")</f>
        <v>="Rune 3"</v>
      </c>
      <c r="B16" s="446" t="str">
        <f ca="1">IFERROR(__xludf.DUMMYFUNCTION("""COMPUTED_VALUE"""),"=""Bloodline""")</f>
        <v>="Bloodline"</v>
      </c>
      <c r="C16" s="397" t="str">
        <f ca="1">IFERROR(__xludf.DUMMYFUNCTION("""COMPUTED_VALUE"""),"=IF(OR(AND(IF(Interface!$E$22=A16;1;0);IF(Interface!$E$16=A$1;1;0));AND(IF(Interface!$E$29=A16;1;0);IF(Interface!$E$25=A$1;1;0)));1;0)")</f>
        <v>=IF(OR(AND(IF(Interface!$E$22=A16;1;0);IF(Interface!$E$16=A$1;1;0));AND(IF(Interface!$E$29=A16;1;0);IF(Interface!$E$25=A$1;1;0)));1;0)</v>
      </c>
      <c r="D16" s="634" t="str">
        <f ca="1">IFERROR(__xludf.DUMMYFUNCTION("""COMPUTED_VALUE"""),"=IF(C16;(0,0035*S_Legend) + IF(S_Legend = 10; 1,75%; 0);0)")</f>
        <v>=IF(C16;(0,0035*S_Legend) + IF(S_Legend = 10; 1,75%; 0);0)</v>
      </c>
      <c r="E16" s="447" t="str">
        <f ca="1">IFERROR(__xludf.DUMMYFUNCTION("""COMPUTED_VALUE"""),"=""Rune 3""")</f>
        <v>="Rune 3"</v>
      </c>
      <c r="F16" s="448" t="str">
        <f ca="1">IFERROR(__xludf.DUMMYFUNCTION("""COMPUTED_VALUE"""),"=""Eyeball Collection""")</f>
        <v>="Eyeball Collection"</v>
      </c>
      <c r="G16" s="401" t="str">
        <f ca="1">IFERROR(__xludf.DUMMYFUNCTION("""COMPUTED_VALUE"""),"=IF(OR(AND(IF(Interface!$E$22=E16;1;0);IF(Interface!$E$16=E$1;1;0));AND(IF(Interface!$E$29=E16;1;0);IF(Interface!$E$25=E$1;1;0)));1;0)")</f>
        <v>=IF(OR(AND(IF(Interface!$E$22=E16;1;0);IF(Interface!$E$16=E$1;1;0));AND(IF(Interface!$E$29=E16;1;0);IF(Interface!$E$25=E$1;1;0)));1;0)</v>
      </c>
      <c r="H16" s="465" t="str">
        <f ca="1">IFERROR(__xludf.DUMMYFUNCTION("""COMPUTED_VALUE"""),"=IF(G16;IF(S_Legend&gt;=10;15;S_Legend)*2;0)")</f>
        <v>=IF(G16;IF(S_Legend&gt;=10;15;S_Legend)*2;0)</v>
      </c>
      <c r="I16" s="449" t="str">
        <f ca="1">IFERROR(__xludf.DUMMYFUNCTION("""COMPUTED_VALUE"""),"=""Rune 3""")</f>
        <v>="Rune 3"</v>
      </c>
      <c r="J16" s="450" t="str">
        <f ca="1">IFERROR(__xludf.DUMMYFUNCTION("""COMPUTED_VALUE"""),"=""Absolute Focus""")</f>
        <v>="Absolute Focus"</v>
      </c>
      <c r="K16" s="405" t="str">
        <f ca="1">IFERROR(__xludf.DUMMYFUNCTION("""COMPUTED_VALUE"""),"=IF(OR(AND(IF(Interface!$E$22=I16;1;0);IF(Interface!$E$16=I$1;1;0));AND(IF(Interface!$E$29=I16;1;0);IF(Interface!$E$25=I$1;1;0)));1;0)")</f>
        <v>=IF(OR(AND(IF(Interface!$E$22=I16;1;0);IF(Interface!$E$16=I$1;1;0));AND(IF(Interface!$E$29=I16;1;0);IF(Interface!$E$25=I$1;1;0)));1;0)</v>
      </c>
      <c r="L16" s="515" t="str">
        <f ca="1">IFERROR(__xludf.DUMMYFUNCTION("""COMPUTED_VALUE"""),"=IF(K16;3+27*Sc_Lin;0)")</f>
        <v>=IF(K16;3+27*Sc_Lin;0)</v>
      </c>
      <c r="M16" s="452" t="str">
        <f ca="1">IFERROR(__xludf.DUMMYFUNCTION("""COMPUTED_VALUE"""),"=""Rune 3""")</f>
        <v>="Rune 3"</v>
      </c>
      <c r="N16" s="453" t="str">
        <f ca="1">IFERROR(__xludf.DUMMYFUNCTION("""COMPUTED_VALUE"""),"=""Bone Plating""")</f>
        <v>="Bone Plating"</v>
      </c>
      <c r="O16" s="409" t="str">
        <f ca="1">IFERROR(__xludf.DUMMYFUNCTION("""COMPUTED_VALUE"""),"=IF(OR(AND(IF(Interface!$E$22=M16;1;0);IF(Interface!$E$16=M$1;1;0));AND(IF(Interface!$E$29=M16;1;0);IF(Interface!$E$25=M$1;1;0)));1;0)")</f>
        <v>=IF(OR(AND(IF(Interface!$E$22=M16;1;0);IF(Interface!$E$16=M$1;1;0));AND(IF(Interface!$E$29=M16;1;0);IF(Interface!$E$25=M$1;1;0)));1;0)</v>
      </c>
      <c r="P16" s="467" t="str">
        <f ca="1">IFERROR(__xludf.DUMMYFUNCTION("""COMPUTED_VALUE"""),"=IF(O16;30+30*Sc_Lin;0)")</f>
        <v>=IF(O16;30+30*Sc_Lin;0)</v>
      </c>
      <c r="Q16" s="454" t="str">
        <f ca="1">IFERROR(__xludf.DUMMYFUNCTION("""COMPUTED_VALUE"""),"=""Rune 3""")</f>
        <v>="Rune 3"</v>
      </c>
      <c r="R16" s="516" t="str">
        <f ca="1">IFERROR(__xludf.DUMMYFUNCTION("""COMPUTED_VALUE"""),"=""Biscuit Delivery""")</f>
        <v>="Biscuit Delivery"</v>
      </c>
      <c r="S16" s="413" t="str">
        <f ca="1">IFERROR(__xludf.DUMMYFUNCTION("""COMPUTED_VALUE"""),"=IF(OR(AND(IF(Interface!$E$22=Q16;1;0);IF(Interface!$E$16=Q$1;1;0));AND(IF(Interface!$E$29=Q16;1;0);IF(Interface!$E$25=Q$1;1;0)));1;0)")</f>
        <v>=IF(OR(AND(IF(Interface!$E$22=Q16;1;0);IF(Interface!$E$16=Q$1;1;0));AND(IF(Interface!$E$29=Q16;1;0);IF(Interface!$E$25=Q$1;1;0)));1;0)</v>
      </c>
      <c r="T16" s="517" t="str">
        <f ca="1">IFERROR(__xludf.DUMMYFUNCTION("""COMPUTED_VALUE"""),"=IF(S16;if((rounddown(Gametime/2)*40)&gt;=120;120;(rounddown(Gametime/2)*40));0)")</f>
        <v>=IF(S16;if((rounddown(Gametime/2)*40)&gt;=120;120;(rounddown(Gametime/2)*40));0)</v>
      </c>
      <c r="U16" s="457" t="str">
        <f ca="1">IFERROR(__xludf.DUMMYFUNCTION("""COMPUTED_VALUE"""),"=""Shard 3""")</f>
        <v>="Shard 3"</v>
      </c>
      <c r="V16" s="417" t="str">
        <f ca="1">IFERROR(__xludf.DUMMYFUNCTION("""COMPUTED_VALUE"""),"=""Magic Resist""")</f>
        <v>="Magic Resist"</v>
      </c>
      <c r="W16" s="417" t="str">
        <f ca="1">IFERROR(__xludf.DUMMYFUNCTION("""COMPUTED_VALUE"""),"=if(Interface!$E$38=V16;1;0)")</f>
        <v>=if(Interface!$E$38=V16;1;0)</v>
      </c>
      <c r="X16" s="418" t="str">
        <f ca="1">IFERROR(__xludf.DUMMYFUNCTION("""COMPUTED_VALUE"""),"=IF(W16;8;0)")</f>
        <v>=IF(W16;8;0)</v>
      </c>
      <c r="Y16" s="419"/>
      <c r="Z16" s="419"/>
    </row>
    <row r="17" spans="1:26" ht="13.2">
      <c r="A17" s="420" t="str">
        <f ca="1">IFERROR(__xludf.DUMMYFUNCTION("""COMPUTED_VALUE"""),"=""Rune 4""")</f>
        <v>="Rune 4"</v>
      </c>
      <c r="B17" s="421"/>
      <c r="C17" s="422" t="str">
        <f ca="1">IFERROR(__xludf.DUMMYFUNCTION("""COMPUTED_VALUE"""),"=IF(OR(AND(IF(Interface!$E$22=A17;1;0);IF(Interface!$E$16=A$1;1;0));AND(IF(Interface!$E$29=A17;1;0);IF(Interface!$E$25=A$1;1;0)));1;0)")</f>
        <v>=IF(OR(AND(IF(Interface!$E$22=A17;1;0);IF(Interface!$E$16=A$1;1;0));AND(IF(Interface!$E$29=A17;1;0);IF(Interface!$E$25=A$1;1;0)));1;0)</v>
      </c>
      <c r="D17" s="502"/>
      <c r="E17" s="424" t="str">
        <f ca="1">IFERROR(__xludf.DUMMYFUNCTION("""COMPUTED_VALUE"""),"=""Rune 4""")</f>
        <v>="Rune 4"</v>
      </c>
      <c r="F17" s="425"/>
      <c r="G17" s="426" t="str">
        <f ca="1">IFERROR(__xludf.DUMMYFUNCTION("""COMPUTED_VALUE"""),"=IF(OR(AND(IF(Interface!$E$22=E17;1;0);IF(Interface!$E$16=E$1;1;0));AND(IF(Interface!$E$29=E17;1;0);IF(Interface!$E$25=E$1;1;0)));1;0)")</f>
        <v>=IF(OR(AND(IF(Interface!$E$22=E17;1;0);IF(Interface!$E$16=E$1;1;0));AND(IF(Interface!$E$29=E17;1;0);IF(Interface!$E$25=E$1;1;0)));1;0)</v>
      </c>
      <c r="H17" s="507"/>
      <c r="I17" s="428" t="str">
        <f ca="1">IFERROR(__xludf.DUMMYFUNCTION("""COMPUTED_VALUE"""),"=""Rune 4""")</f>
        <v>="Rune 4"</v>
      </c>
      <c r="J17" s="429"/>
      <c r="K17" s="430" t="str">
        <f ca="1">IFERROR(__xludf.DUMMYFUNCTION("""COMPUTED_VALUE"""),"=IF(OR(AND(IF(Interface!$E$22=I17;1;0);IF(Interface!$E$16=I$1;1;0));AND(IF(Interface!$E$29=I17;1;0);IF(Interface!$E$25=I$1;1;0)));1;0)")</f>
        <v>=IF(OR(AND(IF(Interface!$E$22=I17;1;0);IF(Interface!$E$16=I$1;1;0));AND(IF(Interface!$E$29=I17;1;0);IF(Interface!$E$25=I$1;1;0)));1;0)</v>
      </c>
      <c r="L17" s="461"/>
      <c r="M17" s="432" t="str">
        <f ca="1">IFERROR(__xludf.DUMMYFUNCTION("""COMPUTED_VALUE"""),"=""Rune 4""")</f>
        <v>="Rune 4"</v>
      </c>
      <c r="N17" s="433"/>
      <c r="O17" s="434" t="str">
        <f ca="1">IFERROR(__xludf.DUMMYFUNCTION("""COMPUTED_VALUE"""),"=IF(OR(AND(IF(Interface!$E$22=M17;1;0);IF(Interface!$E$16=M$1;1;0));AND(IF(Interface!$E$29=M17;1;0);IF(Interface!$E$25=M$1;1;0)));1;0)")</f>
        <v>=IF(OR(AND(IF(Interface!$E$22=M17;1;0);IF(Interface!$E$16=M$1;1;0));AND(IF(Interface!$E$29=M17;1;0);IF(Interface!$E$25=M$1;1;0)));1;0)</v>
      </c>
      <c r="P17" s="462"/>
      <c r="Q17" s="436" t="str">
        <f ca="1">IFERROR(__xludf.DUMMYFUNCTION("""COMPUTED_VALUE"""),"=""Rune 4""")</f>
        <v>="Rune 4"</v>
      </c>
      <c r="R17" s="518"/>
      <c r="S17" s="438" t="str">
        <f ca="1">IFERROR(__xludf.DUMMYFUNCTION("""COMPUTED_VALUE"""),"=IF(OR(AND(IF(Interface!$E$22=Q17;1;0);IF(Interface!$E$16=Q$1;1;0));AND(IF(Interface!$E$29=Q17;1;0);IF(Interface!$E$25=Q$1;1;0)));1;0)")</f>
        <v>=IF(OR(AND(IF(Interface!$E$22=Q17;1;0);IF(Interface!$E$16=Q$1;1;0));AND(IF(Interface!$E$29=Q17;1;0);IF(Interface!$E$25=Q$1;1;0)));1;0)</v>
      </c>
      <c r="T17" s="519"/>
      <c r="U17" s="440" t="str">
        <f ca="1">IFERROR(__xludf.DUMMYFUNCTION("""COMPUTED_VALUE"""),"=""Shard 4""")</f>
        <v>="Shard 4"</v>
      </c>
      <c r="V17" s="441"/>
      <c r="W17" s="441"/>
      <c r="X17" s="463"/>
      <c r="Y17" s="443"/>
      <c r="Z17" s="443"/>
    </row>
    <row r="18" spans="1:26" ht="13.2">
      <c r="A18" s="445" t="str">
        <f ca="1">IFERROR(__xludf.DUMMYFUNCTION("""COMPUTED_VALUE"""),"=""Rune 5""")</f>
        <v>="Rune 5"</v>
      </c>
      <c r="B18" s="446"/>
      <c r="C18" s="397" t="str">
        <f ca="1">IFERROR(__xludf.DUMMYFUNCTION("""COMPUTED_VALUE"""),"=IF(OR(AND(IF(Interface!$E$22=A18;1;0);IF(Interface!$E$16=A$1;1;0));AND(IF(Interface!$E$29=A18;1;0);IF(Interface!$E$25=A$1;1;0)));1;0)")</f>
        <v>=IF(OR(AND(IF(Interface!$E$22=A18;1;0);IF(Interface!$E$16=A$1;1;0));AND(IF(Interface!$E$29=A18;1;0);IF(Interface!$E$25=A$1;1;0)));1;0)</v>
      </c>
      <c r="D18" s="464"/>
      <c r="E18" s="447" t="str">
        <f ca="1">IFERROR(__xludf.DUMMYFUNCTION("""COMPUTED_VALUE"""),"=""Rune 5""")</f>
        <v>="Rune 5"</v>
      </c>
      <c r="F18" s="448"/>
      <c r="G18" s="401" t="str">
        <f ca="1">IFERROR(__xludf.DUMMYFUNCTION("""COMPUTED_VALUE"""),"=IF(OR(AND(IF(Interface!$E$22=E18;1;0);IF(Interface!$E$16=E$1;1;0));AND(IF(Interface!$E$29=E18;1;0);IF(Interface!$E$25=E$1;1;0)));1;0)")</f>
        <v>=IF(OR(AND(IF(Interface!$E$22=E18;1;0);IF(Interface!$E$16=E$1;1;0));AND(IF(Interface!$E$29=E18;1;0);IF(Interface!$E$25=E$1;1;0)));1;0)</v>
      </c>
      <c r="H18" s="465"/>
      <c r="I18" s="449" t="str">
        <f ca="1">IFERROR(__xludf.DUMMYFUNCTION("""COMPUTED_VALUE"""),"=""Rune 5""")</f>
        <v>="Rune 5"</v>
      </c>
      <c r="J18" s="450"/>
      <c r="K18" s="405" t="str">
        <f ca="1">IFERROR(__xludf.DUMMYFUNCTION("""COMPUTED_VALUE"""),"=IF(OR(AND(IF(Interface!$E$22=I18;1;0);IF(Interface!$E$16=I$1;1;0));AND(IF(Interface!$E$29=I18;1;0);IF(Interface!$E$25=I$1;1;0)));1;0)")</f>
        <v>=IF(OR(AND(IF(Interface!$E$22=I18;1;0);IF(Interface!$E$16=I$1;1;0));AND(IF(Interface!$E$29=I18;1;0);IF(Interface!$E$25=I$1;1;0)));1;0)</v>
      </c>
      <c r="L18" s="466"/>
      <c r="M18" s="452" t="str">
        <f ca="1">IFERROR(__xludf.DUMMYFUNCTION("""COMPUTED_VALUE"""),"=""Rune 5""")</f>
        <v>="Rune 5"</v>
      </c>
      <c r="N18" s="453"/>
      <c r="O18" s="409" t="str">
        <f ca="1">IFERROR(__xludf.DUMMYFUNCTION("""COMPUTED_VALUE"""),"=IF(OR(AND(IF(Interface!$E$22=M18;1;0);IF(Interface!$E$16=M$1;1;0));AND(IF(Interface!$E$29=M18;1;0);IF(Interface!$E$25=M$1;1;0)));1;0)")</f>
        <v>=IF(OR(AND(IF(Interface!$E$22=M18;1;0);IF(Interface!$E$16=M$1;1;0));AND(IF(Interface!$E$29=M18;1;0);IF(Interface!$E$25=M$1;1;0)));1;0)</v>
      </c>
      <c r="P18" s="467"/>
      <c r="Q18" s="454" t="str">
        <f ca="1">IFERROR(__xludf.DUMMYFUNCTION("""COMPUTED_VALUE"""),"=""Rune 5""")</f>
        <v>="Rune 5"</v>
      </c>
      <c r="R18" s="520"/>
      <c r="S18" s="413" t="str">
        <f ca="1">IFERROR(__xludf.DUMMYFUNCTION("""COMPUTED_VALUE"""),"=IF(OR(AND(IF(Interface!$E$22=Q18;1;0);IF(Interface!$E$16=Q$1;1;0));AND(IF(Interface!$E$29=Q18;1;0);IF(Interface!$E$25=Q$1;1;0)));1;0)")</f>
        <v>=IF(OR(AND(IF(Interface!$E$22=Q18;1;0);IF(Interface!$E$16=Q$1;1;0));AND(IF(Interface!$E$29=Q18;1;0);IF(Interface!$E$25=Q$1;1;0)));1;0)</v>
      </c>
      <c r="T18" s="521"/>
      <c r="U18" s="457" t="str">
        <f ca="1">IFERROR(__xludf.DUMMYFUNCTION("""COMPUTED_VALUE"""),"=""Shard 5""")</f>
        <v>="Shard 5"</v>
      </c>
      <c r="V18" s="417"/>
      <c r="W18" s="417"/>
      <c r="X18" s="418"/>
      <c r="Y18" s="419"/>
      <c r="Z18" s="419"/>
    </row>
    <row r="19" spans="1:26" ht="13.2">
      <c r="A19" s="468" t="str">
        <f ca="1">IFERROR(__xludf.DUMMYFUNCTION("""COMPUTED_VALUE"""),"=""Rune 6""")</f>
        <v>="Rune 6"</v>
      </c>
      <c r="B19" s="469"/>
      <c r="C19" s="470" t="str">
        <f ca="1">IFERROR(__xludf.DUMMYFUNCTION("""COMPUTED_VALUE"""),"=IF(OR(AND(IF(Interface!$E$22=A19;1;0);IF(Interface!$E$16=A$1;1;0));AND(IF(Interface!$E$29=A19;1;0);IF(Interface!$E$25=A$1;1;0)));1;0)")</f>
        <v>=IF(OR(AND(IF(Interface!$E$22=A19;1;0);IF(Interface!$E$16=A$1;1;0));AND(IF(Interface!$E$29=A19;1;0);IF(Interface!$E$25=A$1;1;0)));1;0)</v>
      </c>
      <c r="D19" s="471"/>
      <c r="E19" s="472" t="str">
        <f ca="1">IFERROR(__xludf.DUMMYFUNCTION("""COMPUTED_VALUE"""),"=""Rune 6""")</f>
        <v>="Rune 6"</v>
      </c>
      <c r="F19" s="473"/>
      <c r="G19" s="474" t="str">
        <f ca="1">IFERROR(__xludf.DUMMYFUNCTION("""COMPUTED_VALUE"""),"=IF(OR(AND(IF(Interface!$E$22=E19;1;0);IF(Interface!$E$16=E$1;1;0));AND(IF(Interface!$E$29=E19;1;0);IF(Interface!$E$25=E$1;1;0)));1;0)")</f>
        <v>=IF(OR(AND(IF(Interface!$E$22=E19;1;0);IF(Interface!$E$16=E$1;1;0));AND(IF(Interface!$E$29=E19;1;0);IF(Interface!$E$25=E$1;1;0)));1;0)</v>
      </c>
      <c r="H19" s="475"/>
      <c r="I19" s="476" t="str">
        <f ca="1">IFERROR(__xludf.DUMMYFUNCTION("""COMPUTED_VALUE"""),"=""Rune 6""")</f>
        <v>="Rune 6"</v>
      </c>
      <c r="J19" s="477"/>
      <c r="K19" s="478" t="str">
        <f ca="1">IFERROR(__xludf.DUMMYFUNCTION("""COMPUTED_VALUE"""),"=IF(OR(AND(IF(Interface!$E$22=I19;1;0);IF(Interface!$E$16=I$1;1;0));AND(IF(Interface!$E$29=I19;1;0);IF(Interface!$E$25=I$1;1;0)));1;0)")</f>
        <v>=IF(OR(AND(IF(Interface!$E$22=I19;1;0);IF(Interface!$E$16=I$1;1;0));AND(IF(Interface!$E$29=I19;1;0);IF(Interface!$E$25=I$1;1;0)));1;0)</v>
      </c>
      <c r="L19" s="479"/>
      <c r="M19" s="480" t="str">
        <f ca="1">IFERROR(__xludf.DUMMYFUNCTION("""COMPUTED_VALUE"""),"=""Rune 6""")</f>
        <v>="Rune 6"</v>
      </c>
      <c r="N19" s="481"/>
      <c r="O19" s="482" t="str">
        <f ca="1">IFERROR(__xludf.DUMMYFUNCTION("""COMPUTED_VALUE"""),"=IF(OR(AND(IF(Interface!$E$22=M19;1;0);IF(Interface!$E$16=M$1;1;0));AND(IF(Interface!$E$29=M19;1;0);IF(Interface!$E$25=M$1;1;0)));1;0)")</f>
        <v>=IF(OR(AND(IF(Interface!$E$22=M19;1;0);IF(Interface!$E$16=M$1;1;0));AND(IF(Interface!$E$29=M19;1;0);IF(Interface!$E$25=M$1;1;0)));1;0)</v>
      </c>
      <c r="P19" s="483"/>
      <c r="Q19" s="484" t="str">
        <f ca="1">IFERROR(__xludf.DUMMYFUNCTION("""COMPUTED_VALUE"""),"=""Rune 6""")</f>
        <v>="Rune 6"</v>
      </c>
      <c r="R19" s="485"/>
      <c r="S19" s="486" t="str">
        <f ca="1">IFERROR(__xludf.DUMMYFUNCTION("""COMPUTED_VALUE"""),"=IF(OR(AND(IF(Interface!$E$22=Q19;1;0);IF(Interface!$E$16=Q$1;1;0));AND(IF(Interface!$E$29=Q19;1;0);IF(Interface!$E$25=Q$1;1;0)));1;0)")</f>
        <v>=IF(OR(AND(IF(Interface!$E$22=Q19;1;0);IF(Interface!$E$16=Q$1;1;0));AND(IF(Interface!$E$29=Q19;1;0);IF(Interface!$E$25=Q$1;1;0)));1;0)</v>
      </c>
      <c r="T19" s="487"/>
      <c r="U19" s="488" t="str">
        <f ca="1">IFERROR(__xludf.DUMMYFUNCTION("""COMPUTED_VALUE"""),"=""Shard 6""")</f>
        <v>="Shard 6"</v>
      </c>
      <c r="V19" s="489" t="str">
        <f ca="1">IFERROR(__xludf.DUMMYFUNCTION("""COMPUTED_VALUE"""),"=""-""")</f>
        <v>="-"</v>
      </c>
      <c r="W19" s="489"/>
      <c r="X19" s="490" t="str">
        <f ca="1">IFERROR(__xludf.DUMMYFUNCTION("""COMPUTED_VALUE"""),"=0")</f>
        <v>=0</v>
      </c>
      <c r="Y19" s="443"/>
      <c r="Z19" s="443"/>
    </row>
    <row r="20" spans="1:26" ht="13.2">
      <c r="A20" s="395" t="str">
        <f ca="1">IFERROR(__xludf.DUMMYFUNCTION("""COMPUTED_VALUE"""),"=""Rune 1""")</f>
        <v>="Rune 1"</v>
      </c>
      <c r="B20" s="396" t="str">
        <f ca="1">IFERROR(__xludf.DUMMYFUNCTION("""COMPUTED_VALUE"""),"=""Coup de Grace""")</f>
        <v>="Coup de Grace"</v>
      </c>
      <c r="C20" s="491" t="str">
        <f ca="1">IFERROR(__xludf.DUMMYFUNCTION("""COMPUTED_VALUE"""),"=IF(OR(AND(IF(Interface!$E$24=A20;1;0);IF(Interface!$E$16=A$1;1;0));AND(IF(Interface!$E$31=A20;1;0);IF(Interface!$E$25=A$1;1;0)));1;0)")</f>
        <v>=IF(OR(AND(IF(Interface!$E$24=A20;1;0);IF(Interface!$E$16=A$1;1;0));AND(IF(Interface!$E$31=A20;1;0);IF(Interface!$E$25=A$1;1;0)));1;0)</v>
      </c>
      <c r="D20" s="508" t="str">
        <f ca="1">IFERROR(__xludf.DUMMYFUNCTION("""COMPUTED_VALUE"""),"=IF(AND(C20;E_CHP&lt;=40);1,08;1)")</f>
        <v>=IF(AND(C20;E_CHP&lt;=40);1,08;1)</v>
      </c>
      <c r="E20" s="399" t="str">
        <f ca="1">IFERROR(__xludf.DUMMYFUNCTION("""COMPUTED_VALUE"""),"=""Rune 1""")</f>
        <v>="Rune 1"</v>
      </c>
      <c r="F20" s="400" t="str">
        <f ca="1">IFERROR(__xludf.DUMMYFUNCTION("""COMPUTED_VALUE"""),"=""Treasure Hunter""")</f>
        <v>="Treasure Hunter"</v>
      </c>
      <c r="G20" s="493" t="str">
        <f ca="1">IFERROR(__xludf.DUMMYFUNCTION("""COMPUTED_VALUE"""),"=IF(OR(AND(IF(Interface!$E$24=E20;1;0);IF(Interface!$E$16=E$1;1;0));AND(IF(Interface!$E$31=E20;1;0);IF(Interface!$E$25=E$1;1;0)));1;0)")</f>
        <v>=IF(OR(AND(IF(Interface!$E$24=E20;1;0);IF(Interface!$E$16=E$1;1;0));AND(IF(Interface!$E$31=E20;1;0);IF(Interface!$E$25=E$1;1;0)));1;0)</v>
      </c>
      <c r="H20" s="635" t="str">
        <f ca="1">IFERROR(__xludf.DUMMYFUNCTION("""COMPUTED_VALUE"""),"=IF(G20;((S_Bounty*S_Bounty*20)/2+40*S_Bounty); 0)")</f>
        <v>=IF(G20;((S_Bounty*S_Bounty*20)/2+40*S_Bounty); 0)</v>
      </c>
      <c r="I20" s="403" t="str">
        <f ca="1">IFERROR(__xludf.DUMMYFUNCTION("""COMPUTED_VALUE"""),"=""Rune 1""")</f>
        <v>="Rune 1"</v>
      </c>
      <c r="J20" s="404" t="str">
        <f ca="1">IFERROR(__xludf.DUMMYFUNCTION("""COMPUTED_VALUE"""),"=""Scorch""")</f>
        <v>="Scorch"</v>
      </c>
      <c r="K20" s="495" t="str">
        <f ca="1">IFERROR(__xludf.DUMMYFUNCTION("""COMPUTED_VALUE"""),"=IF(OR(AND(IF(Interface!$E$24=I20;1;0);IF(Interface!$E$16=I$1;1;0));AND(IF(Interface!$E$31=I20;1;0);IF(Interface!$E$25=I$1;1;0)));1;0)")</f>
        <v>=IF(OR(AND(IF(Interface!$E$24=I20;1;0);IF(Interface!$E$16=I$1;1;0));AND(IF(Interface!$E$31=I20;1;0);IF(Interface!$E$25=I$1;1;0)));1;0)</v>
      </c>
      <c r="L20" s="523" t="str">
        <f ca="1">IFERROR(__xludf.DUMMYFUNCTION("""COMPUTED_VALUE"""),"=IF(K20;ROUND(20+20*Sc_Lin)*MOD_Magic;0)")</f>
        <v>=IF(K20;ROUND(20+20*Sc_Lin)*MOD_Magic;0)</v>
      </c>
      <c r="M20" s="407" t="str">
        <f ca="1">IFERROR(__xludf.DUMMYFUNCTION("""COMPUTED_VALUE"""),"=""Rune 1""")</f>
        <v>="Rune 1"</v>
      </c>
      <c r="N20" s="408" t="str">
        <f ca="1">IFERROR(__xludf.DUMMYFUNCTION("""COMPUTED_VALUE"""),"=""Overgrowth""")</f>
        <v>="Overgrowth"</v>
      </c>
      <c r="O20" s="497" t="str">
        <f ca="1">IFERROR(__xludf.DUMMYFUNCTION("""COMPUTED_VALUE"""),"=IF(OR(AND(IF(Interface!$E$24=M20;1;0);IF(Interface!$E$16=M$1;1;0));AND(IF(Interface!$E$31=M20;1;0);IF(Interface!$E$25=M$1;1;0)));1;0)")</f>
        <v>=IF(OR(AND(IF(Interface!$E$24=M20;1;0);IF(Interface!$E$16=M$1;1;0));AND(IF(Interface!$E$31=M20;1;0);IF(Interface!$E$25=M$1;1;0)));1;0)</v>
      </c>
      <c r="P20" s="498" t="str">
        <f ca="1">IFERROR(__xludf.DUMMYFUNCTION("""COMPUTED_VALUE"""),"=IF(O20;(3*ROUNDDOWN(Minion/8));0)")</f>
        <v>=IF(O20;(3*ROUNDDOWN(Minion/8));0)</v>
      </c>
      <c r="Q20" s="411" t="str">
        <f ca="1">IFERROR(__xludf.DUMMYFUNCTION("""COMPUTED_VALUE"""),"=""Rune 1""")</f>
        <v>="Rune 1"</v>
      </c>
      <c r="R20" s="412" t="str">
        <f ca="1">IFERROR(__xludf.DUMMYFUNCTION("""COMPUTED_VALUE"""),"=""Cosmic Insight""")</f>
        <v>="Cosmic Insight"</v>
      </c>
      <c r="S20" s="499" t="str">
        <f ca="1">IFERROR(__xludf.DUMMYFUNCTION("""COMPUTED_VALUE"""),"=IF(OR(AND(IF(Interface!$E$24=Q20;1;0);IF(Interface!$E$16=Q$1;1;0));AND(IF(Interface!$E$31=Q20;1;0);IF(Interface!$E$25=Q$1;1;0)));1;0)")</f>
        <v>=IF(OR(AND(IF(Interface!$E$24=Q20;1;0);IF(Interface!$E$16=Q$1;1;0));AND(IF(Interface!$E$31=Q20;1;0);IF(Interface!$E$25=Q$1;1;0)));1;0)</v>
      </c>
      <c r="T20" s="524" t="str">
        <f ca="1">IFERROR(__xludf.DUMMYFUNCTION("""COMPUTED_VALUE"""),"=IF(S20;0,15;0)")</f>
        <v>=IF(S20;0,15;0)</v>
      </c>
      <c r="U20" s="415" t="str">
        <f ca="1">IFERROR(__xludf.DUMMYFUNCTION("""COMPUTED_VALUE"""),"=""Shard 1""")</f>
        <v>="Shard 1"</v>
      </c>
      <c r="V20" s="416"/>
      <c r="W20" s="416"/>
      <c r="X20" s="501"/>
      <c r="Y20" s="419"/>
      <c r="Z20" s="419"/>
    </row>
    <row r="21" spans="1:26" ht="13.2">
      <c r="A21" s="420" t="str">
        <f ca="1">IFERROR(__xludf.DUMMYFUNCTION("""COMPUTED_VALUE"""),"=""Rune 2""")</f>
        <v>="Rune 2"</v>
      </c>
      <c r="B21" s="421" t="str">
        <f ca="1">IFERROR(__xludf.DUMMYFUNCTION("""COMPUTED_VALUE"""),"=""Cut Down""")</f>
        <v>="Cut Down"</v>
      </c>
      <c r="C21" s="422" t="str">
        <f ca="1">IFERROR(__xludf.DUMMYFUNCTION("""COMPUTED_VALUE"""),"=IF(OR(AND(IF(Interface!$E$24=A21;1;0);IF(Interface!$E$16=A$1;1;0));AND(IF(Interface!$E$31=A21;1;0);IF(Interface!$E$25=A$1;1;0)));1;0)")</f>
        <v>=IF(OR(AND(IF(Interface!$E$24=A21;1;0);IF(Interface!$E$16=A$1;1;0));AND(IF(Interface!$E$31=A21;1;0);IF(Interface!$E$25=A$1;1;0)));1;0)</v>
      </c>
      <c r="D21" s="525" t="str">
        <f ca="1">IFERROR(__xludf.DUMMYFUNCTION("""COMPUTED_VALUE"""),"=IF(C21;MIN(1,15;IF(E_MHP&gt;Self_MHP*1,1;1,05+0,1*(E_MHP/(Self_MHP+1)-1);1));1)")</f>
        <v>=IF(C21;MIN(1,15;IF(E_MHP&gt;Self_MHP*1,1;1,05+0,1*(E_MHP/(Self_MHP+1)-1);1));1)</v>
      </c>
      <c r="E21" s="424" t="str">
        <f ca="1">IFERROR(__xludf.DUMMYFUNCTION("""COMPUTED_VALUE"""),"=""Rune 2""")</f>
        <v>="Rune 2"</v>
      </c>
      <c r="F21" s="425" t="str">
        <f ca="1">IFERROR(__xludf.DUMMYFUNCTION("""COMPUTED_VALUE"""),"=""Ingenious Hunter""")</f>
        <v>="Ingenious Hunter"</v>
      </c>
      <c r="G21" s="426" t="str">
        <f ca="1">IFERROR(__xludf.DUMMYFUNCTION("""COMPUTED_VALUE"""),"=IF(OR(AND(IF(Interface!$E$24=E21;1;0);IF(Interface!$E$16=E$1;1;0));AND(IF(Interface!$E$31=E21;1;0);IF(Interface!$E$25=E$1;1;0)));1;0)")</f>
        <v>=IF(OR(AND(IF(Interface!$E$24=E21;1;0);IF(Interface!$E$16=E$1;1;0));AND(IF(Interface!$E$31=E21;1;0);IF(Interface!$E$25=E$1;1;0)));1;0)</v>
      </c>
      <c r="H21" s="636" t="str">
        <f ca="1">IFERROR(__xludf.DUMMYFUNCTION("""COMPUTED_VALUE"""),"=IF(G21; 0,2 + 0,06 * S_Bounty; 0)")</f>
        <v>=IF(G21; 0,2 + 0,06 * S_Bounty; 0)</v>
      </c>
      <c r="I21" s="428" t="str">
        <f ca="1">IFERROR(__xludf.DUMMYFUNCTION("""COMPUTED_VALUE"""),"=""Rune 2""")</f>
        <v>="Rune 2"</v>
      </c>
      <c r="J21" s="429" t="str">
        <f ca="1">IFERROR(__xludf.DUMMYFUNCTION("""COMPUTED_VALUE"""),"=""Waterwalking""")</f>
        <v>="Waterwalking"</v>
      </c>
      <c r="K21" s="430" t="str">
        <f ca="1">IFERROR(__xludf.DUMMYFUNCTION("""COMPUTED_VALUE"""),"=IF(OR(AND(IF(Interface!$E$24=I21;1;0);IF(Interface!$E$16=I$1;1;0));AND(IF(Interface!$E$31=I21;1;0);IF(Interface!$E$25=I$1;1;0)));1;0)")</f>
        <v>=IF(OR(AND(IF(Interface!$E$24=I21;1;0);IF(Interface!$E$16=I$1;1;0));AND(IF(Interface!$E$31=I21;1;0);IF(Interface!$E$25=I$1;1;0)));1;0)</v>
      </c>
      <c r="L21" s="527" t="str">
        <f ca="1">IFERROR(__xludf.DUMMYFUNCTION("""COMPUTED_VALUE"""),"=IF(K21;ROUND(5+25*Sc_Lin);0)")</f>
        <v>=IF(K21;ROUND(5+25*Sc_Lin);0)</v>
      </c>
      <c r="M21" s="432" t="str">
        <f ca="1">IFERROR(__xludf.DUMMYFUNCTION("""COMPUTED_VALUE"""),"=""Rune 2""")</f>
        <v>="Rune 2"</v>
      </c>
      <c r="N21" s="433" t="str">
        <f ca="1">IFERROR(__xludf.DUMMYFUNCTION("""COMPUTED_VALUE"""),"=""Revitalize""")</f>
        <v>="Revitalize"</v>
      </c>
      <c r="O21" s="434" t="str">
        <f ca="1">IFERROR(__xludf.DUMMYFUNCTION("""COMPUTED_VALUE"""),"=IF(OR(AND(IF(Interface!$E$24=M21;1;0);IF(Interface!$E$16=M$1;1;0));AND(IF(Interface!$E$31=M21;1;0);IF(Interface!$E$25=M$1;1;0)));1;0)")</f>
        <v>=IF(OR(AND(IF(Interface!$E$24=M21;1;0);IF(Interface!$E$16=M$1;1;0));AND(IF(Interface!$E$31=M21;1;0);IF(Interface!$E$25=M$1;1;0)));1;0)</v>
      </c>
      <c r="P21" s="462" t="str">
        <f ca="1">IFERROR(__xludf.DUMMYFUNCTION("""COMPUTED_VALUE"""),"=IF(O21;0,05+IF(Self_CHPP&lt;=40;0,1;0);0)")</f>
        <v>=IF(O21;0,05+IF(Self_CHPP&lt;=40;0,1;0);0)</v>
      </c>
      <c r="Q21" s="436" t="str">
        <f ca="1">IFERROR(__xludf.DUMMYFUNCTION("""COMPUTED_VALUE"""),"=""Rune 2""")</f>
        <v>="Rune 2"</v>
      </c>
      <c r="R21" s="437" t="str">
        <f ca="1">IFERROR(__xludf.DUMMYFUNCTION("""COMPUTED_VALUE"""),"=""Approach Velocity""")</f>
        <v>="Approach Velocity"</v>
      </c>
      <c r="S21" s="438" t="str">
        <f ca="1">IFERROR(__xludf.DUMMYFUNCTION("""COMPUTED_VALUE"""),"=IF(OR(AND(IF(Interface!$E$24=Q21;1;0);IF(Interface!$E$16=Q$1;1;0));AND(IF(Interface!$E$31=Q21;1;0);IF(Interface!$E$25=Q$1;1;0)));1;0)")</f>
        <v>=IF(OR(AND(IF(Interface!$E$24=Q21;1;0);IF(Interface!$E$16=Q$1;1;0));AND(IF(Interface!$E$31=Q21;1;0);IF(Interface!$E$25=Q$1;1;0)));1;0)</v>
      </c>
      <c r="T21" s="513" t="str">
        <f ca="1">IFERROR(__xludf.DUMMYFUNCTION("""COMPUTED_VALUE"""),"=IF(S21;0,075;0)")</f>
        <v>=IF(S21;0,075;0)</v>
      </c>
      <c r="U21" s="440" t="str">
        <f ca="1">IFERROR(__xludf.DUMMYFUNCTION("""COMPUTED_VALUE"""),"=""Shard 2""")</f>
        <v>="Shard 2"</v>
      </c>
      <c r="V21" s="441"/>
      <c r="W21" s="441"/>
      <c r="X21" s="463"/>
      <c r="Y21" s="443"/>
      <c r="Z21" s="443"/>
    </row>
    <row r="22" spans="1:26" ht="13.2">
      <c r="A22" s="445" t="str">
        <f ca="1">IFERROR(__xludf.DUMMYFUNCTION("""COMPUTED_VALUE"""),"=""Rune 3""")</f>
        <v>="Rune 3"</v>
      </c>
      <c r="B22" s="446" t="str">
        <f ca="1">IFERROR(__xludf.DUMMYFUNCTION("""COMPUTED_VALUE"""),"=""Last Stand""")</f>
        <v>="Last Stand"</v>
      </c>
      <c r="C22" s="397" t="str">
        <f ca="1">IFERROR(__xludf.DUMMYFUNCTION("""COMPUTED_VALUE"""),"=IF(OR(AND(IF(Interface!$E$24=A22;1;0);IF(Interface!$E$16=A$1;1;0));AND(IF(Interface!$E$31=A22;1;0);IF(Interface!$E$25=A$1;1;0)));1;0)")</f>
        <v>=IF(OR(AND(IF(Interface!$E$24=A22;1;0);IF(Interface!$E$16=A$1;1;0));AND(IF(Interface!$E$31=A22;1;0);IF(Interface!$E$25=A$1;1;0)));1;0)</v>
      </c>
      <c r="D22" s="528" t="str">
        <f ca="1">IFERROR(__xludf.DUMMYFUNCTION("""COMPUTED_VALUE"""),"=IF(C22;MIN(1,11;IF(Self_CHPP&lt;=60;1,05+(60-Self_CHPP)*0,002;1));1)")</f>
        <v>=IF(C22;MIN(1,11;IF(Self_CHPP&lt;=60;1,05+(60-Self_CHPP)*0,002;1));1)</v>
      </c>
      <c r="E22" s="447" t="str">
        <f ca="1">IFERROR(__xludf.DUMMYFUNCTION("""COMPUTED_VALUE"""),"=""Rune 3""")</f>
        <v>="Rune 3"</v>
      </c>
      <c r="F22" s="448" t="str">
        <f ca="1">IFERROR(__xludf.DUMMYFUNCTION("""COMPUTED_VALUE"""),"=""Relentless Hunter""")</f>
        <v>="Relentless Hunter"</v>
      </c>
      <c r="G22" s="401" t="str">
        <f ca="1">IFERROR(__xludf.DUMMYFUNCTION("""COMPUTED_VALUE"""),"=IF(OR(AND(IF(Interface!$E$24=E22;1;0);IF(Interface!$E$16=E$1;1;0));AND(IF(Interface!$E$31=E22;1;0);IF(Interface!$E$25=E$1;1;0)));1;0)")</f>
        <v>=IF(OR(AND(IF(Interface!$E$24=E22;1;0);IF(Interface!$E$16=E$1;1;0));AND(IF(Interface!$E$31=E22;1;0);IF(Interface!$E$25=E$1;1;0)));1;0)</v>
      </c>
      <c r="H22" s="504" t="str">
        <f ca="1">IFERROR(__xludf.DUMMYFUNCTION("""COMPUTED_VALUE"""),"=IF(G22;5+8*S_Bounty;0)")</f>
        <v>=IF(G22;5+8*S_Bounty;0)</v>
      </c>
      <c r="I22" s="449" t="str">
        <f ca="1">IFERROR(__xludf.DUMMYFUNCTION("""COMPUTED_VALUE"""),"=""Rune 3""")</f>
        <v>="Rune 3"</v>
      </c>
      <c r="J22" s="450" t="str">
        <f ca="1">IFERROR(__xludf.DUMMYFUNCTION("""COMPUTED_VALUE"""),"=""Gathering Storm""")</f>
        <v>="Gathering Storm"</v>
      </c>
      <c r="K22" s="405" t="str">
        <f ca="1">IFERROR(__xludf.DUMMYFUNCTION("""COMPUTED_VALUE"""),"=IF(OR(AND(IF(Interface!$E$24=I22;1;0);IF(Interface!$E$16=I$1;1;0));AND(IF(Interface!$E$31=I22;1;0);IF(Interface!$E$25=I$1;1;0)));1;0)")</f>
        <v>=IF(OR(AND(IF(Interface!$E$24=I22;1;0);IF(Interface!$E$16=I$1;1;0));AND(IF(Interface!$E$31=I22;1;0);IF(Interface!$E$25=I$1;1;0)));1;0)</v>
      </c>
      <c r="L22" s="406" t="str">
        <f ca="1">IFERROR(__xludf.DUMMYFUNCTION("""COMPUTED_VALUE"""),"=IF(K22;((ROUNDDOWN(Gametime/10;0)*(ROUNDDOWN(Gametime/10;0)*8)+8*(ROUNDDOWN(Gametime/10;0)))/2);0)")</f>
        <v>=IF(K22;((ROUNDDOWN(Gametime/10;0)*(ROUNDDOWN(Gametime/10;0)*8)+8*(ROUNDDOWN(Gametime/10;0)))/2);0)</v>
      </c>
      <c r="M22" s="452" t="str">
        <f ca="1">IFERROR(__xludf.DUMMYFUNCTION("""COMPUTED_VALUE"""),"=""Rune 3""")</f>
        <v>="Rune 3"</v>
      </c>
      <c r="N22" s="453" t="str">
        <f ca="1">IFERROR(__xludf.DUMMYFUNCTION("""COMPUTED_VALUE"""),"=""Unflinching""")</f>
        <v>="Unflinching"</v>
      </c>
      <c r="O22" s="409" t="str">
        <f ca="1">IFERROR(__xludf.DUMMYFUNCTION("""COMPUTED_VALUE"""),"=IF(OR(AND(IF(Interface!$E$24=M22;1;0);IF(Interface!$E$16=M$1;1;0));AND(IF(Interface!$E$31=M22;1;0);IF(Interface!$E$25=M$1;1;0)));1;0)")</f>
        <v>=IF(OR(AND(IF(Interface!$E$24=M22;1;0);IF(Interface!$E$16=M$1;1;0));AND(IF(Interface!$E$31=M22;1;0);IF(Interface!$E$25=M$1;1;0)));1;0)</v>
      </c>
      <c r="P22" s="529" t="str">
        <f ca="1">IFERROR(__xludf.DUMMYFUNCTION("""COMPUTED_VALUE"""),"=IF(O22;(0,05+(IF(Self_CHPP&lt;=30;0,2;IF(Self_CHPP&lt;=100;(100-Self_CHPP)*(0,2/70);0))));0)")</f>
        <v>=IF(O22;(0,05+(IF(Self_CHPP&lt;=30;0,2;IF(Self_CHPP&lt;=100;(100-Self_CHPP)*(0,2/70);0))));0)</v>
      </c>
      <c r="Q22" s="454" t="str">
        <f ca="1">IFERROR(__xludf.DUMMYFUNCTION("""COMPUTED_VALUE"""),"=""Rune 3""")</f>
        <v>="Rune 3"</v>
      </c>
      <c r="R22" s="455" t="str">
        <f ca="1">IFERROR(__xludf.DUMMYFUNCTION("""COMPUTED_VALUE"""),"=""Time Warp Tonic""")</f>
        <v>="Time Warp Tonic"</v>
      </c>
      <c r="S22" s="413" t="str">
        <f ca="1">IFERROR(__xludf.DUMMYFUNCTION("""COMPUTED_VALUE"""),"=IF(OR(AND(IF(Interface!$E$24=Q22;1;0);IF(Interface!$E$16=Q$1;1;0));AND(IF(Interface!$E$31=Q22;1;0);IF(Interface!$E$25=Q$1;1;0)));1;0)")</f>
        <v>=IF(OR(AND(IF(Interface!$E$24=Q22;1;0);IF(Interface!$E$16=Q$1;1;0));AND(IF(Interface!$E$31=Q22;1;0);IF(Interface!$E$25=Q$1;1;0)));1;0)</v>
      </c>
      <c r="T22" s="456" t="str">
        <f ca="1">IFERROR(__xludf.DUMMYFUNCTION("""COMPUTED_VALUE"""),"=IF(S22;0,02;0)")</f>
        <v>=IF(S22;0,02;0)</v>
      </c>
      <c r="U22" s="457" t="str">
        <f ca="1">IFERROR(__xludf.DUMMYFUNCTION("""COMPUTED_VALUE"""),"=""Shard 3""")</f>
        <v>="Shard 3"</v>
      </c>
      <c r="V22" s="417"/>
      <c r="W22" s="417"/>
      <c r="X22" s="418"/>
      <c r="Y22" s="419"/>
      <c r="Z22" s="419"/>
    </row>
    <row r="23" spans="1:26" ht="13.2">
      <c r="A23" s="420" t="str">
        <f ca="1">IFERROR(__xludf.DUMMYFUNCTION("""COMPUTED_VALUE"""),"=""Rune 4""")</f>
        <v>="Rune 4"</v>
      </c>
      <c r="B23" s="421"/>
      <c r="C23" s="422" t="str">
        <f ca="1">IFERROR(__xludf.DUMMYFUNCTION("""COMPUTED_VALUE"""),"=IF(OR(AND(IF(Interface!$E$24=A23;1;0);IF(Interface!$E$16=A$1;1;0));AND(IF(Interface!$E$31=A23;1;0);IF(Interface!$E$25=A$1;1;0)));1;0)")</f>
        <v>=IF(OR(AND(IF(Interface!$E$24=A23;1;0);IF(Interface!$E$16=A$1;1;0));AND(IF(Interface!$E$31=A23;1;0);IF(Interface!$E$25=A$1;1;0)));1;0)</v>
      </c>
      <c r="D23" s="502"/>
      <c r="E23" s="424" t="str">
        <f ca="1">IFERROR(__xludf.DUMMYFUNCTION("""COMPUTED_VALUE"""),"=""Rune 4""")</f>
        <v>="Rune 4"</v>
      </c>
      <c r="F23" s="425" t="str">
        <f ca="1">IFERROR(__xludf.DUMMYFUNCTION("""COMPUTED_VALUE"""),"=""Ultimate Hunter""")</f>
        <v>="Ultimate Hunter"</v>
      </c>
      <c r="G23" s="426" t="str">
        <f ca="1">IFERROR(__xludf.DUMMYFUNCTION("""COMPUTED_VALUE"""),"=IF(OR(AND(IF(Interface!$E$24=E23;1;0);IF(Interface!$E$16=E$1;1;0));AND(IF(Interface!$E$31=E23;1;0);IF(Interface!$E$25=E$1;1;0)));1;0)")</f>
        <v>=IF(OR(AND(IF(Interface!$E$24=E23;1;0);IF(Interface!$E$16=E$1;1;0));AND(IF(Interface!$E$31=E23;1;0);IF(Interface!$E$25=E$1;1;0)));1;0)</v>
      </c>
      <c r="H23" s="460" t="str">
        <f ca="1">IFERROR(__xludf.DUMMYFUNCTION("""COMPUTED_VALUE"""),"=IF(G23;0,06 + 0,05 * S_Bounty;0)")</f>
        <v>=IF(G23;0,06 + 0,05 * S_Bounty;0)</v>
      </c>
      <c r="I23" s="428" t="str">
        <f ca="1">IFERROR(__xludf.DUMMYFUNCTION("""COMPUTED_VALUE"""),"=""Rune 4""")</f>
        <v>="Rune 4"</v>
      </c>
      <c r="J23" s="429"/>
      <c r="K23" s="430" t="str">
        <f ca="1">IFERROR(__xludf.DUMMYFUNCTION("""COMPUTED_VALUE"""),"=IF(OR(AND(IF(Interface!$E$24=I23;1;0);IF(Interface!$E$16=I$1;1;0));AND(IF(Interface!$E$31=I23;1;0);IF(Interface!$E$25=I$1;1;0)));1;0)")</f>
        <v>=IF(OR(AND(IF(Interface!$E$24=I23;1;0);IF(Interface!$E$16=I$1;1;0));AND(IF(Interface!$E$31=I23;1;0);IF(Interface!$E$25=I$1;1;0)));1;0)</v>
      </c>
      <c r="L23" s="461"/>
      <c r="M23" s="432" t="str">
        <f ca="1">IFERROR(__xludf.DUMMYFUNCTION("""COMPUTED_VALUE"""),"=""Rune 4""")</f>
        <v>="Rune 4"</v>
      </c>
      <c r="N23" s="433"/>
      <c r="O23" s="434" t="str">
        <f ca="1">IFERROR(__xludf.DUMMYFUNCTION("""COMPUTED_VALUE"""),"=IF(OR(AND(IF(Interface!$E$24=M23;1;0);IF(Interface!$E$16=M$1;1;0));AND(IF(Interface!$E$31=M23;1;0);IF(Interface!$E$25=M$1;1;0)));1;0)")</f>
        <v>=IF(OR(AND(IF(Interface!$E$24=M23;1;0);IF(Interface!$E$16=M$1;1;0));AND(IF(Interface!$E$31=M23;1;0);IF(Interface!$E$25=M$1;1;0)));1;0)</v>
      </c>
      <c r="P23" s="462"/>
      <c r="Q23" s="436" t="str">
        <f ca="1">IFERROR(__xludf.DUMMYFUNCTION("""COMPUTED_VALUE"""),"=""Rune 4""")</f>
        <v>="Rune 4"</v>
      </c>
      <c r="R23" s="437"/>
      <c r="S23" s="438" t="str">
        <f ca="1">IFERROR(__xludf.DUMMYFUNCTION("""COMPUTED_VALUE"""),"=IF(OR(AND(IF(Interface!$E$24=Q23;1;0);IF(Interface!$E$16=Q$1;1;0));AND(IF(Interface!$E$31=Q23;1;0);IF(Interface!$E$25=Q$1;1;0)));1;0)")</f>
        <v>=IF(OR(AND(IF(Interface!$E$24=Q23;1;0);IF(Interface!$E$16=Q$1;1;0));AND(IF(Interface!$E$31=Q23;1;0);IF(Interface!$E$25=Q$1;1;0)));1;0)</v>
      </c>
      <c r="T23" s="439"/>
      <c r="U23" s="440" t="str">
        <f ca="1">IFERROR(__xludf.DUMMYFUNCTION("""COMPUTED_VALUE"""),"=""Shard 4""")</f>
        <v>="Shard 4"</v>
      </c>
      <c r="V23" s="441"/>
      <c r="W23" s="441"/>
      <c r="X23" s="463"/>
      <c r="Y23" s="443"/>
      <c r="Z23" s="443"/>
    </row>
    <row r="24" spans="1:26" ht="13.2">
      <c r="A24" s="445" t="str">
        <f ca="1">IFERROR(__xludf.DUMMYFUNCTION("""COMPUTED_VALUE"""),"=""Rune 5""")</f>
        <v>="Rune 5"</v>
      </c>
      <c r="B24" s="446"/>
      <c r="C24" s="397" t="str">
        <f ca="1">IFERROR(__xludf.DUMMYFUNCTION("""COMPUTED_VALUE"""),"=IF(OR(AND(IF(Interface!$E$24=A24;1;0);IF(Interface!$E$16=A$1;1;0));AND(IF(Interface!$E$31=A24;1;0);IF(Interface!$E$25=A$1;1;0)));1;0)")</f>
        <v>=IF(OR(AND(IF(Interface!$E$24=A24;1;0);IF(Interface!$E$16=A$1;1;0));AND(IF(Interface!$E$31=A24;1;0);IF(Interface!$E$25=A$1;1;0)));1;0)</v>
      </c>
      <c r="D24" s="464"/>
      <c r="E24" s="447" t="str">
        <f ca="1">IFERROR(__xludf.DUMMYFUNCTION("""COMPUTED_VALUE"""),"=""Rune 5""")</f>
        <v>="Rune 5"</v>
      </c>
      <c r="F24" s="448"/>
      <c r="G24" s="401" t="str">
        <f ca="1">IFERROR(__xludf.DUMMYFUNCTION("""COMPUTED_VALUE"""),"=IF(OR(AND(IF(Interface!$E$24=E24;1;0);IF(Interface!$E$16=E$1;1;0));AND(IF(Interface!$E$31=E24;1;0);IF(Interface!$E$25=E$1;1;0)));1;0)")</f>
        <v>=IF(OR(AND(IF(Interface!$E$24=E24;1;0);IF(Interface!$E$16=E$1;1;0));AND(IF(Interface!$E$31=E24;1;0);IF(Interface!$E$25=E$1;1;0)));1;0)</v>
      </c>
      <c r="H24" s="465"/>
      <c r="I24" s="449" t="str">
        <f ca="1">IFERROR(__xludf.DUMMYFUNCTION("""COMPUTED_VALUE"""),"=""Rune 5""")</f>
        <v>="Rune 5"</v>
      </c>
      <c r="J24" s="450"/>
      <c r="K24" s="405" t="str">
        <f ca="1">IFERROR(__xludf.DUMMYFUNCTION("""COMPUTED_VALUE"""),"=IF(OR(AND(IF(Interface!$E$24=I24;1;0);IF(Interface!$E$16=I$1;1;0));AND(IF(Interface!$E$31=I24;1;0);IF(Interface!$E$25=I$1;1;0)));1;0)")</f>
        <v>=IF(OR(AND(IF(Interface!$E$24=I24;1;0);IF(Interface!$E$16=I$1;1;0));AND(IF(Interface!$E$31=I24;1;0);IF(Interface!$E$25=I$1;1;0)));1;0)</v>
      </c>
      <c r="L24" s="466"/>
      <c r="M24" s="452" t="str">
        <f ca="1">IFERROR(__xludf.DUMMYFUNCTION("""COMPUTED_VALUE"""),"=""Rune 5""")</f>
        <v>="Rune 5"</v>
      </c>
      <c r="N24" s="453"/>
      <c r="O24" s="409" t="str">
        <f ca="1">IFERROR(__xludf.DUMMYFUNCTION("""COMPUTED_VALUE"""),"=IF(OR(AND(IF(Interface!$E$24=M24;1;0);IF(Interface!$E$16=M$1;1;0));AND(IF(Interface!$E$31=M24;1;0);IF(Interface!$E$25=M$1;1;0)));1;0)")</f>
        <v>=IF(OR(AND(IF(Interface!$E$24=M24;1;0);IF(Interface!$E$16=M$1;1;0));AND(IF(Interface!$E$31=M24;1;0);IF(Interface!$E$25=M$1;1;0)));1;0)</v>
      </c>
      <c r="P24" s="531"/>
      <c r="Q24" s="454" t="str">
        <f ca="1">IFERROR(__xludf.DUMMYFUNCTION("""COMPUTED_VALUE"""),"=""Rune 5""")</f>
        <v>="Rune 5"</v>
      </c>
      <c r="R24" s="455"/>
      <c r="S24" s="413" t="str">
        <f ca="1">IFERROR(__xludf.DUMMYFUNCTION("""COMPUTED_VALUE"""),"=IF(OR(AND(IF(Interface!$E$24=Q24;1;0);IF(Interface!$E$16=Q$1;1;0));AND(IF(Interface!$E$31=Q24;1;0);IF(Interface!$E$25=Q$1;1;0)));1;0)")</f>
        <v>=IF(OR(AND(IF(Interface!$E$24=Q24;1;0);IF(Interface!$E$16=Q$1;1;0));AND(IF(Interface!$E$31=Q24;1;0);IF(Interface!$E$25=Q$1;1;0)));1;0)</v>
      </c>
      <c r="T24" s="456"/>
      <c r="U24" s="457" t="str">
        <f ca="1">IFERROR(__xludf.DUMMYFUNCTION("""COMPUTED_VALUE"""),"=""Shard 5""")</f>
        <v>="Shard 5"</v>
      </c>
      <c r="V24" s="417"/>
      <c r="W24" s="417"/>
      <c r="X24" s="418"/>
      <c r="Y24" s="419"/>
      <c r="Z24" s="419"/>
    </row>
    <row r="25" spans="1:26" ht="13.2">
      <c r="A25" s="532" t="str">
        <f ca="1">IFERROR(__xludf.DUMMYFUNCTION("""COMPUTED_VALUE"""),"=""Rune 6""")</f>
        <v>="Rune 6"</v>
      </c>
      <c r="B25" s="533"/>
      <c r="C25" s="534" t="str">
        <f ca="1">IFERROR(__xludf.DUMMYFUNCTION("""COMPUTED_VALUE"""),"=IF(OR(AND(IF(Interface!$E$24=A25;1;0);IF(Interface!$E$16=A$1;1;0));AND(IF(Interface!$E$31=A25;1;0);IF(Interface!$E$25=A$1;1;0)));1;0)")</f>
        <v>=IF(OR(AND(IF(Interface!$E$24=A25;1;0);IF(Interface!$E$16=A$1;1;0));AND(IF(Interface!$E$31=A25;1;0);IF(Interface!$E$25=A$1;1;0)));1;0)</v>
      </c>
      <c r="D25" s="535"/>
      <c r="E25" s="536" t="str">
        <f ca="1">IFERROR(__xludf.DUMMYFUNCTION("""COMPUTED_VALUE"""),"=""Rune 6""")</f>
        <v>="Rune 6"</v>
      </c>
      <c r="F25" s="537"/>
      <c r="G25" s="538" t="str">
        <f ca="1">IFERROR(__xludf.DUMMYFUNCTION("""COMPUTED_VALUE"""),"=IF(OR(AND(IF(Interface!$E$24=E25;1;0);IF(Interface!$E$16=E$1;1;0));AND(IF(Interface!$E$31=E25;1;0);IF(Interface!$E$25=E$1;1;0)));1;0)")</f>
        <v>=IF(OR(AND(IF(Interface!$E$24=E25;1;0);IF(Interface!$E$16=E$1;1;0));AND(IF(Interface!$E$31=E25;1;0);IF(Interface!$E$25=E$1;1;0)));1;0)</v>
      </c>
      <c r="H25" s="539"/>
      <c r="I25" s="540" t="str">
        <f ca="1">IFERROR(__xludf.DUMMYFUNCTION("""COMPUTED_VALUE"""),"=""Rune 6""")</f>
        <v>="Rune 6"</v>
      </c>
      <c r="J25" s="541"/>
      <c r="K25" s="542" t="str">
        <f ca="1">IFERROR(__xludf.DUMMYFUNCTION("""COMPUTED_VALUE"""),"=IF(OR(AND(IF(Interface!$E$24=I25;1;0);IF(Interface!$E$16=I$1;1;0));AND(IF(Interface!$E$31=I25;1;0);IF(Interface!$E$25=I$1;1;0)));1;0)")</f>
        <v>=IF(OR(AND(IF(Interface!$E$24=I25;1;0);IF(Interface!$E$16=I$1;1;0));AND(IF(Interface!$E$31=I25;1;0);IF(Interface!$E$25=I$1;1;0)));1;0)</v>
      </c>
      <c r="L25" s="543"/>
      <c r="M25" s="544" t="str">
        <f ca="1">IFERROR(__xludf.DUMMYFUNCTION("""COMPUTED_VALUE"""),"=""Rune 6""")</f>
        <v>="Rune 6"</v>
      </c>
      <c r="N25" s="545"/>
      <c r="O25" s="546" t="str">
        <f ca="1">IFERROR(__xludf.DUMMYFUNCTION("""COMPUTED_VALUE"""),"=IF(OR(AND(IF(Interface!$E$24=M25;1;0);IF(Interface!$E$16=M$1;1;0));AND(IF(Interface!$E$31=M25;1;0);IF(Interface!$E$25=M$1;1;0)));1;0)")</f>
        <v>=IF(OR(AND(IF(Interface!$E$24=M25;1;0);IF(Interface!$E$16=M$1;1;0));AND(IF(Interface!$E$31=M25;1;0);IF(Interface!$E$25=M$1;1;0)));1;0)</v>
      </c>
      <c r="P25" s="547"/>
      <c r="Q25" s="548" t="str">
        <f ca="1">IFERROR(__xludf.DUMMYFUNCTION("""COMPUTED_VALUE"""),"=""Rune 6""")</f>
        <v>="Rune 6"</v>
      </c>
      <c r="R25" s="549"/>
      <c r="S25" s="550" t="str">
        <f ca="1">IFERROR(__xludf.DUMMYFUNCTION("""COMPUTED_VALUE"""),"=IF(OR(AND(IF(Interface!$E$24=Q25;1;0);IF(Interface!$E$16=Q$1;1;0));AND(IF(Interface!$E$31=Q25;1;0);IF(Interface!$E$25=Q$1;1;0)));1;0)")</f>
        <v>=IF(OR(AND(IF(Interface!$E$24=Q25;1;0);IF(Interface!$E$16=Q$1;1;0));AND(IF(Interface!$E$31=Q25;1;0);IF(Interface!$E$25=Q$1;1;0)));1;0)</v>
      </c>
      <c r="T25" s="551"/>
      <c r="U25" s="552" t="str">
        <f ca="1">IFERROR(__xludf.DUMMYFUNCTION("""COMPUTED_VALUE"""),"=""Shard 6""")</f>
        <v>="Shard 6"</v>
      </c>
      <c r="V25" s="553"/>
      <c r="W25" s="553"/>
      <c r="X25" s="554"/>
      <c r="Y25" s="443"/>
      <c r="Z25" s="443"/>
    </row>
  </sheetData>
  <mergeCells count="7">
    <mergeCell ref="U1:V1"/>
    <mergeCell ref="Y1:Z1"/>
    <mergeCell ref="A1:B1"/>
    <mergeCell ref="E1:F1"/>
    <mergeCell ref="I1:J1"/>
    <mergeCell ref="M1:N1"/>
    <mergeCell ref="Q1:R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Z200"/>
  <sheetViews>
    <sheetView workbookViewId="0"/>
  </sheetViews>
  <sheetFormatPr baseColWidth="10" defaultColWidth="12.6640625" defaultRowHeight="15" customHeight="1"/>
  <cols>
    <col min="1" max="1" width="67.88671875" customWidth="1"/>
    <col min="2" max="2" width="148.44140625" customWidth="1"/>
    <col min="3" max="26" width="12.6640625" hidden="1"/>
  </cols>
  <sheetData>
    <row r="1" spans="1:26" ht="15" customHeight="1">
      <c r="A1" s="150" t="str">
        <f ca="1">IFERROR(__xludf.DUMMYFUNCTION("IMPORTRANGE(""19QEmeWlm_IOMUgVC5P_7ofY_CkEZ4ULFNEedQ8mho9M"",""ChampInfo!A1:B200"")"),"-")</f>
        <v>-</v>
      </c>
      <c r="B1" s="637" t="str">
        <f ca="1">IFERROR(__xludf.DUMMYFUNCTION("""COMPUTED_VALUE"""),"Information about your specific champion will be shown here!")</f>
        <v>Information about your specific champion will be shown here!</v>
      </c>
      <c r="C1" s="150"/>
      <c r="D1" s="150"/>
      <c r="E1" s="150"/>
      <c r="F1" s="150"/>
      <c r="G1" s="150"/>
      <c r="H1" s="150"/>
      <c r="I1" s="150"/>
      <c r="J1" s="150"/>
      <c r="K1" s="150"/>
      <c r="L1" s="150"/>
      <c r="M1" s="150"/>
      <c r="N1" s="150"/>
      <c r="O1" s="150"/>
      <c r="P1" s="150"/>
      <c r="Q1" s="150"/>
      <c r="R1" s="150"/>
      <c r="S1" s="150"/>
      <c r="T1" s="150"/>
      <c r="U1" s="150"/>
      <c r="V1" s="150"/>
      <c r="W1" s="150"/>
      <c r="X1" s="150"/>
      <c r="Y1" s="150"/>
      <c r="Z1" s="150"/>
    </row>
    <row r="2" spans="1:26" ht="15" customHeight="1">
      <c r="A2" s="150" t="str">
        <f ca="1">IFERROR(__xludf.DUMMYFUNCTION("""COMPUTED_VALUE"""),"Aatrox")</f>
        <v>Aatrox</v>
      </c>
      <c r="B2" s="637" t="str">
        <f ca="1">IFERROR(__xludf.DUMMYFUNCTION("""COMPUTED_VALUE"""),"- Steroid: Q (Sweet spot damage)
- Steroid: R (Activates ultimate)
- Q is total damage")</f>
        <v>- Steroid: Q (Sweet spot damage)
- Steroid: R (Activates ultimate)
- Q is total damage</v>
      </c>
      <c r="C2" s="150"/>
      <c r="D2" s="150"/>
      <c r="E2" s="150"/>
      <c r="F2" s="150"/>
      <c r="G2" s="150"/>
      <c r="H2" s="150"/>
      <c r="I2" s="150"/>
      <c r="J2" s="150"/>
      <c r="K2" s="150"/>
      <c r="L2" s="150"/>
      <c r="M2" s="150"/>
      <c r="N2" s="150"/>
      <c r="O2" s="150"/>
      <c r="P2" s="150"/>
      <c r="Q2" s="150"/>
      <c r="R2" s="150"/>
      <c r="S2" s="150"/>
      <c r="T2" s="150"/>
      <c r="U2" s="150"/>
      <c r="V2" s="150"/>
      <c r="W2" s="150"/>
      <c r="X2" s="150"/>
      <c r="Y2" s="150"/>
      <c r="Z2" s="150"/>
    </row>
    <row r="3" spans="1:26" ht="15" customHeight="1">
      <c r="A3" s="150" t="str">
        <f ca="1">IFERROR(__xludf.DUMMYFUNCTION("""COMPUTED_VALUE"""),"Ahri")</f>
        <v>Ahri</v>
      </c>
      <c r="B3" s="637" t="str">
        <f ca="1">IFERROR(__xludf.DUMMYFUNCTION("""COMPUTED_VALUE"""),"- Steroid: W (Hitting all 3 fires)
- Steroid: E (Hit charm damage for other skills)
- Steroid: R (Hitting all 3 jumps)
- Q is total damage")</f>
        <v>- Steroid: W (Hitting all 3 fires)
- Steroid: E (Hit charm damage for other skills)
- Steroid: R (Hitting all 3 jumps)
- Q is total damage</v>
      </c>
      <c r="C3" s="150"/>
      <c r="D3" s="150"/>
      <c r="E3" s="150"/>
      <c r="F3" s="150"/>
      <c r="G3" s="150"/>
      <c r="H3" s="150"/>
      <c r="I3" s="150"/>
      <c r="J3" s="150"/>
      <c r="K3" s="150"/>
      <c r="L3" s="150"/>
      <c r="M3" s="150"/>
      <c r="N3" s="150"/>
      <c r="O3" s="150"/>
      <c r="P3" s="150"/>
      <c r="Q3" s="150"/>
      <c r="R3" s="150"/>
      <c r="S3" s="150"/>
      <c r="T3" s="150"/>
      <c r="U3" s="150"/>
      <c r="V3" s="150"/>
      <c r="W3" s="150"/>
      <c r="X3" s="150"/>
      <c r="Y3" s="150"/>
      <c r="Z3" s="150"/>
    </row>
    <row r="4" spans="1:26" ht="15" customHeight="1">
      <c r="A4" s="150" t="str">
        <f ca="1">IFERROR(__xludf.DUMMYFUNCTION("""COMPUTED_VALUE"""),"Akali")</f>
        <v>Akali</v>
      </c>
      <c r="B4" s="637" t="str">
        <f ca="1">IFERROR(__xludf.DUMMYFUNCTION("""COMPUTED_VALUE"""),"- W is energy restoration
- E is total damage
- R is total damage")</f>
        <v>- W is energy restoration
- E is total damage
- R is total damage</v>
      </c>
      <c r="C4" s="150"/>
      <c r="D4" s="150"/>
      <c r="E4" s="150"/>
      <c r="F4" s="150"/>
      <c r="G4" s="150"/>
      <c r="H4" s="150"/>
      <c r="I4" s="150"/>
      <c r="J4" s="150"/>
      <c r="K4" s="150"/>
      <c r="L4" s="150"/>
      <c r="M4" s="150"/>
      <c r="N4" s="150"/>
      <c r="O4" s="150"/>
      <c r="P4" s="150"/>
      <c r="Q4" s="150"/>
      <c r="R4" s="150"/>
      <c r="S4" s="150"/>
      <c r="T4" s="150"/>
      <c r="U4" s="150"/>
      <c r="V4" s="150"/>
      <c r="W4" s="150"/>
      <c r="X4" s="150"/>
      <c r="Y4" s="150"/>
      <c r="Z4" s="150"/>
    </row>
    <row r="5" spans="1:26" ht="15" customHeight="1">
      <c r="A5" s="150" t="str">
        <f ca="1">IFERROR(__xludf.DUMMYFUNCTION("""COMPUTED_VALUE"""),"Alistar")</f>
        <v>Alistar</v>
      </c>
      <c r="B5" s="637" t="str">
        <f ca="1">IFERROR(__xludf.DUMMYFUNCTION("""COMPUTED_VALUE"""),"- Steroid: R (Damage reduction [See physical/magic health])
- E is total damage")</f>
        <v>- Steroid: R (Damage reduction [See physical/magic health])
- E is total damage</v>
      </c>
      <c r="C5" s="150"/>
      <c r="D5" s="150"/>
      <c r="E5" s="150"/>
      <c r="F5" s="150"/>
      <c r="G5" s="150"/>
      <c r="H5" s="150"/>
      <c r="I5" s="150"/>
      <c r="J5" s="150"/>
      <c r="K5" s="150"/>
      <c r="L5" s="150"/>
      <c r="M5" s="150"/>
      <c r="N5" s="150"/>
      <c r="O5" s="150"/>
      <c r="P5" s="150"/>
      <c r="Q5" s="150"/>
      <c r="R5" s="150"/>
      <c r="S5" s="150"/>
      <c r="T5" s="150"/>
      <c r="U5" s="150"/>
      <c r="V5" s="150"/>
      <c r="W5" s="150"/>
      <c r="X5" s="150"/>
      <c r="Y5" s="150"/>
      <c r="Z5" s="150"/>
    </row>
    <row r="6" spans="1:26" ht="15" customHeight="1">
      <c r="A6" s="150" t="str">
        <f ca="1">IFERROR(__xludf.DUMMYFUNCTION("""COMPUTED_VALUE"""),"Amumu")</f>
        <v>Amumu</v>
      </c>
      <c r="B6" s="637" t="str">
        <f ca="1">IFERROR(__xludf.DUMMYFUNCTION("""COMPUTED_VALUE"""),"- Steroid: P (Applies passive)
- W is damage per second")</f>
        <v>- Steroid: P (Applies passive)
- W is damage per second</v>
      </c>
      <c r="C6" s="150"/>
      <c r="D6" s="150"/>
      <c r="E6" s="150"/>
      <c r="F6" s="150"/>
      <c r="G6" s="150"/>
      <c r="H6" s="150"/>
      <c r="I6" s="150"/>
      <c r="J6" s="150"/>
      <c r="K6" s="150"/>
      <c r="L6" s="150"/>
      <c r="M6" s="150"/>
      <c r="N6" s="150"/>
      <c r="O6" s="150"/>
      <c r="P6" s="150"/>
      <c r="Q6" s="150"/>
      <c r="R6" s="150"/>
      <c r="S6" s="150"/>
      <c r="T6" s="150"/>
      <c r="U6" s="150"/>
      <c r="V6" s="150"/>
      <c r="W6" s="150"/>
      <c r="X6" s="150"/>
      <c r="Y6" s="150"/>
      <c r="Z6" s="150"/>
    </row>
    <row r="7" spans="1:26" ht="15" customHeight="1">
      <c r="A7" s="150" t="str">
        <f ca="1">IFERROR(__xludf.DUMMYFUNCTION("""COMPUTED_VALUE"""),"Anivia")</f>
        <v>Anivia</v>
      </c>
      <c r="B7" s="637" t="str">
        <f ca="1">IFERROR(__xludf.DUMMYFUNCTION("""COMPUTED_VALUE"""),"- Steroid: Q (Double hit)
- Steroid: E (Empowered E)
- Steroid: R (Fully channeled ultimate)")</f>
        <v>- Steroid: Q (Double hit)
- Steroid: E (Empowered E)
- Steroid: R (Fully channeled ultimate)</v>
      </c>
      <c r="C7" s="150"/>
      <c r="D7" s="150"/>
      <c r="E7" s="150"/>
      <c r="F7" s="150"/>
      <c r="G7" s="150"/>
      <c r="H7" s="150"/>
      <c r="I7" s="150"/>
      <c r="J7" s="150"/>
      <c r="K7" s="150"/>
      <c r="L7" s="150"/>
      <c r="M7" s="150"/>
      <c r="N7" s="150"/>
      <c r="O7" s="150"/>
      <c r="P7" s="150"/>
      <c r="Q7" s="150"/>
      <c r="R7" s="150"/>
      <c r="S7" s="150"/>
      <c r="T7" s="150"/>
      <c r="U7" s="150"/>
      <c r="V7" s="150"/>
      <c r="W7" s="150"/>
      <c r="X7" s="150"/>
      <c r="Y7" s="150"/>
      <c r="Z7" s="150"/>
    </row>
    <row r="8" spans="1:26" ht="15" customHeight="1">
      <c r="A8" s="150" t="str">
        <f ca="1">IFERROR(__xludf.DUMMYFUNCTION("""COMPUTED_VALUE"""),"Annie")</f>
        <v>Annie</v>
      </c>
      <c r="B8" s="637" t="str">
        <f ca="1">IFERROR(__xludf.DUMMYFUNCTION("""COMPUTED_VALUE"""),"- Steroid: E (Movementspeed)")</f>
        <v>- Steroid: E (Movementspeed)</v>
      </c>
      <c r="C8" s="150"/>
      <c r="D8" s="150"/>
      <c r="E8" s="150"/>
      <c r="F8" s="150"/>
      <c r="G8" s="150"/>
      <c r="H8" s="150"/>
      <c r="I8" s="150"/>
      <c r="J8" s="150"/>
      <c r="K8" s="150"/>
      <c r="L8" s="150"/>
      <c r="M8" s="150"/>
      <c r="N8" s="150"/>
      <c r="O8" s="150"/>
      <c r="P8" s="150"/>
      <c r="Q8" s="150"/>
      <c r="R8" s="150"/>
      <c r="S8" s="150"/>
      <c r="T8" s="150"/>
      <c r="U8" s="150"/>
      <c r="V8" s="150"/>
      <c r="W8" s="150"/>
      <c r="X8" s="150"/>
      <c r="Y8" s="150"/>
      <c r="Z8" s="150"/>
    </row>
    <row r="9" spans="1:26" ht="15" customHeight="1">
      <c r="A9" s="150" t="str">
        <f ca="1">IFERROR(__xludf.DUMMYFUNCTION("""COMPUTED_VALUE"""),"Aphelios")</f>
        <v>Aphelios</v>
      </c>
      <c r="B9" s="637" t="str">
        <f ca="1">IFERROR(__xludf.DUMMYFUNCTION("""COMPUTED_VALUE"""),"- Skill points act as upgrade points
- Ult is single target only
- Crescendum DPS assumes a position where you have regular attack speed")</f>
        <v>- Skill points act as upgrade points
- Ult is single target only
- Crescendum DPS assumes a position where you have regular attack speed</v>
      </c>
      <c r="C9" s="150"/>
      <c r="D9" s="150"/>
      <c r="E9" s="150"/>
      <c r="F9" s="150"/>
      <c r="G9" s="150"/>
      <c r="H9" s="150"/>
      <c r="I9" s="150"/>
      <c r="J9" s="150"/>
      <c r="K9" s="150"/>
      <c r="L9" s="150"/>
      <c r="M9" s="150"/>
      <c r="N9" s="150"/>
      <c r="O9" s="150"/>
      <c r="P9" s="150"/>
      <c r="Q9" s="150"/>
      <c r="R9" s="150"/>
      <c r="S9" s="150"/>
      <c r="T9" s="150"/>
      <c r="U9" s="150"/>
      <c r="V9" s="150"/>
      <c r="W9" s="150"/>
      <c r="X9" s="150"/>
      <c r="Y9" s="150"/>
      <c r="Z9" s="150"/>
    </row>
    <row r="10" spans="1:26" ht="15" customHeight="1">
      <c r="A10" s="150" t="str">
        <f ca="1">IFERROR(__xludf.DUMMYFUNCTION("""COMPUTED_VALUE"""),"Ashe")</f>
        <v>Ashe</v>
      </c>
      <c r="B10" s="637" t="str">
        <f ca="1">IFERROR(__xludf.DUMMYFUNCTION("""COMPUTED_VALUE"""),"- Steroid: Q (Activates Q)
- Hit damage is with passive")</f>
        <v>- Steroid: Q (Activates Q)
- Hit damage is with passive</v>
      </c>
      <c r="C10" s="150"/>
      <c r="D10" s="150"/>
      <c r="E10" s="150"/>
      <c r="F10" s="150"/>
      <c r="G10" s="150"/>
      <c r="H10" s="150"/>
      <c r="I10" s="150"/>
      <c r="J10" s="150"/>
      <c r="K10" s="150"/>
      <c r="L10" s="150"/>
      <c r="M10" s="150"/>
      <c r="N10" s="150"/>
      <c r="O10" s="150"/>
      <c r="P10" s="150"/>
      <c r="Q10" s="150"/>
      <c r="R10" s="150"/>
      <c r="S10" s="150"/>
      <c r="T10" s="150"/>
      <c r="U10" s="150"/>
      <c r="V10" s="150"/>
      <c r="W10" s="150"/>
      <c r="X10" s="150"/>
      <c r="Y10" s="150"/>
      <c r="Z10" s="150"/>
    </row>
    <row r="11" spans="1:26" ht="15" customHeight="1">
      <c r="A11" s="150" t="str">
        <f ca="1">IFERROR(__xludf.DUMMYFUNCTION("""COMPUTED_VALUE"""),"Aurelion Sol")</f>
        <v>Aurelion Sol</v>
      </c>
      <c r="B11" s="637" t="str">
        <f ca="1">IFERROR(__xludf.DUMMYFUNCTION("""COMPUTED_VALUE"""),"- Minions act as Stardust stacks
- Q without steroid is damage per second channeling
- Steroid: Q (Show damage for the 3.25 sec duration)
- Steroid: W (Q damage in flight)")</f>
        <v>- Minions act as Stardust stacks
- Q without steroid is damage per second channeling
- Steroid: Q (Show damage for the 3.25 sec duration)
- Steroid: W (Q damage in flight)</v>
      </c>
      <c r="C11" s="150"/>
      <c r="D11" s="150"/>
      <c r="E11" s="150"/>
      <c r="F11" s="150"/>
      <c r="G11" s="150"/>
      <c r="H11" s="150"/>
      <c r="I11" s="150"/>
      <c r="J11" s="150"/>
      <c r="K11" s="150"/>
      <c r="L11" s="150"/>
      <c r="M11" s="150"/>
      <c r="N11" s="150"/>
      <c r="O11" s="150"/>
      <c r="P11" s="150"/>
      <c r="Q11" s="150"/>
      <c r="R11" s="150"/>
      <c r="S11" s="150"/>
      <c r="T11" s="150"/>
      <c r="U11" s="150"/>
      <c r="V11" s="150"/>
      <c r="W11" s="150"/>
      <c r="X11" s="150"/>
      <c r="Y11" s="150"/>
      <c r="Z11" s="150"/>
    </row>
    <row r="12" spans="1:26" ht="15" customHeight="1">
      <c r="A12" s="150" t="str">
        <f ca="1">IFERROR(__xludf.DUMMYFUNCTION("""COMPUTED_VALUE"""),"Azir")</f>
        <v>Azir</v>
      </c>
      <c r="B12" s="637" t="str">
        <f ca="1">IFERROR(__xludf.DUMMYFUNCTION("""COMPUTED_VALUE"""),"- Steroid: W (3 Soldier buff)")</f>
        <v>- Steroid: W (3 Soldier buff)</v>
      </c>
      <c r="C12" s="150"/>
      <c r="D12" s="150"/>
      <c r="E12" s="150"/>
      <c r="F12" s="150"/>
      <c r="G12" s="150"/>
      <c r="H12" s="150"/>
      <c r="I12" s="150"/>
      <c r="J12" s="150"/>
      <c r="K12" s="150"/>
      <c r="L12" s="150"/>
      <c r="M12" s="150"/>
      <c r="N12" s="150"/>
      <c r="O12" s="150"/>
      <c r="P12" s="150"/>
      <c r="Q12" s="150"/>
      <c r="R12" s="150"/>
      <c r="S12" s="150"/>
      <c r="T12" s="150"/>
      <c r="U12" s="150"/>
      <c r="V12" s="150"/>
      <c r="W12" s="150"/>
      <c r="X12" s="150"/>
      <c r="Y12" s="150"/>
      <c r="Z12" s="150"/>
    </row>
    <row r="13" spans="1:26" ht="15" customHeight="1">
      <c r="A13" s="150" t="str">
        <f ca="1">IFERROR(__xludf.DUMMYFUNCTION("""COMPUTED_VALUE"""),"Bard")</f>
        <v>Bard</v>
      </c>
      <c r="B13" s="637" t="str">
        <f ca="1">IFERROR(__xludf.DUMMYFUNCTION("""COMPUTED_VALUE"""),"- Gametime increases P damage")</f>
        <v>- Gametime increases P damage</v>
      </c>
      <c r="C13" s="150"/>
      <c r="D13" s="150"/>
      <c r="E13" s="150"/>
      <c r="F13" s="150"/>
      <c r="G13" s="150"/>
      <c r="H13" s="150"/>
      <c r="I13" s="150"/>
      <c r="J13" s="150"/>
      <c r="K13" s="150"/>
      <c r="L13" s="150"/>
      <c r="M13" s="150"/>
      <c r="N13" s="150"/>
      <c r="O13" s="150"/>
      <c r="P13" s="150"/>
      <c r="Q13" s="150"/>
      <c r="R13" s="150"/>
      <c r="S13" s="150"/>
      <c r="T13" s="150"/>
      <c r="U13" s="150"/>
      <c r="V13" s="150"/>
      <c r="W13" s="150"/>
      <c r="X13" s="150"/>
      <c r="Y13" s="150"/>
      <c r="Z13" s="150"/>
    </row>
    <row r="14" spans="1:26" ht="15" customHeight="1">
      <c r="A14" s="150" t="str">
        <f ca="1">IFERROR(__xludf.DUMMYFUNCTION("""COMPUTED_VALUE"""),"Blitzcrank")</f>
        <v>Blitzcrank</v>
      </c>
      <c r="B14" s="637" t="str">
        <f ca="1">IFERROR(__xludf.DUMMYFUNCTION("""COMPUTED_VALUE"""),"- Steroid: W (Attackspeed and dmg)
- Ultimate passive damage is in DPS")</f>
        <v>- Steroid: W (Attackspeed and dmg)
- Ultimate passive damage is in DPS</v>
      </c>
      <c r="C14" s="150"/>
      <c r="D14" s="150"/>
      <c r="E14" s="150"/>
      <c r="F14" s="150"/>
      <c r="G14" s="150"/>
      <c r="H14" s="150"/>
      <c r="I14" s="150"/>
      <c r="J14" s="150"/>
      <c r="K14" s="150"/>
      <c r="L14" s="150"/>
      <c r="M14" s="150"/>
      <c r="N14" s="150"/>
      <c r="O14" s="150"/>
      <c r="P14" s="150"/>
      <c r="Q14" s="150"/>
      <c r="R14" s="150"/>
      <c r="S14" s="150"/>
      <c r="T14" s="150"/>
      <c r="U14" s="150"/>
      <c r="V14" s="150"/>
      <c r="W14" s="150"/>
      <c r="X14" s="150"/>
      <c r="Y14" s="150"/>
      <c r="Z14" s="150"/>
    </row>
    <row r="15" spans="1:26" ht="15" customHeight="1">
      <c r="A15" s="150" t="str">
        <f ca="1">IFERROR(__xludf.DUMMYFUNCTION("""COMPUTED_VALUE"""),"Brand")</f>
        <v>Brand</v>
      </c>
      <c r="B15" s="637" t="str">
        <f ca="1">IFERROR(__xludf.DUMMYFUNCTION("""COMPUTED_VALUE"""),"- Steroid: W (Hit on blazed target)
- R damage is per jump
- P damage is the explosion")</f>
        <v>- Steroid: W (Hit on blazed target)
- R damage is per jump
- P damage is the explosion</v>
      </c>
      <c r="C15" s="150"/>
      <c r="D15" s="150"/>
      <c r="E15" s="150"/>
      <c r="F15" s="150"/>
      <c r="G15" s="150"/>
      <c r="H15" s="150"/>
      <c r="I15" s="150"/>
      <c r="J15" s="150"/>
      <c r="K15" s="150"/>
      <c r="L15" s="150"/>
      <c r="M15" s="150"/>
      <c r="N15" s="150"/>
      <c r="O15" s="150"/>
      <c r="P15" s="150"/>
      <c r="Q15" s="150"/>
      <c r="R15" s="150"/>
      <c r="S15" s="150"/>
      <c r="T15" s="150"/>
      <c r="U15" s="150"/>
      <c r="V15" s="150"/>
      <c r="W15" s="150"/>
      <c r="X15" s="150"/>
      <c r="Y15" s="150"/>
      <c r="Z15" s="150"/>
    </row>
    <row r="16" spans="1:26" ht="15" customHeight="1">
      <c r="A16" s="150" t="str">
        <f ca="1">IFERROR(__xludf.DUMMYFUNCTION("""COMPUTED_VALUE"""),"Braum")</f>
        <v>Braum</v>
      </c>
      <c r="B16" s="637" t="str">
        <f ca="1">IFERROR(__xludf.DUMMYFUNCTION("""COMPUTED_VALUE"""),"- Steroid: W (Armor and magic resist)
- Steroid: E (Damage reduction [See physical/magic health])")</f>
        <v>- Steroid: W (Armor and magic resist)
- Steroid: E (Damage reduction [See physical/magic health])</v>
      </c>
      <c r="C16" s="150"/>
      <c r="D16" s="150"/>
      <c r="E16" s="150"/>
      <c r="F16" s="150"/>
      <c r="G16" s="150"/>
      <c r="H16" s="150"/>
      <c r="I16" s="150"/>
      <c r="J16" s="150"/>
      <c r="K16" s="150"/>
      <c r="L16" s="150"/>
      <c r="M16" s="150"/>
      <c r="N16" s="150"/>
      <c r="O16" s="150"/>
      <c r="P16" s="150"/>
      <c r="Q16" s="150"/>
      <c r="R16" s="150"/>
      <c r="S16" s="150"/>
      <c r="T16" s="150"/>
      <c r="U16" s="150"/>
      <c r="V16" s="150"/>
      <c r="W16" s="150"/>
      <c r="X16" s="150"/>
      <c r="Y16" s="150"/>
      <c r="Z16" s="150"/>
    </row>
    <row r="17" spans="1:26" ht="15" customHeight="1">
      <c r="A17" s="150" t="str">
        <f ca="1">IFERROR(__xludf.DUMMYFUNCTION("""COMPUTED_VALUE"""),"Caitlyn")</f>
        <v>Caitlyn</v>
      </c>
      <c r="B17" s="637" t="str">
        <f ca="1">IFERROR(__xludf.DUMMYFUNCTION("""COMPUTED_VALUE"""),"- Headshot is bonus damage
- Headshot is in DPS")</f>
        <v>- Headshot is bonus damage
- Headshot is in DPS</v>
      </c>
      <c r="C17" s="150"/>
      <c r="D17" s="150"/>
      <c r="E17" s="150"/>
      <c r="F17" s="150"/>
      <c r="G17" s="150"/>
      <c r="H17" s="150"/>
      <c r="I17" s="150"/>
      <c r="J17" s="150"/>
      <c r="K17" s="150"/>
      <c r="L17" s="150"/>
      <c r="M17" s="150"/>
      <c r="N17" s="150"/>
      <c r="O17" s="150"/>
      <c r="P17" s="150"/>
      <c r="Q17" s="150"/>
      <c r="R17" s="150"/>
      <c r="S17" s="150"/>
      <c r="T17" s="150"/>
      <c r="U17" s="150"/>
      <c r="V17" s="150"/>
      <c r="W17" s="150"/>
      <c r="X17" s="150"/>
      <c r="Y17" s="150"/>
      <c r="Z17" s="150"/>
    </row>
    <row r="18" spans="1:26" ht="13.2">
      <c r="A18" s="150" t="str">
        <f ca="1">IFERROR(__xludf.DUMMYFUNCTION("""COMPUTED_VALUE"""),"Camille")</f>
        <v>Camille</v>
      </c>
      <c r="B18" s="637" t="str">
        <f ca="1">IFERROR(__xludf.DUMMYFUNCTION("""COMPUTED_VALUE"""),"- Steroid: Q (Empowered Q)
- Steroid: E (Attack speed)")</f>
        <v>- Steroid: Q (Empowered Q)
- Steroid: E (Attack speed)</v>
      </c>
      <c r="C18" s="150"/>
      <c r="D18" s="150"/>
      <c r="E18" s="150"/>
      <c r="F18" s="150"/>
      <c r="G18" s="150"/>
      <c r="H18" s="150"/>
      <c r="I18" s="150"/>
      <c r="J18" s="150"/>
      <c r="K18" s="150"/>
      <c r="L18" s="150"/>
      <c r="M18" s="150"/>
      <c r="N18" s="150"/>
      <c r="O18" s="150"/>
      <c r="P18" s="150"/>
      <c r="Q18" s="150"/>
      <c r="R18" s="150"/>
      <c r="S18" s="150"/>
      <c r="T18" s="150"/>
      <c r="U18" s="150"/>
      <c r="V18" s="150"/>
      <c r="W18" s="150"/>
      <c r="X18" s="150"/>
      <c r="Y18" s="150"/>
      <c r="Z18" s="150"/>
    </row>
    <row r="19" spans="1:26" ht="13.2">
      <c r="A19" s="150" t="str">
        <f ca="1">IFERROR(__xludf.DUMMYFUNCTION("""COMPUTED_VALUE"""),"Cassiopeia")</f>
        <v>Cassiopeia</v>
      </c>
      <c r="B19" s="637" t="str">
        <f ca="1">IFERROR(__xludf.DUMMYFUNCTION("""COMPUTED_VALUE"""),"- Steroid: E (Empowered E)
- Q and W are total damage")</f>
        <v>- Steroid: E (Empowered E)
- Q and W are total damage</v>
      </c>
      <c r="C19" s="150"/>
      <c r="D19" s="150"/>
      <c r="E19" s="150"/>
      <c r="F19" s="150"/>
      <c r="G19" s="150"/>
      <c r="H19" s="150"/>
      <c r="I19" s="150"/>
      <c r="J19" s="150"/>
      <c r="K19" s="150"/>
      <c r="L19" s="150"/>
      <c r="M19" s="150"/>
      <c r="N19" s="150"/>
      <c r="O19" s="150"/>
      <c r="P19" s="150"/>
      <c r="Q19" s="150"/>
      <c r="R19" s="150"/>
      <c r="S19" s="150"/>
      <c r="T19" s="150"/>
      <c r="U19" s="150"/>
      <c r="V19" s="150"/>
      <c r="W19" s="150"/>
      <c r="X19" s="150"/>
      <c r="Y19" s="150"/>
      <c r="Z19" s="150"/>
    </row>
    <row r="20" spans="1:26" ht="13.2">
      <c r="A20" s="150" t="str">
        <f ca="1">IFERROR(__xludf.DUMMYFUNCTION("""COMPUTED_VALUE"""),"Cho'Gath")</f>
        <v>Cho'Gath</v>
      </c>
      <c r="B20" s="637" t="str">
        <f ca="1">IFERROR(__xludf.DUMMYFUNCTION("""COMPUTED_VALUE"""),"- E is total damage (All hits)
- Enemies killed act as R stacks")</f>
        <v>- E is total damage (All hits)
- Enemies killed act as R stacks</v>
      </c>
      <c r="C20" s="150"/>
      <c r="D20" s="150"/>
      <c r="E20" s="150"/>
      <c r="F20" s="150"/>
      <c r="G20" s="150"/>
      <c r="H20" s="150"/>
      <c r="I20" s="150"/>
      <c r="J20" s="150"/>
      <c r="K20" s="150"/>
      <c r="L20" s="150"/>
      <c r="M20" s="150"/>
      <c r="N20" s="150"/>
      <c r="O20" s="150"/>
      <c r="P20" s="150"/>
      <c r="Q20" s="150"/>
      <c r="R20" s="150"/>
      <c r="S20" s="150"/>
      <c r="T20" s="150"/>
      <c r="U20" s="150"/>
      <c r="V20" s="150"/>
      <c r="W20" s="150"/>
      <c r="X20" s="150"/>
      <c r="Y20" s="150"/>
      <c r="Z20" s="150"/>
    </row>
    <row r="21" spans="1:26" ht="13.2">
      <c r="A21" s="150" t="str">
        <f ca="1">IFERROR(__xludf.DUMMYFUNCTION("""COMPUTED_VALUE"""),"Corki")</f>
        <v>Corki</v>
      </c>
      <c r="B21" s="637" t="str">
        <f ca="1">IFERROR(__xludf.DUMMYFUNCTION("""COMPUTED_VALUE"""),"- Steroid: R (Big rocket)
- W and E are total damage")</f>
        <v>- Steroid: R (Big rocket)
- W and E are total damage</v>
      </c>
      <c r="C21" s="150"/>
      <c r="D21" s="150"/>
      <c r="E21" s="150"/>
      <c r="F21" s="150"/>
      <c r="G21" s="150"/>
      <c r="H21" s="150"/>
      <c r="I21" s="150"/>
      <c r="J21" s="150"/>
      <c r="K21" s="150"/>
      <c r="L21" s="150"/>
      <c r="M21" s="150"/>
      <c r="N21" s="150"/>
      <c r="O21" s="150"/>
      <c r="P21" s="150"/>
      <c r="Q21" s="150"/>
      <c r="R21" s="150"/>
      <c r="S21" s="150"/>
      <c r="T21" s="150"/>
      <c r="U21" s="150"/>
      <c r="V21" s="150"/>
      <c r="W21" s="150"/>
      <c r="X21" s="150"/>
      <c r="Y21" s="150"/>
      <c r="Z21" s="150"/>
    </row>
    <row r="22" spans="1:26" ht="13.2">
      <c r="A22" s="150" t="str">
        <f ca="1">IFERROR(__xludf.DUMMYFUNCTION("""COMPUTED_VALUE"""),"Darius")</f>
        <v>Darius</v>
      </c>
      <c r="B22" s="637" t="str">
        <f ca="1">IFERROR(__xludf.DUMMYFUNCTION("""COMPUTED_VALUE"""),"- Steroid: P (Gives the fully stacked buff) 
- Steroid: R (Uses ult on a fully stacked target)
- P damage is per stack
- Q damage is the outer ring")</f>
        <v>- Steroid: P (Gives the fully stacked buff) 
- Steroid: R (Uses ult on a fully stacked target)
- P damage is per stack
- Q damage is the outer ring</v>
      </c>
      <c r="C22" s="150"/>
      <c r="D22" s="150"/>
      <c r="E22" s="150"/>
      <c r="F22" s="150"/>
      <c r="G22" s="150"/>
      <c r="H22" s="150"/>
      <c r="I22" s="150"/>
      <c r="J22" s="150"/>
      <c r="K22" s="150"/>
      <c r="L22" s="150"/>
      <c r="M22" s="150"/>
      <c r="N22" s="150"/>
      <c r="O22" s="150"/>
      <c r="P22" s="150"/>
      <c r="Q22" s="150"/>
      <c r="R22" s="150"/>
      <c r="S22" s="150"/>
      <c r="T22" s="150"/>
      <c r="U22" s="150"/>
      <c r="V22" s="150"/>
      <c r="W22" s="150"/>
      <c r="X22" s="150"/>
      <c r="Y22" s="150"/>
      <c r="Z22" s="150"/>
    </row>
    <row r="23" spans="1:26" ht="13.2">
      <c r="A23" s="150" t="str">
        <f ca="1">IFERROR(__xludf.DUMMYFUNCTION("""COMPUTED_VALUE"""),"Diana")</f>
        <v>Diana</v>
      </c>
      <c r="B23" s="637" t="str">
        <f ca="1">IFERROR(__xludf.DUMMYFUNCTION("""COMPUTED_VALUE"""),"- Steroid: P (Triple passive attack speed)
- Steroid: R (Hit 5 enemies)
- W is total damage")</f>
        <v>- Steroid: P (Triple passive attack speed)
- Steroid: R (Hit 5 enemies)
- W is total damage</v>
      </c>
      <c r="C23" s="150"/>
      <c r="D23" s="150"/>
      <c r="E23" s="150"/>
      <c r="F23" s="150"/>
      <c r="G23" s="150"/>
      <c r="H23" s="150"/>
      <c r="I23" s="150"/>
      <c r="J23" s="150"/>
      <c r="K23" s="150"/>
      <c r="L23" s="150"/>
      <c r="M23" s="150"/>
      <c r="N23" s="150"/>
      <c r="O23" s="150"/>
      <c r="P23" s="150"/>
      <c r="Q23" s="150"/>
      <c r="R23" s="150"/>
      <c r="S23" s="150"/>
      <c r="T23" s="150"/>
      <c r="U23" s="150"/>
      <c r="V23" s="150"/>
      <c r="W23" s="150"/>
      <c r="X23" s="150"/>
      <c r="Y23" s="150"/>
      <c r="Z23" s="150"/>
    </row>
    <row r="24" spans="1:26" ht="13.2">
      <c r="A24" s="150" t="str">
        <f ca="1">IFERROR(__xludf.DUMMYFUNCTION("""COMPUTED_VALUE"""),"Dr, Mundo")</f>
        <v>Dr, Mundo</v>
      </c>
      <c r="B24" s="637" t="str">
        <f ca="1">IFERROR(__xludf.DUMMYFUNCTION("""COMPUTED_VALUE"""),"- Steroid: R (Maximum life regen)
- W is total damage
- R is healing
- P is pickup healing")</f>
        <v>- Steroid: R (Maximum life regen)
- W is total damage
- R is healing
- P is pickup healing</v>
      </c>
      <c r="C24" s="150"/>
      <c r="D24" s="150"/>
      <c r="E24" s="150"/>
      <c r="F24" s="150"/>
      <c r="G24" s="150"/>
      <c r="H24" s="150"/>
      <c r="I24" s="150"/>
      <c r="J24" s="150"/>
      <c r="K24" s="150"/>
      <c r="L24" s="150"/>
      <c r="M24" s="150"/>
      <c r="N24" s="150"/>
      <c r="O24" s="150"/>
      <c r="P24" s="150"/>
      <c r="Q24" s="150"/>
      <c r="R24" s="150"/>
      <c r="S24" s="150"/>
      <c r="T24" s="150"/>
      <c r="U24" s="150"/>
      <c r="V24" s="150"/>
      <c r="W24" s="150"/>
      <c r="X24" s="150"/>
      <c r="Y24" s="150"/>
      <c r="Z24" s="150"/>
    </row>
    <row r="25" spans="1:26" ht="13.2">
      <c r="A25" s="150" t="str">
        <f ca="1">IFERROR(__xludf.DUMMYFUNCTION("""COMPUTED_VALUE"""),"Draven")</f>
        <v>Draven</v>
      </c>
      <c r="B25" s="637" t="str">
        <f ca="1">IFERROR(__xludf.DUMMYFUNCTION("""COMPUTED_VALUE"""),"- Steroid: W (Attackspeed)
- Q is bonus damage
- Will build his Q into DPS soon")</f>
        <v>- Steroid: W (Attackspeed)
- Q is bonus damage
- Will build his Q into DPS soon</v>
      </c>
      <c r="C25" s="150"/>
      <c r="D25" s="150"/>
      <c r="E25" s="150"/>
      <c r="F25" s="150"/>
      <c r="G25" s="150"/>
      <c r="H25" s="150"/>
      <c r="I25" s="150"/>
      <c r="J25" s="150"/>
      <c r="K25" s="150"/>
      <c r="L25" s="150"/>
      <c r="M25" s="150"/>
      <c r="N25" s="150"/>
      <c r="O25" s="150"/>
      <c r="P25" s="150"/>
      <c r="Q25" s="150"/>
      <c r="R25" s="150"/>
      <c r="S25" s="150"/>
      <c r="T25" s="150"/>
      <c r="U25" s="150"/>
      <c r="V25" s="150"/>
      <c r="W25" s="150"/>
      <c r="X25" s="150"/>
      <c r="Y25" s="150"/>
      <c r="Z25" s="150"/>
    </row>
    <row r="26" spans="1:26" ht="13.2">
      <c r="A26" s="150" t="str">
        <f ca="1">IFERROR(__xludf.DUMMYFUNCTION("""COMPUTED_VALUE"""),"Ekko")</f>
        <v>Ekko</v>
      </c>
      <c r="B26" s="637" t="str">
        <f ca="1">IFERROR(__xludf.DUMMYFUNCTION("""COMPUTED_VALUE"""),"- Q is total damage
- W is shield")</f>
        <v>- Q is total damage
- W is shield</v>
      </c>
      <c r="C26" s="150"/>
      <c r="D26" s="150"/>
      <c r="E26" s="150"/>
      <c r="F26" s="150"/>
      <c r="G26" s="150"/>
      <c r="H26" s="150"/>
      <c r="I26" s="150"/>
      <c r="J26" s="150"/>
      <c r="K26" s="150"/>
      <c r="L26" s="150"/>
      <c r="M26" s="150"/>
      <c r="N26" s="150"/>
      <c r="O26" s="150"/>
      <c r="P26" s="150"/>
      <c r="Q26" s="150"/>
      <c r="R26" s="150"/>
      <c r="S26" s="150"/>
      <c r="T26" s="150"/>
      <c r="U26" s="150"/>
      <c r="V26" s="150"/>
      <c r="W26" s="150"/>
      <c r="X26" s="150"/>
      <c r="Y26" s="150"/>
      <c r="Z26" s="150"/>
    </row>
    <row r="27" spans="1:26" ht="13.2">
      <c r="A27" s="150" t="str">
        <f ca="1">IFERROR(__xludf.DUMMYFUNCTION("""COMPUTED_VALUE"""),"Elise")</f>
        <v>Elise</v>
      </c>
      <c r="B27" s="637" t="str">
        <f ca="1">IFERROR(__xludf.DUMMYFUNCTION("""COMPUTED_VALUE"""),"- Form: Change into spider form
- Steroid: W (Spider form to activate W)")</f>
        <v>- Form: Change into spider form
- Steroid: W (Spider form to activate W)</v>
      </c>
      <c r="C27" s="150"/>
      <c r="D27" s="150"/>
      <c r="E27" s="150"/>
      <c r="F27" s="150"/>
      <c r="G27" s="150"/>
      <c r="H27" s="150"/>
      <c r="I27" s="150"/>
      <c r="J27" s="150"/>
      <c r="K27" s="150"/>
      <c r="L27" s="150"/>
      <c r="M27" s="150"/>
      <c r="N27" s="150"/>
      <c r="O27" s="150"/>
      <c r="P27" s="150"/>
      <c r="Q27" s="150"/>
      <c r="R27" s="150"/>
      <c r="S27" s="150"/>
      <c r="T27" s="150"/>
      <c r="U27" s="150"/>
      <c r="V27" s="150"/>
      <c r="W27" s="150"/>
      <c r="X27" s="150"/>
      <c r="Y27" s="150"/>
      <c r="Z27" s="150"/>
    </row>
    <row r="28" spans="1:26" ht="13.2">
      <c r="A28" s="150" t="str">
        <f ca="1">IFERROR(__xludf.DUMMYFUNCTION("""COMPUTED_VALUE"""),"Evelynn")</f>
        <v>Evelynn</v>
      </c>
      <c r="B28" s="637" t="str">
        <f ca="1">IFERROR(__xludf.DUMMYFUNCTION("""COMPUTED_VALUE"""),"- Q is total damage
- R damage doubled if EHP&lt;30%")</f>
        <v>- Q is total damage
- R damage doubled if EHP&lt;30%</v>
      </c>
      <c r="C28" s="150"/>
      <c r="D28" s="150"/>
      <c r="E28" s="150"/>
      <c r="F28" s="150"/>
      <c r="G28" s="150"/>
      <c r="H28" s="150"/>
      <c r="I28" s="150"/>
      <c r="J28" s="150"/>
      <c r="K28" s="150"/>
      <c r="L28" s="150"/>
      <c r="M28" s="150"/>
      <c r="N28" s="150"/>
      <c r="O28" s="150"/>
      <c r="P28" s="150"/>
      <c r="Q28" s="150"/>
      <c r="R28" s="150"/>
      <c r="S28" s="150"/>
      <c r="T28" s="150"/>
      <c r="U28" s="150"/>
      <c r="V28" s="150"/>
      <c r="W28" s="150"/>
      <c r="X28" s="150"/>
      <c r="Y28" s="150"/>
      <c r="Z28" s="150"/>
    </row>
    <row r="29" spans="1:26" ht="13.2">
      <c r="A29" s="150" t="str">
        <f ca="1">IFERROR(__xludf.DUMMYFUNCTION("""COMPUTED_VALUE"""),"Ezreal")</f>
        <v>Ezreal</v>
      </c>
      <c r="B29" s="637" t="str">
        <f ca="1">IFERROR(__xludf.DUMMYFUNCTION("""COMPUTED_VALUE"""),"- Steroid: P (Fully stacked)
- Sheen damage is already in Q damage")</f>
        <v>- Steroid: P (Fully stacked)
- Sheen damage is already in Q damage</v>
      </c>
      <c r="C29" s="150"/>
      <c r="D29" s="150"/>
      <c r="E29" s="150"/>
      <c r="F29" s="150"/>
      <c r="G29" s="150"/>
      <c r="H29" s="150"/>
      <c r="I29" s="150"/>
      <c r="J29" s="150"/>
      <c r="K29" s="150"/>
      <c r="L29" s="150"/>
      <c r="M29" s="150"/>
      <c r="N29" s="150"/>
      <c r="O29" s="150"/>
      <c r="P29" s="150"/>
      <c r="Q29" s="150"/>
      <c r="R29" s="150"/>
      <c r="S29" s="150"/>
      <c r="T29" s="150"/>
      <c r="U29" s="150"/>
      <c r="V29" s="150"/>
      <c r="W29" s="150"/>
      <c r="X29" s="150"/>
      <c r="Y29" s="150"/>
      <c r="Z29" s="150"/>
    </row>
    <row r="30" spans="1:26" ht="13.2">
      <c r="A30" s="150" t="str">
        <f ca="1">IFERROR(__xludf.DUMMYFUNCTION("""COMPUTED_VALUE"""),"Fiddlesticks")</f>
        <v>Fiddlesticks</v>
      </c>
      <c r="B30" s="637" t="str">
        <f ca="1">IFERROR(__xludf.DUMMYFUNCTION("""COMPUTED_VALUE"""),"- Steroid: Q (Double damage)
- W and R are total damage")</f>
        <v>- Steroid: Q (Double damage)
- W and R are total damage</v>
      </c>
      <c r="C30" s="150"/>
      <c r="D30" s="150"/>
      <c r="E30" s="150"/>
      <c r="F30" s="150"/>
      <c r="G30" s="150"/>
      <c r="H30" s="150"/>
      <c r="I30" s="150"/>
      <c r="J30" s="150"/>
      <c r="K30" s="150"/>
      <c r="L30" s="150"/>
      <c r="M30" s="150"/>
      <c r="N30" s="150"/>
      <c r="O30" s="150"/>
      <c r="P30" s="150"/>
      <c r="Q30" s="150"/>
      <c r="R30" s="150"/>
      <c r="S30" s="150"/>
      <c r="T30" s="150"/>
      <c r="U30" s="150"/>
      <c r="V30" s="150"/>
      <c r="W30" s="150"/>
      <c r="X30" s="150"/>
      <c r="Y30" s="150"/>
      <c r="Z30" s="150"/>
    </row>
    <row r="31" spans="1:26" ht="13.2">
      <c r="A31" s="150" t="str">
        <f ca="1">IFERROR(__xludf.DUMMYFUNCTION("""COMPUTED_VALUE"""),"Fiora")</f>
        <v>Fiora</v>
      </c>
      <c r="B31" s="637" t="str">
        <f ca="1">IFERROR(__xludf.DUMMYFUNCTION("""COMPUTED_VALUE"""),"Nothing")</f>
        <v>Nothing</v>
      </c>
      <c r="C31" s="150"/>
      <c r="D31" s="150"/>
      <c r="E31" s="150"/>
      <c r="F31" s="150"/>
      <c r="G31" s="150"/>
      <c r="H31" s="150"/>
      <c r="I31" s="150"/>
      <c r="J31" s="150"/>
      <c r="K31" s="150"/>
      <c r="L31" s="150"/>
      <c r="M31" s="150"/>
      <c r="N31" s="150"/>
      <c r="O31" s="150"/>
      <c r="P31" s="150"/>
      <c r="Q31" s="150"/>
      <c r="R31" s="150"/>
      <c r="S31" s="150"/>
      <c r="T31" s="150"/>
      <c r="U31" s="150"/>
      <c r="V31" s="150"/>
      <c r="W31" s="150"/>
      <c r="X31" s="150"/>
      <c r="Y31" s="150"/>
      <c r="Z31" s="150"/>
    </row>
    <row r="32" spans="1:26" ht="13.2">
      <c r="A32" s="150" t="str">
        <f ca="1">IFERROR(__xludf.DUMMYFUNCTION("""COMPUTED_VALUE"""),"Fizz")</f>
        <v>Fizz</v>
      </c>
      <c r="B32" s="637" t="str">
        <f ca="1">IFERROR(__xludf.DUMMYFUNCTION("""COMPUTED_VALUE"""),"- Steroid: W (For the onhit part)
- Steroid: R (To hit the big fish)
- W is total damage")</f>
        <v>- Steroid: W (For the onhit part)
- Steroid: R (To hit the big fish)
- W is total damage</v>
      </c>
      <c r="C32" s="150"/>
      <c r="D32" s="150"/>
      <c r="E32" s="150"/>
      <c r="F32" s="150"/>
      <c r="G32" s="150"/>
      <c r="H32" s="150"/>
      <c r="I32" s="150"/>
      <c r="J32" s="150"/>
      <c r="K32" s="150"/>
      <c r="L32" s="150"/>
      <c r="M32" s="150"/>
      <c r="N32" s="150"/>
      <c r="O32" s="150"/>
      <c r="P32" s="150"/>
      <c r="Q32" s="150"/>
      <c r="R32" s="150"/>
      <c r="S32" s="150"/>
      <c r="T32" s="150"/>
      <c r="U32" s="150"/>
      <c r="V32" s="150"/>
      <c r="W32" s="150"/>
      <c r="X32" s="150"/>
      <c r="Y32" s="150"/>
      <c r="Z32" s="150"/>
    </row>
    <row r="33" spans="1:26" ht="13.2">
      <c r="A33" s="150" t="str">
        <f ca="1">IFERROR(__xludf.DUMMYFUNCTION("""COMPUTED_VALUE"""),"Galio")</f>
        <v>Galio</v>
      </c>
      <c r="B33" s="637" t="str">
        <f ca="1">IFERROR(__xludf.DUMMYFUNCTION("""COMPUTED_VALUE"""),"- Steroid: W (Damage reduction)
- Q is total damage")</f>
        <v>- Steroid: W (Damage reduction)
- Q is total damage</v>
      </c>
      <c r="C33" s="150"/>
      <c r="D33" s="150"/>
      <c r="E33" s="150"/>
      <c r="F33" s="150"/>
      <c r="G33" s="150"/>
      <c r="H33" s="150"/>
      <c r="I33" s="150"/>
      <c r="J33" s="150"/>
      <c r="K33" s="150"/>
      <c r="L33" s="150"/>
      <c r="M33" s="150"/>
      <c r="N33" s="150"/>
      <c r="O33" s="150"/>
      <c r="P33" s="150"/>
      <c r="Q33" s="150"/>
      <c r="R33" s="150"/>
      <c r="S33" s="150"/>
      <c r="T33" s="150"/>
      <c r="U33" s="150"/>
      <c r="V33" s="150"/>
      <c r="W33" s="150"/>
      <c r="X33" s="150"/>
      <c r="Y33" s="150"/>
      <c r="Z33" s="150"/>
    </row>
    <row r="34" spans="1:26" ht="13.2">
      <c r="A34" s="150" t="str">
        <f ca="1">IFERROR(__xludf.DUMMYFUNCTION("""COMPUTED_VALUE"""),"Gangplank")</f>
        <v>Gangplank</v>
      </c>
      <c r="B34" s="637" t="str">
        <f ca="1">IFERROR(__xludf.DUMMYFUNCTION("""COMPUTED_VALUE"""),"- Steroid: E (Crit)
- Steroid: R (Fully upgraded damage)")</f>
        <v>- Steroid: E (Crit)
- Steroid: R (Fully upgraded damage)</v>
      </c>
      <c r="C34" s="150"/>
      <c r="D34" s="150"/>
      <c r="E34" s="150"/>
      <c r="F34" s="150"/>
      <c r="G34" s="150"/>
      <c r="H34" s="150"/>
      <c r="I34" s="150"/>
      <c r="J34" s="150"/>
      <c r="K34" s="150"/>
      <c r="L34" s="150"/>
      <c r="M34" s="150"/>
      <c r="N34" s="150"/>
      <c r="O34" s="150"/>
      <c r="P34" s="150"/>
      <c r="Q34" s="150"/>
      <c r="R34" s="150"/>
      <c r="S34" s="150"/>
      <c r="T34" s="150"/>
      <c r="U34" s="150"/>
      <c r="V34" s="150"/>
      <c r="W34" s="150"/>
      <c r="X34" s="150"/>
      <c r="Y34" s="150"/>
      <c r="Z34" s="150"/>
    </row>
    <row r="35" spans="1:26" ht="13.2">
      <c r="A35" s="150" t="str">
        <f ca="1">IFERROR(__xludf.DUMMYFUNCTION("""COMPUTED_VALUE"""),"Garen")</f>
        <v>Garen</v>
      </c>
      <c r="B35" s="637" t="str">
        <f ca="1">IFERROR(__xludf.DUMMYFUNCTION("""COMPUTED_VALUE"""),"- Steroid: E (Hit single target)
- P is always active
- E is total damage
- Minions increase W armor")</f>
        <v>- Steroid: E (Hit single target)
- P is always active
- E is total damage
- Minions increase W armor</v>
      </c>
      <c r="C35" s="150"/>
      <c r="D35" s="150"/>
      <c r="E35" s="150"/>
      <c r="F35" s="150"/>
      <c r="G35" s="150"/>
      <c r="H35" s="150"/>
      <c r="I35" s="150"/>
      <c r="J35" s="150"/>
      <c r="K35" s="150"/>
      <c r="L35" s="150"/>
      <c r="M35" s="150"/>
      <c r="N35" s="150"/>
      <c r="O35" s="150"/>
      <c r="P35" s="150"/>
      <c r="Q35" s="150"/>
      <c r="R35" s="150"/>
      <c r="S35" s="150"/>
      <c r="T35" s="150"/>
      <c r="U35" s="150"/>
      <c r="V35" s="150"/>
      <c r="W35" s="150"/>
      <c r="X35" s="150"/>
      <c r="Y35" s="150"/>
      <c r="Z35" s="150"/>
    </row>
    <row r="36" spans="1:26" ht="13.2">
      <c r="A36" s="150" t="str">
        <f ca="1">IFERROR(__xludf.DUMMYFUNCTION("""COMPUTED_VALUE"""),"Gnar")</f>
        <v>Gnar</v>
      </c>
      <c r="B36" s="637" t="str">
        <f ca="1">IFERROR(__xludf.DUMMYFUNCTION("""COMPUTED_VALUE"""),"- Form: Change into big gnar form")</f>
        <v>- Form: Change into big gnar form</v>
      </c>
      <c r="C36" s="150"/>
      <c r="D36" s="150"/>
      <c r="E36" s="150"/>
      <c r="F36" s="150"/>
      <c r="G36" s="150"/>
      <c r="H36" s="150"/>
      <c r="I36" s="150"/>
      <c r="J36" s="150"/>
      <c r="K36" s="150"/>
      <c r="L36" s="150"/>
      <c r="M36" s="150"/>
      <c r="N36" s="150"/>
      <c r="O36" s="150"/>
      <c r="P36" s="150"/>
      <c r="Q36" s="150"/>
      <c r="R36" s="150"/>
      <c r="S36" s="150"/>
      <c r="T36" s="150"/>
      <c r="U36" s="150"/>
      <c r="V36" s="150"/>
      <c r="W36" s="150"/>
      <c r="X36" s="150"/>
      <c r="Y36" s="150"/>
      <c r="Z36" s="150"/>
    </row>
    <row r="37" spans="1:26" ht="13.2">
      <c r="A37" s="150" t="str">
        <f ca="1">IFERROR(__xludf.DUMMYFUNCTION("""COMPUTED_VALUE"""),"Gragas")</f>
        <v>Gragas</v>
      </c>
      <c r="B37" s="637" t="str">
        <f ca="1">IFERROR(__xludf.DUMMYFUNCTION("""COMPUTED_VALUE"""),"- Steroid: Q (Empowered Q)")</f>
        <v>- Steroid: Q (Empowered Q)</v>
      </c>
      <c r="C37" s="150"/>
      <c r="D37" s="150"/>
      <c r="E37" s="150"/>
      <c r="F37" s="150"/>
      <c r="G37" s="150"/>
      <c r="H37" s="150"/>
      <c r="I37" s="150"/>
      <c r="J37" s="150"/>
      <c r="K37" s="150"/>
      <c r="L37" s="150"/>
      <c r="M37" s="150"/>
      <c r="N37" s="150"/>
      <c r="O37" s="150"/>
      <c r="P37" s="150"/>
      <c r="Q37" s="150"/>
      <c r="R37" s="150"/>
      <c r="S37" s="150"/>
      <c r="T37" s="150"/>
      <c r="U37" s="150"/>
      <c r="V37" s="150"/>
      <c r="W37" s="150"/>
      <c r="X37" s="150"/>
      <c r="Y37" s="150"/>
      <c r="Z37" s="150"/>
    </row>
    <row r="38" spans="1:26" ht="13.2">
      <c r="A38" s="150" t="str">
        <f ca="1">IFERROR(__xludf.DUMMYFUNCTION("""COMPUTED_VALUE"""),"Graves")</f>
        <v>Graves</v>
      </c>
      <c r="B38" s="637" t="str">
        <f ca="1">IFERROR(__xludf.DUMMYFUNCTION("""COMPUTED_VALUE"""),"- Steroid: E (Gives 1 stack of E)
- Steroid: P (All pallets hit)
- Form: Max E stacks
- Normally only 1 pallet hits
- Q is total damage
- R is hit damage")</f>
        <v>- Steroid: E (Gives 1 stack of E)
- Steroid: P (All pallets hit)
- Form: Max E stacks
- Normally only 1 pallet hits
- Q is total damage
- R is hit damage</v>
      </c>
      <c r="C38" s="150"/>
      <c r="D38" s="150"/>
      <c r="E38" s="150"/>
      <c r="F38" s="150"/>
      <c r="G38" s="150"/>
      <c r="H38" s="150"/>
      <c r="I38" s="150"/>
      <c r="J38" s="150"/>
      <c r="K38" s="150"/>
      <c r="L38" s="150"/>
      <c r="M38" s="150"/>
      <c r="N38" s="150"/>
      <c r="O38" s="150"/>
      <c r="P38" s="150"/>
      <c r="Q38" s="150"/>
      <c r="R38" s="150"/>
      <c r="S38" s="150"/>
      <c r="T38" s="150"/>
      <c r="U38" s="150"/>
      <c r="V38" s="150"/>
      <c r="W38" s="150"/>
      <c r="X38" s="150"/>
      <c r="Y38" s="150"/>
      <c r="Z38" s="150"/>
    </row>
    <row r="39" spans="1:26" ht="13.2">
      <c r="A39" s="150" t="str">
        <f ca="1">IFERROR(__xludf.DUMMYFUNCTION("""COMPUTED_VALUE"""),"Hecarim")</f>
        <v>Hecarim</v>
      </c>
      <c r="B39" s="637" t="str">
        <f ca="1">IFERROR(__xludf.DUMMYFUNCTION("""COMPUTED_VALUE"""),"- Steroid: Q (Maximum damage Q)
- Steroid: E (Maximum Damage E)
- W is total damage")</f>
        <v>- Steroid: Q (Maximum damage Q)
- Steroid: E (Maximum Damage E)
- W is total damage</v>
      </c>
      <c r="C39" s="150"/>
      <c r="D39" s="150"/>
      <c r="E39" s="150"/>
      <c r="F39" s="150"/>
      <c r="G39" s="150"/>
      <c r="H39" s="150"/>
      <c r="I39" s="150"/>
      <c r="J39" s="150"/>
      <c r="K39" s="150"/>
      <c r="L39" s="150"/>
      <c r="M39" s="150"/>
      <c r="N39" s="150"/>
      <c r="O39" s="150"/>
      <c r="P39" s="150"/>
      <c r="Q39" s="150"/>
      <c r="R39" s="150"/>
      <c r="S39" s="150"/>
      <c r="T39" s="150"/>
      <c r="U39" s="150"/>
      <c r="V39" s="150"/>
      <c r="W39" s="150"/>
      <c r="X39" s="150"/>
      <c r="Y39" s="150"/>
      <c r="Z39" s="150"/>
    </row>
    <row r="40" spans="1:26" ht="13.2">
      <c r="A40" s="150" t="str">
        <f ca="1">IFERROR(__xludf.DUMMYFUNCTION("""COMPUTED_VALUE"""),"Heimerdinger")</f>
        <v>Heimerdinger</v>
      </c>
      <c r="B40" s="637" t="str">
        <f ca="1">IFERROR(__xludf.DUMMYFUNCTION("""COMPUTED_VALUE"""),"- Steroid: Q (Ultimate Q)
- Steroid: W (Ultimate W)
- Steroid: E (Ultimate E)
- W always hits all rockets
- Q is turret normal attack")</f>
        <v>- Steroid: Q (Ultimate Q)
- Steroid: W (Ultimate W)
- Steroid: E (Ultimate E)
- W always hits all rockets
- Q is turret normal attack</v>
      </c>
      <c r="C40" s="150"/>
      <c r="D40" s="150"/>
      <c r="E40" s="150"/>
      <c r="F40" s="150"/>
      <c r="G40" s="150"/>
      <c r="H40" s="150"/>
      <c r="I40" s="150"/>
      <c r="J40" s="150"/>
      <c r="K40" s="150"/>
      <c r="L40" s="150"/>
      <c r="M40" s="150"/>
      <c r="N40" s="150"/>
      <c r="O40" s="150"/>
      <c r="P40" s="150"/>
      <c r="Q40" s="150"/>
      <c r="R40" s="150"/>
      <c r="S40" s="150"/>
      <c r="T40" s="150"/>
      <c r="U40" s="150"/>
      <c r="V40" s="150"/>
      <c r="W40" s="150"/>
      <c r="X40" s="150"/>
      <c r="Y40" s="150"/>
      <c r="Z40" s="150"/>
    </row>
    <row r="41" spans="1:26" ht="13.2">
      <c r="A41" s="150" t="str">
        <f ca="1">IFERROR(__xludf.DUMMYFUNCTION("""COMPUTED_VALUE"""),"Illaoi")</f>
        <v>Illaoi</v>
      </c>
      <c r="B41" s="637" t="str">
        <f ca="1">IFERROR(__xludf.DUMMYFUNCTION("""COMPUTED_VALUE"""),"Nothing")</f>
        <v>Nothing</v>
      </c>
      <c r="C41" s="150"/>
      <c r="D41" s="150"/>
      <c r="E41" s="150"/>
      <c r="F41" s="150"/>
      <c r="G41" s="150"/>
      <c r="H41" s="150"/>
      <c r="I41" s="150"/>
      <c r="J41" s="150"/>
      <c r="K41" s="150"/>
      <c r="L41" s="150"/>
      <c r="M41" s="150"/>
      <c r="N41" s="150"/>
      <c r="O41" s="150"/>
      <c r="P41" s="150"/>
      <c r="Q41" s="150"/>
      <c r="R41" s="150"/>
      <c r="S41" s="150"/>
      <c r="T41" s="150"/>
      <c r="U41" s="150"/>
      <c r="V41" s="150"/>
      <c r="W41" s="150"/>
      <c r="X41" s="150"/>
      <c r="Y41" s="150"/>
      <c r="Z41" s="150"/>
    </row>
    <row r="42" spans="1:26" ht="13.2">
      <c r="A42" s="150" t="str">
        <f ca="1">IFERROR(__xludf.DUMMYFUNCTION("""COMPUTED_VALUE"""),"Irelia")</f>
        <v>Irelia</v>
      </c>
      <c r="B42" s="637" t="str">
        <f ca="1">IFERROR(__xludf.DUMMYFUNCTION("""COMPUTED_VALUE"""),"- Steroid: P (Fully stacked)
- R is hit damage")</f>
        <v>- Steroid: P (Fully stacked)
- R is hit damage</v>
      </c>
      <c r="C42" s="150"/>
      <c r="D42" s="150"/>
      <c r="E42" s="150"/>
      <c r="F42" s="150"/>
      <c r="G42" s="150"/>
      <c r="H42" s="150"/>
      <c r="I42" s="150"/>
      <c r="J42" s="150"/>
      <c r="K42" s="150"/>
      <c r="L42" s="150"/>
      <c r="M42" s="150"/>
      <c r="N42" s="150"/>
      <c r="O42" s="150"/>
      <c r="P42" s="150"/>
      <c r="Q42" s="150"/>
      <c r="R42" s="150"/>
      <c r="S42" s="150"/>
      <c r="T42" s="150"/>
      <c r="U42" s="150"/>
      <c r="V42" s="150"/>
      <c r="W42" s="150"/>
      <c r="X42" s="150"/>
      <c r="Y42" s="150"/>
      <c r="Z42" s="150"/>
    </row>
    <row r="43" spans="1:26" ht="13.2">
      <c r="A43" s="150" t="str">
        <f ca="1">IFERROR(__xludf.DUMMYFUNCTION("""COMPUTED_VALUE"""),"Ivern")</f>
        <v>Ivern</v>
      </c>
      <c r="B43" s="637" t="str">
        <f ca="1">IFERROR(__xludf.DUMMYFUNCTION("""COMPUTED_VALUE"""),"- R is Daisy's AD")</f>
        <v>- R is Daisy's AD</v>
      </c>
      <c r="C43" s="150"/>
      <c r="D43" s="150"/>
      <c r="E43" s="150"/>
      <c r="F43" s="150"/>
      <c r="G43" s="150"/>
      <c r="H43" s="150"/>
      <c r="I43" s="150"/>
      <c r="J43" s="150"/>
      <c r="K43" s="150"/>
      <c r="L43" s="150"/>
      <c r="M43" s="150"/>
      <c r="N43" s="150"/>
      <c r="O43" s="150"/>
      <c r="P43" s="150"/>
      <c r="Q43" s="150"/>
      <c r="R43" s="150"/>
      <c r="S43" s="150"/>
      <c r="T43" s="150"/>
      <c r="U43" s="150"/>
      <c r="V43" s="150"/>
      <c r="W43" s="150"/>
      <c r="X43" s="150"/>
      <c r="Y43" s="150"/>
      <c r="Z43" s="150"/>
    </row>
    <row r="44" spans="1:26" ht="13.2">
      <c r="A44" s="150" t="str">
        <f ca="1">IFERROR(__xludf.DUMMYFUNCTION("""COMPUTED_VALUE"""),"Janna")</f>
        <v>Janna</v>
      </c>
      <c r="B44" s="637" t="str">
        <f ca="1">IFERROR(__xludf.DUMMYFUNCTION("""COMPUTED_VALUE"""),"- Steroid: Q (Fully channeled)
- R is total Heal")</f>
        <v>- Steroid: Q (Fully channeled)
- R is total Heal</v>
      </c>
      <c r="C44" s="150"/>
      <c r="D44" s="150"/>
      <c r="E44" s="150"/>
      <c r="F44" s="150"/>
      <c r="G44" s="150"/>
      <c r="H44" s="150"/>
      <c r="I44" s="150"/>
      <c r="J44" s="150"/>
      <c r="K44" s="150"/>
      <c r="L44" s="150"/>
      <c r="M44" s="150"/>
      <c r="N44" s="150"/>
      <c r="O44" s="150"/>
      <c r="P44" s="150"/>
      <c r="Q44" s="150"/>
      <c r="R44" s="150"/>
      <c r="S44" s="150"/>
      <c r="T44" s="150"/>
      <c r="U44" s="150"/>
      <c r="V44" s="150"/>
      <c r="W44" s="150"/>
      <c r="X44" s="150"/>
      <c r="Y44" s="150"/>
      <c r="Z44" s="150"/>
    </row>
    <row r="45" spans="1:26" ht="13.2">
      <c r="A45" s="150" t="str">
        <f ca="1">IFERROR(__xludf.DUMMYFUNCTION("""COMPUTED_VALUE"""),"Jarvan IV")</f>
        <v>Jarvan IV</v>
      </c>
      <c r="B45" s="637" t="str">
        <f ca="1">IFERROR(__xludf.DUMMYFUNCTION("""COMPUTED_VALUE"""),"- Steroid: E (Gives the flag buff)
- Steroid: W (Activates the shield)
- Form: Hit 5 enemies with W")</f>
        <v>- Steroid: E (Gives the flag buff)
- Steroid: W (Activates the shield)
- Form: Hit 5 enemies with W</v>
      </c>
      <c r="C45" s="150"/>
      <c r="D45" s="150"/>
      <c r="E45" s="150"/>
      <c r="F45" s="150"/>
      <c r="G45" s="150"/>
      <c r="H45" s="150"/>
      <c r="I45" s="150"/>
      <c r="J45" s="150"/>
      <c r="K45" s="150"/>
      <c r="L45" s="150"/>
      <c r="M45" s="150"/>
      <c r="N45" s="150"/>
      <c r="O45" s="150"/>
      <c r="P45" s="150"/>
      <c r="Q45" s="150"/>
      <c r="R45" s="150"/>
      <c r="S45" s="150"/>
      <c r="T45" s="150"/>
      <c r="U45" s="150"/>
      <c r="V45" s="150"/>
      <c r="W45" s="150"/>
      <c r="X45" s="150"/>
      <c r="Y45" s="150"/>
      <c r="Z45" s="150"/>
    </row>
    <row r="46" spans="1:26" ht="13.2">
      <c r="A46" s="150" t="str">
        <f ca="1">IFERROR(__xludf.DUMMYFUNCTION("""COMPUTED_VALUE"""),"Jax")</f>
        <v>Jax</v>
      </c>
      <c r="B46" s="637" t="str">
        <f ca="1">IFERROR(__xludf.DUMMYFUNCTION("""COMPUTED_VALUE"""),"- Steroid: R (Activates resistances)
- Steroid: P (Fully stacked)
- If R is skilled, R will be in DPS")</f>
        <v>- Steroid: R (Activates resistances)
- Steroid: P (Fully stacked)
- If R is skilled, R will be in DPS</v>
      </c>
      <c r="C46" s="150"/>
      <c r="D46" s="150"/>
      <c r="E46" s="150"/>
      <c r="F46" s="150"/>
      <c r="G46" s="150"/>
      <c r="H46" s="150"/>
      <c r="I46" s="150"/>
      <c r="J46" s="150"/>
      <c r="K46" s="150"/>
      <c r="L46" s="150"/>
      <c r="M46" s="150"/>
      <c r="N46" s="150"/>
      <c r="O46" s="150"/>
      <c r="P46" s="150"/>
      <c r="Q46" s="150"/>
      <c r="R46" s="150"/>
      <c r="S46" s="150"/>
      <c r="T46" s="150"/>
      <c r="U46" s="150"/>
      <c r="V46" s="150"/>
      <c r="W46" s="150"/>
      <c r="X46" s="150"/>
      <c r="Y46" s="150"/>
      <c r="Z46" s="150"/>
    </row>
    <row r="47" spans="1:26" ht="13.2">
      <c r="A47" s="150" t="str">
        <f ca="1">IFERROR(__xludf.DUMMYFUNCTION("""COMPUTED_VALUE"""),"Jayce")</f>
        <v>Jayce</v>
      </c>
      <c r="B47" s="637" t="str">
        <f ca="1">IFERROR(__xludf.DUMMYFUNCTION("""COMPUTED_VALUE"""),"- Steroid: Q (shoot through E)
- Form: Change to hammer form
- W is total damage")</f>
        <v>- Steroid: Q (shoot through E)
- Form: Change to hammer form
- W is total damage</v>
      </c>
      <c r="C47" s="150"/>
      <c r="D47" s="150"/>
      <c r="E47" s="150"/>
      <c r="F47" s="150"/>
      <c r="G47" s="150"/>
      <c r="H47" s="150"/>
      <c r="I47" s="150"/>
      <c r="J47" s="150"/>
      <c r="K47" s="150"/>
      <c r="L47" s="150"/>
      <c r="M47" s="150"/>
      <c r="N47" s="150"/>
      <c r="O47" s="150"/>
      <c r="P47" s="150"/>
      <c r="Q47" s="150"/>
      <c r="R47" s="150"/>
      <c r="S47" s="150"/>
      <c r="T47" s="150"/>
      <c r="U47" s="150"/>
      <c r="V47" s="150"/>
      <c r="W47" s="150"/>
      <c r="X47" s="150"/>
      <c r="Y47" s="150"/>
      <c r="Z47" s="150"/>
    </row>
    <row r="48" spans="1:26" ht="13.2">
      <c r="A48" s="150" t="str">
        <f ca="1">IFERROR(__xludf.DUMMYFUNCTION("""COMPUTED_VALUE"""),"Jhin")</f>
        <v>Jhin</v>
      </c>
      <c r="B48" s="637" t="str">
        <f ca="1">IFERROR(__xludf.DUMMYFUNCTION("""COMPUTED_VALUE"""),"- Steroid: Q (4th bounce)
- Steroid: R (Last shot)
- Reload time is in DPS
- Last hit is not in DPS
- R damage is per shot")</f>
        <v>- Steroid: Q (4th bounce)
- Steroid: R (Last shot)
- Reload time is in DPS
- Last hit is not in DPS
- R damage is per shot</v>
      </c>
      <c r="C48" s="150"/>
      <c r="D48" s="150"/>
      <c r="E48" s="150"/>
      <c r="F48" s="150"/>
      <c r="G48" s="150"/>
      <c r="H48" s="150"/>
      <c r="I48" s="150"/>
      <c r="J48" s="150"/>
      <c r="K48" s="150"/>
      <c r="L48" s="150"/>
      <c r="M48" s="150"/>
      <c r="N48" s="150"/>
      <c r="O48" s="150"/>
      <c r="P48" s="150"/>
      <c r="Q48" s="150"/>
      <c r="R48" s="150"/>
      <c r="S48" s="150"/>
      <c r="T48" s="150"/>
      <c r="U48" s="150"/>
      <c r="V48" s="150"/>
      <c r="W48" s="150"/>
      <c r="X48" s="150"/>
      <c r="Y48" s="150"/>
      <c r="Z48" s="150"/>
    </row>
    <row r="49" spans="1:26" ht="13.2">
      <c r="A49" s="150" t="str">
        <f ca="1">IFERROR(__xludf.DUMMYFUNCTION("""COMPUTED_VALUE"""),"Jinx")</f>
        <v>Jinx</v>
      </c>
      <c r="B49" s="637" t="str">
        <f ca="1">IFERROR(__xludf.DUMMYFUNCTION("""COMPUTED_VALUE"""),"- Steroid: P (Proc passive)
- Steroid: Q (Fishbones)
- Always at 3 stacks Q
- E is total damage")</f>
        <v>- Steroid: P (Proc passive)
- Steroid: Q (Fishbones)
- Always at 3 stacks Q
- E is total damage</v>
      </c>
      <c r="C49" s="150"/>
      <c r="D49" s="150"/>
      <c r="E49" s="150"/>
      <c r="F49" s="150"/>
      <c r="G49" s="150"/>
      <c r="H49" s="150"/>
      <c r="I49" s="150"/>
      <c r="J49" s="150"/>
      <c r="K49" s="150"/>
      <c r="L49" s="150"/>
      <c r="M49" s="150"/>
      <c r="N49" s="150"/>
      <c r="O49" s="150"/>
      <c r="P49" s="150"/>
      <c r="Q49" s="150"/>
      <c r="R49" s="150"/>
      <c r="S49" s="150"/>
      <c r="T49" s="150"/>
      <c r="U49" s="150"/>
      <c r="V49" s="150"/>
      <c r="W49" s="150"/>
      <c r="X49" s="150"/>
      <c r="Y49" s="150"/>
      <c r="Z49" s="150"/>
    </row>
    <row r="50" spans="1:26" ht="13.2">
      <c r="A50" s="150" t="str">
        <f ca="1">IFERROR(__xludf.DUMMYFUNCTION("""COMPUTED_VALUE"""),"Kai'Sa")</f>
        <v>Kai'Sa</v>
      </c>
      <c r="B50" s="637" t="str">
        <f ca="1">IFERROR(__xludf.DUMMYFUNCTION("""COMPUTED_VALUE"""),"- Steroid: Q (Single target Q)
- Steroid: E (Attack speed)
- Steroid: P (Show current HP value, otherwise it will show damage at 50%)
- The passive dps is calculated as: 2 stacks + proc damage (assumes alsways 50% missing hp)")</f>
        <v>- Steroid: Q (Single target Q)
- Steroid: E (Attack speed)
- Steroid: P (Show current HP value, otherwise it will show damage at 50%)
- The passive dps is calculated as: 2 stacks + proc damage (assumes alsways 50% missing hp)</v>
      </c>
      <c r="C50" s="150"/>
      <c r="D50" s="150"/>
      <c r="E50" s="150"/>
      <c r="F50" s="150"/>
      <c r="G50" s="150"/>
      <c r="H50" s="150"/>
      <c r="I50" s="150"/>
      <c r="J50" s="150"/>
      <c r="K50" s="150"/>
      <c r="L50" s="150"/>
      <c r="M50" s="150"/>
      <c r="N50" s="150"/>
      <c r="O50" s="150"/>
      <c r="P50" s="150"/>
      <c r="Q50" s="150"/>
      <c r="R50" s="150"/>
      <c r="S50" s="150"/>
      <c r="T50" s="150"/>
      <c r="U50" s="150"/>
      <c r="V50" s="150"/>
      <c r="W50" s="150"/>
      <c r="X50" s="150"/>
      <c r="Y50" s="150"/>
      <c r="Z50" s="150"/>
    </row>
    <row r="51" spans="1:26" ht="13.2">
      <c r="A51" s="150" t="str">
        <f ca="1">IFERROR(__xludf.DUMMYFUNCTION("""COMPUTED_VALUE"""),"Kalista")</f>
        <v>Kalista</v>
      </c>
      <c r="B51" s="637" t="str">
        <f ca="1">IFERROR(__xludf.DUMMYFUNCTION("""COMPUTED_VALUE"""),"- E is only 1 spear
- Steroid: E (10 spears)")</f>
        <v>- E is only 1 spear
- Steroid: E (10 spears)</v>
      </c>
      <c r="C51" s="150"/>
      <c r="D51" s="150"/>
      <c r="E51" s="150"/>
      <c r="F51" s="150"/>
      <c r="G51" s="150"/>
      <c r="H51" s="150"/>
      <c r="I51" s="150"/>
      <c r="J51" s="150"/>
      <c r="K51" s="150"/>
      <c r="L51" s="150"/>
      <c r="M51" s="150"/>
      <c r="N51" s="150"/>
      <c r="O51" s="150"/>
      <c r="P51" s="150"/>
      <c r="Q51" s="150"/>
      <c r="R51" s="150"/>
      <c r="S51" s="150"/>
      <c r="T51" s="150"/>
      <c r="U51" s="150"/>
      <c r="V51" s="150"/>
      <c r="W51" s="150"/>
      <c r="X51" s="150"/>
      <c r="Y51" s="150"/>
      <c r="Z51" s="150"/>
    </row>
    <row r="52" spans="1:26" ht="13.2">
      <c r="A52" s="150" t="str">
        <f ca="1">IFERROR(__xludf.DUMMYFUNCTION("""COMPUTED_VALUE"""),"Karma")</f>
        <v>Karma</v>
      </c>
      <c r="B52" s="637" t="str">
        <f ca="1">IFERROR(__xludf.DUMMYFUNCTION("""COMPUTED_VALUE"""),"- Steroid: Q (Empowered Q)
- Steroid: E (Empowered E)")</f>
        <v>- Steroid: Q (Empowered Q)
- Steroid: E (Empowered E)</v>
      </c>
      <c r="C52" s="150"/>
      <c r="D52" s="150"/>
      <c r="E52" s="150"/>
      <c r="F52" s="150"/>
      <c r="G52" s="150"/>
      <c r="H52" s="150"/>
      <c r="I52" s="150"/>
      <c r="J52" s="150"/>
      <c r="K52" s="150"/>
      <c r="L52" s="150"/>
      <c r="M52" s="150"/>
      <c r="N52" s="150"/>
      <c r="O52" s="150"/>
      <c r="P52" s="150"/>
      <c r="Q52" s="150"/>
      <c r="R52" s="150"/>
      <c r="S52" s="150"/>
      <c r="T52" s="150"/>
      <c r="U52" s="150"/>
      <c r="V52" s="150"/>
      <c r="W52" s="150"/>
      <c r="X52" s="150"/>
      <c r="Y52" s="150"/>
      <c r="Z52" s="150"/>
    </row>
    <row r="53" spans="1:26" ht="13.2">
      <c r="A53" s="150" t="str">
        <f ca="1">IFERROR(__xludf.DUMMYFUNCTION("""COMPUTED_VALUE"""),"Karthus")</f>
        <v>Karthus</v>
      </c>
      <c r="B53" s="637" t="str">
        <f ca="1">IFERROR(__xludf.DUMMYFUNCTION("""COMPUTED_VALUE"""),"- Steroid: Q (Single target hit)")</f>
        <v>- Steroid: Q (Single target hit)</v>
      </c>
      <c r="C53" s="150"/>
      <c r="D53" s="150"/>
      <c r="E53" s="150"/>
      <c r="F53" s="150"/>
      <c r="G53" s="150"/>
      <c r="H53" s="150"/>
      <c r="I53" s="150"/>
      <c r="J53" s="150"/>
      <c r="K53" s="150"/>
      <c r="L53" s="150"/>
      <c r="M53" s="150"/>
      <c r="N53" s="150"/>
      <c r="O53" s="150"/>
      <c r="P53" s="150"/>
      <c r="Q53" s="150"/>
      <c r="R53" s="150"/>
      <c r="S53" s="150"/>
      <c r="T53" s="150"/>
      <c r="U53" s="150"/>
      <c r="V53" s="150"/>
      <c r="W53" s="150"/>
      <c r="X53" s="150"/>
      <c r="Y53" s="150"/>
      <c r="Z53" s="150"/>
    </row>
    <row r="54" spans="1:26" ht="13.2">
      <c r="A54" s="150" t="str">
        <f ca="1">IFERROR(__xludf.DUMMYFUNCTION("""COMPUTED_VALUE"""),"Kassadin")</f>
        <v>Kassadin</v>
      </c>
      <c r="B54" s="637" t="str">
        <f ca="1">IFERROR(__xludf.DUMMYFUNCTION("""COMPUTED_VALUE"""),"Nothing")</f>
        <v>Nothing</v>
      </c>
      <c r="C54" s="150"/>
      <c r="D54" s="150"/>
      <c r="E54" s="150"/>
      <c r="F54" s="150"/>
      <c r="G54" s="150"/>
      <c r="H54" s="150"/>
      <c r="I54" s="150"/>
      <c r="J54" s="150"/>
      <c r="K54" s="150"/>
      <c r="L54" s="150"/>
      <c r="M54" s="150"/>
      <c r="N54" s="150"/>
      <c r="O54" s="150"/>
      <c r="P54" s="150"/>
      <c r="Q54" s="150"/>
      <c r="R54" s="150"/>
      <c r="S54" s="150"/>
      <c r="T54" s="150"/>
      <c r="U54" s="150"/>
      <c r="V54" s="150"/>
      <c r="W54" s="150"/>
      <c r="X54" s="150"/>
      <c r="Y54" s="150"/>
      <c r="Z54" s="150"/>
    </row>
    <row r="55" spans="1:26" ht="13.2">
      <c r="A55" s="150" t="str">
        <f ca="1">IFERROR(__xludf.DUMMYFUNCTION("""COMPUTED_VALUE"""),"Katarina")</f>
        <v>Katarina</v>
      </c>
      <c r="B55" s="637" t="str">
        <f ca="1">IFERROR(__xludf.DUMMYFUNCTION("""COMPUTED_VALUE"""),"- R is total damage")</f>
        <v>- R is total damage</v>
      </c>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row>
    <row r="56" spans="1:26" ht="13.2">
      <c r="A56" s="150" t="str">
        <f ca="1">IFERROR(__xludf.DUMMYFUNCTION("""COMPUTED_VALUE"""),"Kayle")</f>
        <v>Kayle</v>
      </c>
      <c r="B56" s="637" t="str">
        <f ca="1">IFERROR(__xludf.DUMMYFUNCTION("""COMPUTED_VALUE"""),"- Steroid: P (Fully stacked)
- Steroid: Q (Resistance reduce)")</f>
        <v>- Steroid: P (Fully stacked)
- Steroid: Q (Resistance reduce)</v>
      </c>
      <c r="C56" s="150"/>
      <c r="D56" s="150"/>
      <c r="E56" s="150"/>
      <c r="F56" s="150"/>
      <c r="G56" s="150"/>
      <c r="H56" s="150"/>
      <c r="I56" s="150"/>
      <c r="J56" s="150"/>
      <c r="K56" s="150"/>
      <c r="L56" s="150"/>
      <c r="M56" s="150"/>
      <c r="N56" s="150"/>
      <c r="O56" s="150"/>
      <c r="P56" s="150"/>
      <c r="Q56" s="150"/>
      <c r="R56" s="150"/>
      <c r="S56" s="150"/>
      <c r="T56" s="150"/>
      <c r="U56" s="150"/>
      <c r="V56" s="150"/>
      <c r="W56" s="150"/>
      <c r="X56" s="150"/>
      <c r="Y56" s="150"/>
      <c r="Z56" s="150"/>
    </row>
    <row r="57" spans="1:26" ht="13.2">
      <c r="A57" s="150" t="str">
        <f ca="1">IFERROR(__xludf.DUMMYFUNCTION("""COMPUTED_VALUE"""),"Kayn")</f>
        <v>Kayn</v>
      </c>
      <c r="B57" s="637" t="str">
        <f ca="1">IFERROR(__xludf.DUMMYFUNCTION("""COMPUTED_VALUE"""),"- Normal form is Rhaast
- Form: Change to Darkin form
- Q is total damage")</f>
        <v>- Normal form is Rhaast
- Form: Change to Darkin form
- Q is total damage</v>
      </c>
      <c r="C57" s="150"/>
      <c r="D57" s="150"/>
      <c r="E57" s="150"/>
      <c r="F57" s="150"/>
      <c r="G57" s="150"/>
      <c r="H57" s="150"/>
      <c r="I57" s="150"/>
      <c r="J57" s="150"/>
      <c r="K57" s="150"/>
      <c r="L57" s="150"/>
      <c r="M57" s="150"/>
      <c r="N57" s="150"/>
      <c r="O57" s="150"/>
      <c r="P57" s="150"/>
      <c r="Q57" s="150"/>
      <c r="R57" s="150"/>
      <c r="S57" s="150"/>
      <c r="T57" s="150"/>
      <c r="U57" s="150"/>
      <c r="V57" s="150"/>
      <c r="W57" s="150"/>
      <c r="X57" s="150"/>
      <c r="Y57" s="150"/>
      <c r="Z57" s="150"/>
    </row>
    <row r="58" spans="1:26" ht="13.2">
      <c r="A58" s="150" t="str">
        <f ca="1">IFERROR(__xludf.DUMMYFUNCTION("""COMPUTED_VALUE"""),"Kennen")</f>
        <v>Kennen</v>
      </c>
      <c r="B58" s="637" t="str">
        <f ca="1">IFERROR(__xludf.DUMMYFUNCTION("""COMPUTED_VALUE"""),"- Steroid: E (Attackspeed)
- Steroid: R (Resistances)
- W is activation damage
- R is total damage
- W Passive damage is already in dps")</f>
        <v>- Steroid: E (Attackspeed)
- Steroid: R (Resistances)
- W is activation damage
- R is total damage
- W Passive damage is already in dps</v>
      </c>
      <c r="C58" s="150"/>
      <c r="D58" s="150"/>
      <c r="E58" s="150"/>
      <c r="F58" s="150"/>
      <c r="G58" s="150"/>
      <c r="H58" s="150"/>
      <c r="I58" s="150"/>
      <c r="J58" s="150"/>
      <c r="K58" s="150"/>
      <c r="L58" s="150"/>
      <c r="M58" s="150"/>
      <c r="N58" s="150"/>
      <c r="O58" s="150"/>
      <c r="P58" s="150"/>
      <c r="Q58" s="150"/>
      <c r="R58" s="150"/>
      <c r="S58" s="150"/>
      <c r="T58" s="150"/>
      <c r="U58" s="150"/>
      <c r="V58" s="150"/>
      <c r="W58" s="150"/>
      <c r="X58" s="150"/>
      <c r="Y58" s="150"/>
      <c r="Z58" s="150"/>
    </row>
    <row r="59" spans="1:26" ht="13.2">
      <c r="A59" s="150" t="str">
        <f ca="1">IFERROR(__xludf.DUMMYFUNCTION("""COMPUTED_VALUE"""),"Kha'Zix")</f>
        <v>Kha'Zix</v>
      </c>
      <c r="B59" s="637" t="str">
        <f ca="1">IFERROR(__xludf.DUMMYFUNCTION("""COMPUTED_VALUE"""),"- Steroid: Q (Isolated Q)")</f>
        <v>- Steroid: Q (Isolated Q)</v>
      </c>
      <c r="C59" s="150"/>
      <c r="D59" s="150"/>
      <c r="E59" s="150"/>
      <c r="F59" s="150"/>
      <c r="G59" s="150"/>
      <c r="H59" s="150"/>
      <c r="I59" s="150"/>
      <c r="J59" s="150"/>
      <c r="K59" s="150"/>
      <c r="L59" s="150"/>
      <c r="M59" s="150"/>
      <c r="N59" s="150"/>
      <c r="O59" s="150"/>
      <c r="P59" s="150"/>
      <c r="Q59" s="150"/>
      <c r="R59" s="150"/>
      <c r="S59" s="150"/>
      <c r="T59" s="150"/>
      <c r="U59" s="150"/>
      <c r="V59" s="150"/>
      <c r="W59" s="150"/>
      <c r="X59" s="150"/>
      <c r="Y59" s="150"/>
      <c r="Z59" s="150"/>
    </row>
    <row r="60" spans="1:26" ht="13.2">
      <c r="A60" s="150" t="str">
        <f ca="1">IFERROR(__xludf.DUMMYFUNCTION("""COMPUTED_VALUE"""),"Kindred")</f>
        <v>Kindred</v>
      </c>
      <c r="B60" s="637" t="str">
        <f ca="1">IFERROR(__xludf.DUMMYFUNCTION("""COMPUTED_VALUE"""),"- Steroid: Q (Attackspeed)
- Enemies Killed = Marks
- W is wolf hit damage")</f>
        <v>- Steroid: Q (Attackspeed)
- Enemies Killed = Marks
- W is wolf hit damage</v>
      </c>
      <c r="C60" s="150"/>
      <c r="D60" s="150"/>
      <c r="E60" s="150"/>
      <c r="F60" s="150"/>
      <c r="G60" s="150"/>
      <c r="H60" s="150"/>
      <c r="I60" s="150"/>
      <c r="J60" s="150"/>
      <c r="K60" s="150"/>
      <c r="L60" s="150"/>
      <c r="M60" s="150"/>
      <c r="N60" s="150"/>
      <c r="O60" s="150"/>
      <c r="P60" s="150"/>
      <c r="Q60" s="150"/>
      <c r="R60" s="150"/>
      <c r="S60" s="150"/>
      <c r="T60" s="150"/>
      <c r="U60" s="150"/>
      <c r="V60" s="150"/>
      <c r="W60" s="150"/>
      <c r="X60" s="150"/>
      <c r="Y60" s="150"/>
      <c r="Z60" s="150"/>
    </row>
    <row r="61" spans="1:26" ht="13.2">
      <c r="A61" s="150" t="str">
        <f ca="1">IFERROR(__xludf.DUMMYFUNCTION("""COMPUTED_VALUE"""),"Kled")</f>
        <v>Kled</v>
      </c>
      <c r="B61" s="637" t="str">
        <f ca="1">IFERROR(__xludf.DUMMYFUNCTION("""COMPUTED_VALUE"""),"- Steroid: Q (Unmounted hits all bullets)
- Steroid: W (Attackspeed)
- Form: Change to unmounted form
- W is last hit damage
- E is total damage")</f>
        <v>- Steroid: Q (Unmounted hits all bullets)
- Steroid: W (Attackspeed)
- Form: Change to unmounted form
- W is last hit damage
- E is total damage</v>
      </c>
      <c r="C61" s="150"/>
      <c r="D61" s="150"/>
      <c r="E61" s="150"/>
      <c r="F61" s="150"/>
      <c r="G61" s="150"/>
      <c r="H61" s="150"/>
      <c r="I61" s="150"/>
      <c r="J61" s="150"/>
      <c r="K61" s="150"/>
      <c r="L61" s="150"/>
      <c r="M61" s="150"/>
      <c r="N61" s="150"/>
      <c r="O61" s="150"/>
      <c r="P61" s="150"/>
      <c r="Q61" s="150"/>
      <c r="R61" s="150"/>
      <c r="S61" s="150"/>
      <c r="T61" s="150"/>
      <c r="U61" s="150"/>
      <c r="V61" s="150"/>
      <c r="W61" s="150"/>
      <c r="X61" s="150"/>
      <c r="Y61" s="150"/>
      <c r="Z61" s="150"/>
    </row>
    <row r="62" spans="1:26" ht="13.2">
      <c r="A62" s="150" t="str">
        <f ca="1">IFERROR(__xludf.DUMMYFUNCTION("""COMPUTED_VALUE"""),"Kog'Maw")</f>
        <v>Kog'Maw</v>
      </c>
      <c r="B62" s="637" t="str">
        <f ca="1">IFERROR(__xludf.DUMMYFUNCTION("""COMPUTED_VALUE"""),"- Steroid: Q (Armor and resistance shred)
- Steroid: W (Activated W)")</f>
        <v>- Steroid: Q (Armor and resistance shred)
- Steroid: W (Activated W)</v>
      </c>
      <c r="C62" s="150"/>
      <c r="D62" s="150"/>
      <c r="E62" s="150"/>
      <c r="F62" s="150"/>
      <c r="G62" s="150"/>
      <c r="H62" s="150"/>
      <c r="I62" s="150"/>
      <c r="J62" s="150"/>
      <c r="K62" s="150"/>
      <c r="L62" s="150"/>
      <c r="M62" s="150"/>
      <c r="N62" s="150"/>
      <c r="O62" s="150"/>
      <c r="P62" s="150"/>
      <c r="Q62" s="150"/>
      <c r="R62" s="150"/>
      <c r="S62" s="150"/>
      <c r="T62" s="150"/>
      <c r="U62" s="150"/>
      <c r="V62" s="150"/>
      <c r="W62" s="150"/>
      <c r="X62" s="150"/>
      <c r="Y62" s="150"/>
      <c r="Z62" s="150"/>
    </row>
    <row r="63" spans="1:26" ht="13.2">
      <c r="A63" s="150" t="str">
        <f ca="1">IFERROR(__xludf.DUMMYFUNCTION("""COMPUTED_VALUE"""),"LeBlanc")</f>
        <v>LeBlanc</v>
      </c>
      <c r="B63" s="637" t="str">
        <f ca="1">IFERROR(__xludf.DUMMYFUNCTION("""COMPUTED_VALUE"""),"- Steroid: Q (Ultimate Q)
- Steroid: W (Ultimate W)
- Steroid: E (Ultimate E)
- Q and E are total damage")</f>
        <v>- Steroid: Q (Ultimate Q)
- Steroid: W (Ultimate W)
- Steroid: E (Ultimate E)
- Q and E are total damage</v>
      </c>
      <c r="C63" s="150"/>
      <c r="D63" s="150"/>
      <c r="E63" s="150"/>
      <c r="F63" s="150"/>
      <c r="G63" s="150"/>
      <c r="H63" s="150"/>
      <c r="I63" s="150"/>
      <c r="J63" s="150"/>
      <c r="K63" s="150"/>
      <c r="L63" s="150"/>
      <c r="M63" s="150"/>
      <c r="N63" s="150"/>
      <c r="O63" s="150"/>
      <c r="P63" s="150"/>
      <c r="Q63" s="150"/>
      <c r="R63" s="150"/>
      <c r="S63" s="150"/>
      <c r="T63" s="150"/>
      <c r="U63" s="150"/>
      <c r="V63" s="150"/>
      <c r="W63" s="150"/>
      <c r="X63" s="150"/>
      <c r="Y63" s="150"/>
      <c r="Z63" s="150"/>
    </row>
    <row r="64" spans="1:26" ht="13.2">
      <c r="A64" s="150" t="str">
        <f ca="1">IFERROR(__xludf.DUMMYFUNCTION("""COMPUTED_VALUE"""),"Lee Sin")</f>
        <v>Lee Sin</v>
      </c>
      <c r="B64" s="637" t="str">
        <f ca="1">IFERROR(__xludf.DUMMYFUNCTION("""COMPUTED_VALUE"""),"- Steroid: P (Attackspeed)
- Q is total damage")</f>
        <v>- Steroid: P (Attackspeed)
- Q is total damage</v>
      </c>
      <c r="C64" s="150"/>
      <c r="D64" s="150"/>
      <c r="E64" s="150"/>
      <c r="F64" s="150"/>
      <c r="G64" s="150"/>
      <c r="H64" s="150"/>
      <c r="I64" s="150"/>
      <c r="J64" s="150"/>
      <c r="K64" s="150"/>
      <c r="L64" s="150"/>
      <c r="M64" s="150"/>
      <c r="N64" s="150"/>
      <c r="O64" s="150"/>
      <c r="P64" s="150"/>
      <c r="Q64" s="150"/>
      <c r="R64" s="150"/>
      <c r="S64" s="150"/>
      <c r="T64" s="150"/>
      <c r="U64" s="150"/>
      <c r="V64" s="150"/>
      <c r="W64" s="150"/>
      <c r="X64" s="150"/>
      <c r="Y64" s="150"/>
      <c r="Z64" s="150"/>
    </row>
    <row r="65" spans="1:26" ht="13.2">
      <c r="A65" s="150" t="str">
        <f ca="1">IFERROR(__xludf.DUMMYFUNCTION("""COMPUTED_VALUE"""),"Leona")</f>
        <v>Leona</v>
      </c>
      <c r="B65" s="637" t="str">
        <f ca="1">IFERROR(__xludf.DUMMYFUNCTION("""COMPUTED_VALUE"""),"- Steroid: W (Activates W)")</f>
        <v>- Steroid: W (Activates W)</v>
      </c>
      <c r="C65" s="150"/>
      <c r="D65" s="150"/>
      <c r="E65" s="150"/>
      <c r="F65" s="150"/>
      <c r="G65" s="150"/>
      <c r="H65" s="150"/>
      <c r="I65" s="150"/>
      <c r="J65" s="150"/>
      <c r="K65" s="150"/>
      <c r="L65" s="150"/>
      <c r="M65" s="150"/>
      <c r="N65" s="150"/>
      <c r="O65" s="150"/>
      <c r="P65" s="150"/>
      <c r="Q65" s="150"/>
      <c r="R65" s="150"/>
      <c r="S65" s="150"/>
      <c r="T65" s="150"/>
      <c r="U65" s="150"/>
      <c r="V65" s="150"/>
      <c r="W65" s="150"/>
      <c r="X65" s="150"/>
      <c r="Y65" s="150"/>
      <c r="Z65" s="150"/>
    </row>
    <row r="66" spans="1:26" ht="13.2">
      <c r="A66" s="150" t="str">
        <f ca="1">IFERROR(__xludf.DUMMYFUNCTION("""COMPUTED_VALUE"""),"Lillia")</f>
        <v>Lillia</v>
      </c>
      <c r="B66" s="637" t="str">
        <f ca="1">IFERROR(__xludf.DUMMYFUNCTION("""COMPUTED_VALUE"""),"- Steroid: Q (do also the true damage part)
- Steroid: W (Centre damage)")</f>
        <v>- Steroid: Q (do also the true damage part)
- Steroid: W (Centre damage)</v>
      </c>
      <c r="C66" s="150"/>
      <c r="D66" s="150"/>
      <c r="E66" s="150"/>
      <c r="F66" s="150"/>
      <c r="G66" s="150"/>
      <c r="H66" s="150"/>
      <c r="I66" s="150"/>
      <c r="J66" s="150"/>
      <c r="K66" s="150"/>
      <c r="L66" s="150"/>
      <c r="M66" s="150"/>
      <c r="N66" s="150"/>
      <c r="O66" s="150"/>
      <c r="P66" s="150"/>
      <c r="Q66" s="150"/>
      <c r="R66" s="150"/>
      <c r="S66" s="150"/>
      <c r="T66" s="150"/>
      <c r="U66" s="150"/>
      <c r="V66" s="150"/>
      <c r="W66" s="150"/>
      <c r="X66" s="150"/>
      <c r="Y66" s="150"/>
      <c r="Z66" s="150"/>
    </row>
    <row r="67" spans="1:26" ht="13.2">
      <c r="A67" s="150" t="str">
        <f ca="1">IFERROR(__xludf.DUMMYFUNCTION("""COMPUTED_VALUE"""),"Lissandra")</f>
        <v>Lissandra</v>
      </c>
      <c r="B67" s="637" t="str">
        <f ca="1">IFERROR(__xludf.DUMMYFUNCTION("""COMPUTED_VALUE"""),"Nothing")</f>
        <v>Nothing</v>
      </c>
      <c r="C67" s="150"/>
      <c r="D67" s="150"/>
      <c r="E67" s="150"/>
      <c r="F67" s="150"/>
      <c r="G67" s="150"/>
      <c r="H67" s="150"/>
      <c r="I67" s="150"/>
      <c r="J67" s="150"/>
      <c r="K67" s="150"/>
      <c r="L67" s="150"/>
      <c r="M67" s="150"/>
      <c r="N67" s="150"/>
      <c r="O67" s="150"/>
      <c r="P67" s="150"/>
      <c r="Q67" s="150"/>
      <c r="R67" s="150"/>
      <c r="S67" s="150"/>
      <c r="T67" s="150"/>
      <c r="U67" s="150"/>
      <c r="V67" s="150"/>
      <c r="W67" s="150"/>
      <c r="X67" s="150"/>
      <c r="Y67" s="150"/>
      <c r="Z67" s="150"/>
    </row>
    <row r="68" spans="1:26" ht="13.2">
      <c r="A68" s="150" t="str">
        <f ca="1">IFERROR(__xludf.DUMMYFUNCTION("""COMPUTED_VALUE"""),"Lucian")</f>
        <v>Lucian</v>
      </c>
      <c r="B68" s="637" t="str">
        <f ca="1">IFERROR(__xludf.DUMMYFUNCTION("""COMPUTED_VALUE"""),"- Steroid: W (Bonus damage)
- R is total damage")</f>
        <v>- Steroid: W (Bonus damage)
- R is total damage</v>
      </c>
      <c r="C68" s="150"/>
      <c r="D68" s="150"/>
      <c r="E68" s="150"/>
      <c r="F68" s="150"/>
      <c r="G68" s="150"/>
      <c r="H68" s="150"/>
      <c r="I68" s="150"/>
      <c r="J68" s="150"/>
      <c r="K68" s="150"/>
      <c r="L68" s="150"/>
      <c r="M68" s="150"/>
      <c r="N68" s="150"/>
      <c r="O68" s="150"/>
      <c r="P68" s="150"/>
      <c r="Q68" s="150"/>
      <c r="R68" s="150"/>
      <c r="S68" s="150"/>
      <c r="T68" s="150"/>
      <c r="U68" s="150"/>
      <c r="V68" s="150"/>
      <c r="W68" s="150"/>
      <c r="X68" s="150"/>
      <c r="Y68" s="150"/>
      <c r="Z68" s="150"/>
    </row>
    <row r="69" spans="1:26" ht="13.2">
      <c r="A69" s="150" t="str">
        <f ca="1">IFERROR(__xludf.DUMMYFUNCTION("""COMPUTED_VALUE"""),"Lulu")</f>
        <v>Lulu</v>
      </c>
      <c r="B69" s="637" t="str">
        <f ca="1">IFERROR(__xludf.DUMMYFUNCTION("""COMPUTED_VALUE"""),"- Steroid: W (Give yourself attack speed)")</f>
        <v>- Steroid: W (Give yourself attack speed)</v>
      </c>
      <c r="C69" s="150"/>
      <c r="D69" s="150"/>
      <c r="E69" s="150"/>
      <c r="F69" s="150"/>
      <c r="G69" s="150"/>
      <c r="H69" s="150"/>
      <c r="I69" s="150"/>
      <c r="J69" s="150"/>
      <c r="K69" s="150"/>
      <c r="L69" s="150"/>
      <c r="M69" s="150"/>
      <c r="N69" s="150"/>
      <c r="O69" s="150"/>
      <c r="P69" s="150"/>
      <c r="Q69" s="150"/>
      <c r="R69" s="150"/>
      <c r="S69" s="150"/>
      <c r="T69" s="150"/>
      <c r="U69" s="150"/>
      <c r="V69" s="150"/>
      <c r="W69" s="150"/>
      <c r="X69" s="150"/>
      <c r="Y69" s="150"/>
      <c r="Z69" s="150"/>
    </row>
    <row r="70" spans="1:26" ht="13.2">
      <c r="A70" s="150" t="str">
        <f ca="1">IFERROR(__xludf.DUMMYFUNCTION("""COMPUTED_VALUE"""),"Lux")</f>
        <v>Lux</v>
      </c>
      <c r="B70" s="637" t="str">
        <f ca="1">IFERROR(__xludf.DUMMYFUNCTION("""COMPUTED_VALUE"""),"- W is total shield")</f>
        <v>- W is total shield</v>
      </c>
      <c r="C70" s="150"/>
      <c r="D70" s="150"/>
      <c r="E70" s="150"/>
      <c r="F70" s="150"/>
      <c r="G70" s="150"/>
      <c r="H70" s="150"/>
      <c r="I70" s="150"/>
      <c r="J70" s="150"/>
      <c r="K70" s="150"/>
      <c r="L70" s="150"/>
      <c r="M70" s="150"/>
      <c r="N70" s="150"/>
      <c r="O70" s="150"/>
      <c r="P70" s="150"/>
      <c r="Q70" s="150"/>
      <c r="R70" s="150"/>
      <c r="S70" s="150"/>
      <c r="T70" s="150"/>
      <c r="U70" s="150"/>
      <c r="V70" s="150"/>
      <c r="W70" s="150"/>
      <c r="X70" s="150"/>
      <c r="Y70" s="150"/>
      <c r="Z70" s="150"/>
    </row>
    <row r="71" spans="1:26" ht="13.2">
      <c r="A71" s="150" t="str">
        <f ca="1">IFERROR(__xludf.DUMMYFUNCTION("""COMPUTED_VALUE"""),"Malphite")</f>
        <v>Malphite</v>
      </c>
      <c r="B71" s="637" t="str">
        <f ca="1">IFERROR(__xludf.DUMMYFUNCTION("""COMPUTED_VALUE"""),"- Steroid: P (Gives shield)
- Steroid: W (Onhit damage)")</f>
        <v>- Steroid: P (Gives shield)
- Steroid: W (Onhit damage)</v>
      </c>
      <c r="C71" s="150"/>
      <c r="D71" s="150"/>
      <c r="E71" s="150"/>
      <c r="F71" s="150"/>
      <c r="G71" s="150"/>
      <c r="H71" s="150"/>
      <c r="I71" s="150"/>
      <c r="J71" s="150"/>
      <c r="K71" s="150"/>
      <c r="L71" s="150"/>
      <c r="M71" s="150"/>
      <c r="N71" s="150"/>
      <c r="O71" s="150"/>
      <c r="P71" s="150"/>
      <c r="Q71" s="150"/>
      <c r="R71" s="150"/>
      <c r="S71" s="150"/>
      <c r="T71" s="150"/>
      <c r="U71" s="150"/>
      <c r="V71" s="150"/>
      <c r="W71" s="150"/>
      <c r="X71" s="150"/>
      <c r="Y71" s="150"/>
      <c r="Z71" s="150"/>
    </row>
    <row r="72" spans="1:26" ht="13.2">
      <c r="A72" s="150" t="str">
        <f ca="1">IFERROR(__xludf.DUMMYFUNCTION("""COMPUTED_VALUE"""),"Malzahar")</f>
        <v>Malzahar</v>
      </c>
      <c r="B72" s="637" t="str">
        <f ca="1">IFERROR(__xludf.DUMMYFUNCTION("""COMPUTED_VALUE"""),"- E, R is total damage
- W is minion damage")</f>
        <v>- E, R is total damage
- W is minion damage</v>
      </c>
      <c r="C72" s="150"/>
      <c r="D72" s="150"/>
      <c r="E72" s="150"/>
      <c r="F72" s="150"/>
      <c r="G72" s="150"/>
      <c r="H72" s="150"/>
      <c r="I72" s="150"/>
      <c r="J72" s="150"/>
      <c r="K72" s="150"/>
      <c r="L72" s="150"/>
      <c r="M72" s="150"/>
      <c r="N72" s="150"/>
      <c r="O72" s="150"/>
      <c r="P72" s="150"/>
      <c r="Q72" s="150"/>
      <c r="R72" s="150"/>
      <c r="S72" s="150"/>
      <c r="T72" s="150"/>
      <c r="U72" s="150"/>
      <c r="V72" s="150"/>
      <c r="W72" s="150"/>
      <c r="X72" s="150"/>
      <c r="Y72" s="150"/>
      <c r="Z72" s="150"/>
    </row>
    <row r="73" spans="1:26" ht="13.2">
      <c r="A73" s="150" t="str">
        <f ca="1">IFERROR(__xludf.DUMMYFUNCTION("""COMPUTED_VALUE"""),"Maokai")</f>
        <v>Maokai</v>
      </c>
      <c r="B73" s="637" t="str">
        <f ca="1">IFERROR(__xludf.DUMMYFUNCTION("""COMPUTED_VALUE"""),"Nothing")</f>
        <v>Nothing</v>
      </c>
      <c r="C73" s="150"/>
      <c r="D73" s="150"/>
      <c r="E73" s="150"/>
      <c r="F73" s="150"/>
      <c r="G73" s="150"/>
      <c r="H73" s="150"/>
      <c r="I73" s="150"/>
      <c r="J73" s="150"/>
      <c r="K73" s="150"/>
      <c r="L73" s="150"/>
      <c r="M73" s="150"/>
      <c r="N73" s="150"/>
      <c r="O73" s="150"/>
      <c r="P73" s="150"/>
      <c r="Q73" s="150"/>
      <c r="R73" s="150"/>
      <c r="S73" s="150"/>
      <c r="T73" s="150"/>
      <c r="U73" s="150"/>
      <c r="V73" s="150"/>
      <c r="W73" s="150"/>
      <c r="X73" s="150"/>
      <c r="Y73" s="150"/>
      <c r="Z73" s="150"/>
    </row>
    <row r="74" spans="1:26" ht="13.2">
      <c r="A74" s="150" t="str">
        <f ca="1">IFERROR(__xludf.DUMMYFUNCTION("""COMPUTED_VALUE"""),"Master Yi")</f>
        <v>Master Yi</v>
      </c>
      <c r="B74" s="637" t="str">
        <f ca="1">IFERROR(__xludf.DUMMYFUNCTION("""COMPUTED_VALUE"""),"- Steroid: Q (Single target damage)
- Steroid: E (Activates E)
- Steroid: R (Activates R)")</f>
        <v>- Steroid: Q (Single target damage)
- Steroid: E (Activates E)
- Steroid: R (Activates R)</v>
      </c>
      <c r="C74" s="150"/>
      <c r="D74" s="150"/>
      <c r="E74" s="150"/>
      <c r="F74" s="150"/>
      <c r="G74" s="150"/>
      <c r="H74" s="150"/>
      <c r="I74" s="150"/>
      <c r="J74" s="150"/>
      <c r="K74" s="150"/>
      <c r="L74" s="150"/>
      <c r="M74" s="150"/>
      <c r="N74" s="150"/>
      <c r="O74" s="150"/>
      <c r="P74" s="150"/>
      <c r="Q74" s="150"/>
      <c r="R74" s="150"/>
      <c r="S74" s="150"/>
      <c r="T74" s="150"/>
      <c r="U74" s="150"/>
      <c r="V74" s="150"/>
      <c r="W74" s="150"/>
      <c r="X74" s="150"/>
      <c r="Y74" s="150"/>
      <c r="Z74" s="150"/>
    </row>
    <row r="75" spans="1:26" ht="13.2">
      <c r="A75" s="150" t="str">
        <f ca="1">IFERROR(__xludf.DUMMYFUNCTION("""COMPUTED_VALUE"""),"Miss Fortune")</f>
        <v>Miss Fortune</v>
      </c>
      <c r="B75" s="637" t="str">
        <f ca="1">IFERROR(__xludf.DUMMYFUNCTION("""COMPUTED_VALUE"""),"- Steroid: Q (Bounce damage)
- Steroid: W (Activates W)
- E and R are total damage")</f>
        <v>- Steroid: Q (Bounce damage)
- Steroid: W (Activates W)
- E and R are total damage</v>
      </c>
      <c r="C75" s="150"/>
      <c r="D75" s="150"/>
      <c r="E75" s="150"/>
      <c r="F75" s="150"/>
      <c r="G75" s="150"/>
      <c r="H75" s="150"/>
      <c r="I75" s="150"/>
      <c r="J75" s="150"/>
      <c r="K75" s="150"/>
      <c r="L75" s="150"/>
      <c r="M75" s="150"/>
      <c r="N75" s="150"/>
      <c r="O75" s="150"/>
      <c r="P75" s="150"/>
      <c r="Q75" s="150"/>
      <c r="R75" s="150"/>
      <c r="S75" s="150"/>
      <c r="T75" s="150"/>
      <c r="U75" s="150"/>
      <c r="V75" s="150"/>
      <c r="W75" s="150"/>
      <c r="X75" s="150"/>
      <c r="Y75" s="150"/>
      <c r="Z75" s="150"/>
    </row>
    <row r="76" spans="1:26" ht="13.2">
      <c r="A76" s="150" t="str">
        <f ca="1">IFERROR(__xludf.DUMMYFUNCTION("""COMPUTED_VALUE"""),"Mordekaiser")</f>
        <v>Mordekaiser</v>
      </c>
      <c r="B76" s="637" t="str">
        <f ca="1">IFERROR(__xludf.DUMMYFUNCTION("""COMPUTED_VALUE"""),"Nothing")</f>
        <v>Nothing</v>
      </c>
      <c r="C76" s="150"/>
      <c r="D76" s="150"/>
      <c r="E76" s="150"/>
      <c r="F76" s="150"/>
      <c r="G76" s="150"/>
      <c r="H76" s="150"/>
      <c r="I76" s="150"/>
      <c r="J76" s="150"/>
      <c r="K76" s="150"/>
      <c r="L76" s="150"/>
      <c r="M76" s="150"/>
      <c r="N76" s="150"/>
      <c r="O76" s="150"/>
      <c r="P76" s="150"/>
      <c r="Q76" s="150"/>
      <c r="R76" s="150"/>
      <c r="S76" s="150"/>
      <c r="T76" s="150"/>
      <c r="U76" s="150"/>
      <c r="V76" s="150"/>
      <c r="W76" s="150"/>
      <c r="X76" s="150"/>
      <c r="Y76" s="150"/>
      <c r="Z76" s="150"/>
    </row>
    <row r="77" spans="1:26" ht="13.2">
      <c r="A77" s="150" t="str">
        <f ca="1">IFERROR(__xludf.DUMMYFUNCTION("""COMPUTED_VALUE"""),"Morgana")</f>
        <v>Morgana</v>
      </c>
      <c r="B77" s="637" t="str">
        <f ca="1">IFERROR(__xludf.DUMMYFUNCTION("""COMPUTED_VALUE"""),"- W and R are total damage")</f>
        <v>- W and R are total damage</v>
      </c>
      <c r="C77" s="150"/>
      <c r="D77" s="150"/>
      <c r="E77" s="150"/>
      <c r="F77" s="150"/>
      <c r="G77" s="150"/>
      <c r="H77" s="150"/>
      <c r="I77" s="150"/>
      <c r="J77" s="150"/>
      <c r="K77" s="150"/>
      <c r="L77" s="150"/>
      <c r="M77" s="150"/>
      <c r="N77" s="150"/>
      <c r="O77" s="150"/>
      <c r="P77" s="150"/>
      <c r="Q77" s="150"/>
      <c r="R77" s="150"/>
      <c r="S77" s="150"/>
      <c r="T77" s="150"/>
      <c r="U77" s="150"/>
      <c r="V77" s="150"/>
      <c r="W77" s="150"/>
      <c r="X77" s="150"/>
      <c r="Y77" s="150"/>
      <c r="Z77" s="150"/>
    </row>
    <row r="78" spans="1:26" ht="13.2">
      <c r="A78" s="150" t="str">
        <f ca="1">IFERROR(__xludf.DUMMYFUNCTION("""COMPUTED_VALUE"""),"Nami")</f>
        <v>Nami</v>
      </c>
      <c r="B78" s="637" t="str">
        <f ca="1">IFERROR(__xludf.DUMMYFUNCTION("""COMPUTED_VALUE"""),"- E is total damage")</f>
        <v>- E is total damage</v>
      </c>
      <c r="C78" s="150"/>
      <c r="D78" s="150"/>
      <c r="E78" s="150"/>
      <c r="F78" s="150"/>
      <c r="G78" s="150"/>
      <c r="H78" s="150"/>
      <c r="I78" s="150"/>
      <c r="J78" s="150"/>
      <c r="K78" s="150"/>
      <c r="L78" s="150"/>
      <c r="M78" s="150"/>
      <c r="N78" s="150"/>
      <c r="O78" s="150"/>
      <c r="P78" s="150"/>
      <c r="Q78" s="150"/>
      <c r="R78" s="150"/>
      <c r="S78" s="150"/>
      <c r="T78" s="150"/>
      <c r="U78" s="150"/>
      <c r="V78" s="150"/>
      <c r="W78" s="150"/>
      <c r="X78" s="150"/>
      <c r="Y78" s="150"/>
      <c r="Z78" s="150"/>
    </row>
    <row r="79" spans="1:26" ht="13.2">
      <c r="A79" s="150" t="str">
        <f ca="1">IFERROR(__xludf.DUMMYFUNCTION("""COMPUTED_VALUE"""),"Nasus")</f>
        <v>Nasus</v>
      </c>
      <c r="B79" s="637" t="str">
        <f ca="1">IFERROR(__xludf.DUMMYFUNCTION("""COMPUTED_VALUE"""),"- Steroid: R (Life)
- Minions and kills increase Q damage
- R is damage per second
- E is total damage")</f>
        <v>- Steroid: R (Life)
- Minions and kills increase Q damage
- R is damage per second
- E is total damage</v>
      </c>
      <c r="C79" s="150"/>
      <c r="D79" s="150"/>
      <c r="E79" s="150"/>
      <c r="F79" s="150"/>
      <c r="G79" s="150"/>
      <c r="H79" s="150"/>
      <c r="I79" s="150"/>
      <c r="J79" s="150"/>
      <c r="K79" s="150"/>
      <c r="L79" s="150"/>
      <c r="M79" s="150"/>
      <c r="N79" s="150"/>
      <c r="O79" s="150"/>
      <c r="P79" s="150"/>
      <c r="Q79" s="150"/>
      <c r="R79" s="150"/>
      <c r="S79" s="150"/>
      <c r="T79" s="150"/>
      <c r="U79" s="150"/>
      <c r="V79" s="150"/>
      <c r="W79" s="150"/>
      <c r="X79" s="150"/>
      <c r="Y79" s="150"/>
      <c r="Z79" s="150"/>
    </row>
    <row r="80" spans="1:26" ht="13.2">
      <c r="A80" s="150" t="str">
        <f ca="1">IFERROR(__xludf.DUMMYFUNCTION("""COMPUTED_VALUE"""),"Nautilus")</f>
        <v>Nautilus</v>
      </c>
      <c r="B80" s="637" t="str">
        <f ca="1">IFERROR(__xludf.DUMMYFUNCTION("""COMPUTED_VALUE"""),"- Steroid: W (Onhit and shield)")</f>
        <v>- Steroid: W (Onhit and shield)</v>
      </c>
      <c r="C80" s="150"/>
      <c r="D80" s="150"/>
      <c r="E80" s="150"/>
      <c r="F80" s="150"/>
      <c r="G80" s="150"/>
      <c r="H80" s="150"/>
      <c r="I80" s="150"/>
      <c r="J80" s="150"/>
      <c r="K80" s="150"/>
      <c r="L80" s="150"/>
      <c r="M80" s="150"/>
      <c r="N80" s="150"/>
      <c r="O80" s="150"/>
      <c r="P80" s="150"/>
      <c r="Q80" s="150"/>
      <c r="R80" s="150"/>
      <c r="S80" s="150"/>
      <c r="T80" s="150"/>
      <c r="U80" s="150"/>
      <c r="V80" s="150"/>
      <c r="W80" s="150"/>
      <c r="X80" s="150"/>
      <c r="Y80" s="150"/>
      <c r="Z80" s="150"/>
    </row>
    <row r="81" spans="1:26" ht="13.2">
      <c r="A81" s="150" t="str">
        <f ca="1">IFERROR(__xludf.DUMMYFUNCTION("""COMPUTED_VALUE"""),"Neeko")</f>
        <v>Neeko</v>
      </c>
      <c r="B81" s="637" t="str">
        <f ca="1">IFERROR(__xludf.DUMMYFUNCTION("""COMPUTED_VALUE"""),"- Steroid: Q (Maximum damage)
- Steroid: R (Shield)
- Form: Max R shield
- If W is skilled it is in DPS")</f>
        <v>- Steroid: Q (Maximum damage)
- Steroid: R (Shield)
- Form: Max R shield
- If W is skilled it is in DPS</v>
      </c>
      <c r="C81" s="150"/>
      <c r="D81" s="150"/>
      <c r="E81" s="150"/>
      <c r="F81" s="150"/>
      <c r="G81" s="150"/>
      <c r="H81" s="150"/>
      <c r="I81" s="150"/>
      <c r="J81" s="150"/>
      <c r="K81" s="150"/>
      <c r="L81" s="150"/>
      <c r="M81" s="150"/>
      <c r="N81" s="150"/>
      <c r="O81" s="150"/>
      <c r="P81" s="150"/>
      <c r="Q81" s="150"/>
      <c r="R81" s="150"/>
      <c r="S81" s="150"/>
      <c r="T81" s="150"/>
      <c r="U81" s="150"/>
      <c r="V81" s="150"/>
      <c r="W81" s="150"/>
      <c r="X81" s="150"/>
      <c r="Y81" s="150"/>
      <c r="Z81" s="150"/>
    </row>
    <row r="82" spans="1:26" ht="13.2">
      <c r="A82" s="150" t="str">
        <f ca="1">IFERROR(__xludf.DUMMYFUNCTION("""COMPUTED_VALUE"""),"Nidalee")</f>
        <v>Nidalee</v>
      </c>
      <c r="B82" s="637" t="str">
        <f ca="1">IFERROR(__xludf.DUMMYFUNCTION("""COMPUTED_VALUE"""),"- Steroid: Q (Maximize damage)
- Steroid: E (As human increase attack speed)
- Form: Change into cat form")</f>
        <v>- Steroid: Q (Maximize damage)
- Steroid: E (As human increase attack speed)
- Form: Change into cat form</v>
      </c>
      <c r="C82" s="150"/>
      <c r="D82" s="150"/>
      <c r="E82" s="150"/>
      <c r="F82" s="150"/>
      <c r="G82" s="150"/>
      <c r="H82" s="150"/>
      <c r="I82" s="150"/>
      <c r="J82" s="150"/>
      <c r="K82" s="150"/>
      <c r="L82" s="150"/>
      <c r="M82" s="150"/>
      <c r="N82" s="150"/>
      <c r="O82" s="150"/>
      <c r="P82" s="150"/>
      <c r="Q82" s="150"/>
      <c r="R82" s="150"/>
      <c r="S82" s="150"/>
      <c r="T82" s="150"/>
      <c r="U82" s="150"/>
      <c r="V82" s="150"/>
      <c r="W82" s="150"/>
      <c r="X82" s="150"/>
      <c r="Y82" s="150"/>
      <c r="Z82" s="150"/>
    </row>
    <row r="83" spans="1:26" ht="13.2">
      <c r="A83" s="150" t="str">
        <f ca="1">IFERROR(__xludf.DUMMYFUNCTION("""COMPUTED_VALUE"""),"Nocturne")</f>
        <v>Nocturne</v>
      </c>
      <c r="B83" s="637" t="str">
        <f ca="1">IFERROR(__xludf.DUMMYFUNCTION("""COMPUTED_VALUE"""),"- Steroid: Q (Attack damage)
- Steroid: W (Spell blocked [Attackspeed])
- E is total damage")</f>
        <v>- Steroid: Q (Attack damage)
- Steroid: W (Spell blocked [Attackspeed])
- E is total damage</v>
      </c>
      <c r="C83" s="150"/>
      <c r="D83" s="150"/>
      <c r="E83" s="150"/>
      <c r="F83" s="150"/>
      <c r="G83" s="150"/>
      <c r="H83" s="150"/>
      <c r="I83" s="150"/>
      <c r="J83" s="150"/>
      <c r="K83" s="150"/>
      <c r="L83" s="150"/>
      <c r="M83" s="150"/>
      <c r="N83" s="150"/>
      <c r="O83" s="150"/>
      <c r="P83" s="150"/>
      <c r="Q83" s="150"/>
      <c r="R83" s="150"/>
      <c r="S83" s="150"/>
      <c r="T83" s="150"/>
      <c r="U83" s="150"/>
      <c r="V83" s="150"/>
      <c r="W83" s="150"/>
      <c r="X83" s="150"/>
      <c r="Y83" s="150"/>
      <c r="Z83" s="150"/>
    </row>
    <row r="84" spans="1:26" ht="13.2">
      <c r="A84" s="150" t="str">
        <f ca="1">IFERROR(__xludf.DUMMYFUNCTION("""COMPUTED_VALUE"""),"Nunu")</f>
        <v>Nunu</v>
      </c>
      <c r="B84" s="637" t="str">
        <f ca="1">IFERROR(__xludf.DUMMYFUNCTION("""COMPUTED_VALUE"""),"- Steroid: P (Attackspeed)
- Steroid: W (Maximum damage)
- E and R are max damage")</f>
        <v>- Steroid: P (Attackspeed)
- Steroid: W (Maximum damage)
- E and R are max damage</v>
      </c>
      <c r="C84" s="150"/>
      <c r="D84" s="150"/>
      <c r="E84" s="150"/>
      <c r="F84" s="150"/>
      <c r="G84" s="150"/>
      <c r="H84" s="150"/>
      <c r="I84" s="150"/>
      <c r="J84" s="150"/>
      <c r="K84" s="150"/>
      <c r="L84" s="150"/>
      <c r="M84" s="150"/>
      <c r="N84" s="150"/>
      <c r="O84" s="150"/>
      <c r="P84" s="150"/>
      <c r="Q84" s="150"/>
      <c r="R84" s="150"/>
      <c r="S84" s="150"/>
      <c r="T84" s="150"/>
      <c r="U84" s="150"/>
      <c r="V84" s="150"/>
      <c r="W84" s="150"/>
      <c r="X84" s="150"/>
      <c r="Y84" s="150"/>
      <c r="Z84" s="150"/>
    </row>
    <row r="85" spans="1:26" ht="13.2">
      <c r="A85" s="150" t="str">
        <f ca="1">IFERROR(__xludf.DUMMYFUNCTION("""COMPUTED_VALUE"""),"Olaf")</f>
        <v>Olaf</v>
      </c>
      <c r="B85" s="637" t="str">
        <f ca="1">IFERROR(__xludf.DUMMYFUNCTION("""COMPUTED_VALUE"""),"- Steroid: W (Activates W)
- Steroid: R (Activates R)")</f>
        <v>- Steroid: W (Activates W)
- Steroid: R (Activates R)</v>
      </c>
      <c r="C85" s="150"/>
      <c r="D85" s="150"/>
      <c r="E85" s="150"/>
      <c r="F85" s="150"/>
      <c r="G85" s="150"/>
      <c r="H85" s="150"/>
      <c r="I85" s="150"/>
      <c r="J85" s="150"/>
      <c r="K85" s="150"/>
      <c r="L85" s="150"/>
      <c r="M85" s="150"/>
      <c r="N85" s="150"/>
      <c r="O85" s="150"/>
      <c r="P85" s="150"/>
      <c r="Q85" s="150"/>
      <c r="R85" s="150"/>
      <c r="S85" s="150"/>
      <c r="T85" s="150"/>
      <c r="U85" s="150"/>
      <c r="V85" s="150"/>
      <c r="W85" s="150"/>
      <c r="X85" s="150"/>
      <c r="Y85" s="150"/>
      <c r="Z85" s="150"/>
    </row>
    <row r="86" spans="1:26" ht="13.2">
      <c r="A86" s="150" t="str">
        <f ca="1">IFERROR(__xludf.DUMMYFUNCTION("""COMPUTED_VALUE"""),"Orianna")</f>
        <v>Orianna</v>
      </c>
      <c r="B86" s="637" t="str">
        <f ca="1">IFERROR(__xludf.DUMMYFUNCTION("""COMPUTED_VALUE"""),"- Steroid: E (Armor and Resistance)
- P is first hit")</f>
        <v>- Steroid: E (Armor and Resistance)
- P is first hit</v>
      </c>
      <c r="C86" s="150"/>
      <c r="D86" s="150"/>
      <c r="E86" s="150"/>
      <c r="F86" s="150"/>
      <c r="G86" s="150"/>
      <c r="H86" s="150"/>
      <c r="I86" s="150"/>
      <c r="J86" s="150"/>
      <c r="K86" s="150"/>
      <c r="L86" s="150"/>
      <c r="M86" s="150"/>
      <c r="N86" s="150"/>
      <c r="O86" s="150"/>
      <c r="P86" s="150"/>
      <c r="Q86" s="150"/>
      <c r="R86" s="150"/>
      <c r="S86" s="150"/>
      <c r="T86" s="150"/>
      <c r="U86" s="150"/>
      <c r="V86" s="150"/>
      <c r="W86" s="150"/>
      <c r="X86" s="150"/>
      <c r="Y86" s="150"/>
      <c r="Z86" s="150"/>
    </row>
    <row r="87" spans="1:26" ht="13.2">
      <c r="A87" s="150" t="str">
        <f ca="1">IFERROR(__xludf.DUMMYFUNCTION("""COMPUTED_VALUE"""),"Ornn")</f>
        <v>Ornn</v>
      </c>
      <c r="B87" s="637" t="str">
        <f ca="1">IFERROR(__xludf.DUMMYFUNCTION("""COMPUTED_VALUE"""),"Nothing")</f>
        <v>Nothing</v>
      </c>
      <c r="C87" s="150"/>
      <c r="D87" s="150"/>
      <c r="E87" s="150"/>
      <c r="F87" s="150"/>
      <c r="G87" s="150"/>
      <c r="H87" s="150"/>
      <c r="I87" s="150"/>
      <c r="J87" s="150"/>
      <c r="K87" s="150"/>
      <c r="L87" s="150"/>
      <c r="M87" s="150"/>
      <c r="N87" s="150"/>
      <c r="O87" s="150"/>
      <c r="P87" s="150"/>
      <c r="Q87" s="150"/>
      <c r="R87" s="150"/>
      <c r="S87" s="150"/>
      <c r="T87" s="150"/>
      <c r="U87" s="150"/>
      <c r="V87" s="150"/>
      <c r="W87" s="150"/>
      <c r="X87" s="150"/>
      <c r="Y87" s="150"/>
      <c r="Z87" s="150"/>
    </row>
    <row r="88" spans="1:26" ht="13.2">
      <c r="A88" s="150" t="str">
        <f ca="1">IFERROR(__xludf.DUMMYFUNCTION("""COMPUTED_VALUE"""),"Pantheon")</f>
        <v>Pantheon</v>
      </c>
      <c r="B88" s="637" t="str">
        <f ca="1">IFERROR(__xludf.DUMMYFUNCTION("""COMPUTED_VALUE"""),"- Steroid: Q (Empowered Q)
- Steroid: W (Empowered W)
- Steroid: E (Empowered E)")</f>
        <v>- Steroid: Q (Empowered Q)
- Steroid: W (Empowered W)
- Steroid: E (Empowered E)</v>
      </c>
      <c r="C88" s="150"/>
      <c r="D88" s="150"/>
      <c r="E88" s="150"/>
      <c r="F88" s="150"/>
      <c r="G88" s="150"/>
      <c r="H88" s="150"/>
      <c r="I88" s="150"/>
      <c r="J88" s="150"/>
      <c r="K88" s="150"/>
      <c r="L88" s="150"/>
      <c r="M88" s="150"/>
      <c r="N88" s="150"/>
      <c r="O88" s="150"/>
      <c r="P88" s="150"/>
      <c r="Q88" s="150"/>
      <c r="R88" s="150"/>
      <c r="S88" s="150"/>
      <c r="T88" s="150"/>
      <c r="U88" s="150"/>
      <c r="V88" s="150"/>
      <c r="W88" s="150"/>
      <c r="X88" s="150"/>
      <c r="Y88" s="150"/>
      <c r="Z88" s="150"/>
    </row>
    <row r="89" spans="1:26" ht="13.2">
      <c r="A89" s="150" t="str">
        <f ca="1">IFERROR(__xludf.DUMMYFUNCTION("""COMPUTED_VALUE"""),"Poppy")</f>
        <v>Poppy</v>
      </c>
      <c r="B89" s="637" t="str">
        <f ca="1">IFERROR(__xludf.DUMMYFUNCTION("""COMPUTED_VALUE"""),"- Steroid: Q (Double damage)
- E is total damage
- R is full damage")</f>
        <v>- Steroid: Q (Double damage)
- E is total damage
- R is full damage</v>
      </c>
      <c r="C89" s="150"/>
      <c r="D89" s="150"/>
      <c r="E89" s="150"/>
      <c r="F89" s="150"/>
      <c r="G89" s="150"/>
      <c r="H89" s="150"/>
      <c r="I89" s="150"/>
      <c r="J89" s="150"/>
      <c r="K89" s="150"/>
      <c r="L89" s="150"/>
      <c r="M89" s="150"/>
      <c r="N89" s="150"/>
      <c r="O89" s="150"/>
      <c r="P89" s="150"/>
      <c r="Q89" s="150"/>
      <c r="R89" s="150"/>
      <c r="S89" s="150"/>
      <c r="T89" s="150"/>
      <c r="U89" s="150"/>
      <c r="V89" s="150"/>
      <c r="W89" s="150"/>
      <c r="X89" s="150"/>
      <c r="Y89" s="150"/>
      <c r="Z89" s="150"/>
    </row>
    <row r="90" spans="1:26" ht="13.2">
      <c r="A90" s="150" t="str">
        <f ca="1">IFERROR(__xludf.DUMMYFUNCTION("""COMPUTED_VALUE"""),"Pyke")</f>
        <v>Pyke</v>
      </c>
      <c r="B90" s="637" t="str">
        <f ca="1">IFERROR(__xludf.DUMMYFUNCTION("""COMPUTED_VALUE"""),"Nothing")</f>
        <v>Nothing</v>
      </c>
      <c r="C90" s="150"/>
      <c r="D90" s="150"/>
      <c r="E90" s="150"/>
      <c r="F90" s="150"/>
      <c r="G90" s="150"/>
      <c r="H90" s="150"/>
      <c r="I90" s="150"/>
      <c r="J90" s="150"/>
      <c r="K90" s="150"/>
      <c r="L90" s="150"/>
      <c r="M90" s="150"/>
      <c r="N90" s="150"/>
      <c r="O90" s="150"/>
      <c r="P90" s="150"/>
      <c r="Q90" s="150"/>
      <c r="R90" s="150"/>
      <c r="S90" s="150"/>
      <c r="T90" s="150"/>
      <c r="U90" s="150"/>
      <c r="V90" s="150"/>
      <c r="W90" s="150"/>
      <c r="X90" s="150"/>
      <c r="Y90" s="150"/>
      <c r="Z90" s="150"/>
    </row>
    <row r="91" spans="1:26" ht="13.2">
      <c r="A91" s="150" t="str">
        <f ca="1">IFERROR(__xludf.DUMMYFUNCTION("""COMPUTED_VALUE"""),"Qiyana")</f>
        <v>Qiyana</v>
      </c>
      <c r="B91" s="637" t="str">
        <f ca="1">IFERROR(__xludf.DUMMYFUNCTION("""COMPUTED_VALUE"""),"- Steroid: Q (Terrain bonus damage)
- Steroid: W (Attackspeed and onhit)")</f>
        <v>- Steroid: Q (Terrain bonus damage)
- Steroid: W (Attackspeed and onhit)</v>
      </c>
      <c r="C91" s="150"/>
      <c r="D91" s="150"/>
      <c r="E91" s="150"/>
      <c r="F91" s="150"/>
      <c r="G91" s="150"/>
      <c r="H91" s="150"/>
      <c r="I91" s="150"/>
      <c r="J91" s="150"/>
      <c r="K91" s="150"/>
      <c r="L91" s="150"/>
      <c r="M91" s="150"/>
      <c r="N91" s="150"/>
      <c r="O91" s="150"/>
      <c r="P91" s="150"/>
      <c r="Q91" s="150"/>
      <c r="R91" s="150"/>
      <c r="S91" s="150"/>
      <c r="T91" s="150"/>
      <c r="U91" s="150"/>
      <c r="V91" s="150"/>
      <c r="W91" s="150"/>
      <c r="X91" s="150"/>
      <c r="Y91" s="150"/>
      <c r="Z91" s="150"/>
    </row>
    <row r="92" spans="1:26" ht="13.2">
      <c r="A92" s="150" t="str">
        <f ca="1">IFERROR(__xludf.DUMMYFUNCTION("""COMPUTED_VALUE"""),"Quinn")</f>
        <v>Quinn</v>
      </c>
      <c r="B92" s="637" t="str">
        <f ca="1">IFERROR(__xludf.DUMMYFUNCTION("""COMPUTED_VALUE"""),"- Steroid: W (Gives passive proc)
- Passive in damage per second
- Form: Using R")</f>
        <v>- Steroid: W (Gives passive proc)
- Passive in damage per second
- Form: Using R</v>
      </c>
      <c r="C92" s="150"/>
      <c r="D92" s="150"/>
      <c r="E92" s="150"/>
      <c r="F92" s="150"/>
      <c r="G92" s="150"/>
      <c r="H92" s="150"/>
      <c r="I92" s="150"/>
      <c r="J92" s="150"/>
      <c r="K92" s="150"/>
      <c r="L92" s="150"/>
      <c r="M92" s="150"/>
      <c r="N92" s="150"/>
      <c r="O92" s="150"/>
      <c r="P92" s="150"/>
      <c r="Q92" s="150"/>
      <c r="R92" s="150"/>
      <c r="S92" s="150"/>
      <c r="T92" s="150"/>
      <c r="U92" s="150"/>
      <c r="V92" s="150"/>
      <c r="W92" s="150"/>
      <c r="X92" s="150"/>
      <c r="Y92" s="150"/>
      <c r="Z92" s="150"/>
    </row>
    <row r="93" spans="1:26" ht="13.2">
      <c r="A93" s="150" t="str">
        <f ca="1">IFERROR(__xludf.DUMMYFUNCTION("""COMPUTED_VALUE"""),"Rakan")</f>
        <v>Rakan</v>
      </c>
      <c r="B93" s="637" t="str">
        <f ca="1">IFERROR(__xludf.DUMMYFUNCTION("""COMPUTED_VALUE"""),"Nothing")</f>
        <v>Nothing</v>
      </c>
      <c r="C93" s="150"/>
      <c r="D93" s="150"/>
      <c r="E93" s="150"/>
      <c r="F93" s="150"/>
      <c r="G93" s="150"/>
      <c r="H93" s="150"/>
      <c r="I93" s="150"/>
      <c r="J93" s="150"/>
      <c r="K93" s="150"/>
      <c r="L93" s="150"/>
      <c r="M93" s="150"/>
      <c r="N93" s="150"/>
      <c r="O93" s="150"/>
      <c r="P93" s="150"/>
      <c r="Q93" s="150"/>
      <c r="R93" s="150"/>
      <c r="S93" s="150"/>
      <c r="T93" s="150"/>
      <c r="U93" s="150"/>
      <c r="V93" s="150"/>
      <c r="W93" s="150"/>
      <c r="X93" s="150"/>
      <c r="Y93" s="150"/>
      <c r="Z93" s="150"/>
    </row>
    <row r="94" spans="1:26" ht="13.2">
      <c r="A94" s="150" t="str">
        <f ca="1">IFERROR(__xludf.DUMMYFUNCTION("""COMPUTED_VALUE"""),"Rammus")</f>
        <v>Rammus</v>
      </c>
      <c r="B94" s="637" t="str">
        <f ca="1">IFERROR(__xludf.DUMMYFUNCTION("""COMPUTED_VALUE"""),"- Steroid: W (Armor, resistances and passive damage)
- Steroid: R (Maximum R damage)")</f>
        <v>- Steroid: W (Armor, resistances and passive damage)
- Steroid: R (Maximum R damage)</v>
      </c>
      <c r="C94" s="150"/>
      <c r="D94" s="150"/>
      <c r="E94" s="150"/>
      <c r="F94" s="150"/>
      <c r="G94" s="150"/>
      <c r="H94" s="150"/>
      <c r="I94" s="150"/>
      <c r="J94" s="150"/>
      <c r="K94" s="150"/>
      <c r="L94" s="150"/>
      <c r="M94" s="150"/>
      <c r="N94" s="150"/>
      <c r="O94" s="150"/>
      <c r="P94" s="150"/>
      <c r="Q94" s="150"/>
      <c r="R94" s="150"/>
      <c r="S94" s="150"/>
      <c r="T94" s="150"/>
      <c r="U94" s="150"/>
      <c r="V94" s="150"/>
      <c r="W94" s="150"/>
      <c r="X94" s="150"/>
      <c r="Y94" s="150"/>
      <c r="Z94" s="150"/>
    </row>
    <row r="95" spans="1:26" ht="13.2">
      <c r="A95" s="150" t="str">
        <f ca="1">IFERROR(__xludf.DUMMYFUNCTION("""COMPUTED_VALUE"""),"Rek'Sai")</f>
        <v>Rek'Sai</v>
      </c>
      <c r="B95" s="637" t="str">
        <f ca="1">IFERROR(__xludf.DUMMYFUNCTION("""COMPUTED_VALUE"""),"- Steroid: Q (Activates Q)
- Form: Burrow")</f>
        <v>- Steroid: Q (Activates Q)
- Form: Burrow</v>
      </c>
      <c r="C95" s="150"/>
      <c r="D95" s="150"/>
      <c r="E95" s="150"/>
      <c r="F95" s="150"/>
      <c r="G95" s="150"/>
      <c r="H95" s="150"/>
      <c r="I95" s="150"/>
      <c r="J95" s="150"/>
      <c r="K95" s="150"/>
      <c r="L95" s="150"/>
      <c r="M95" s="150"/>
      <c r="N95" s="150"/>
      <c r="O95" s="150"/>
      <c r="P95" s="150"/>
      <c r="Q95" s="150"/>
      <c r="R95" s="150"/>
      <c r="S95" s="150"/>
      <c r="T95" s="150"/>
      <c r="U95" s="150"/>
      <c r="V95" s="150"/>
      <c r="W95" s="150"/>
      <c r="X95" s="150"/>
      <c r="Y95" s="150"/>
      <c r="Z95" s="150"/>
    </row>
    <row r="96" spans="1:26" ht="13.2">
      <c r="A96" s="150" t="str">
        <f ca="1">IFERROR(__xludf.DUMMYFUNCTION("""COMPUTED_VALUE"""),"Renekton")</f>
        <v>Renekton</v>
      </c>
      <c r="B96" s="637" t="str">
        <f ca="1">IFERROR(__xludf.DUMMYFUNCTION("""COMPUTED_VALUE"""),"- Steroid: Q (Empowered Q)
- Steroid: W (Empowered W)
- Steroid: E (Empowered E)
- Steroid: R (Health)
- R is total damage")</f>
        <v>- Steroid: Q (Empowered Q)
- Steroid: W (Empowered W)
- Steroid: E (Empowered E)
- Steroid: R (Health)
- R is total damage</v>
      </c>
      <c r="C96" s="150"/>
      <c r="D96" s="150"/>
      <c r="E96" s="150"/>
      <c r="F96" s="150"/>
      <c r="G96" s="150"/>
      <c r="H96" s="150"/>
      <c r="I96" s="150"/>
      <c r="J96" s="150"/>
      <c r="K96" s="150"/>
      <c r="L96" s="150"/>
      <c r="M96" s="150"/>
      <c r="N96" s="150"/>
      <c r="O96" s="150"/>
      <c r="P96" s="150"/>
      <c r="Q96" s="150"/>
      <c r="R96" s="150"/>
      <c r="S96" s="150"/>
      <c r="T96" s="150"/>
      <c r="U96" s="150"/>
      <c r="V96" s="150"/>
      <c r="W96" s="150"/>
      <c r="X96" s="150"/>
      <c r="Y96" s="150"/>
      <c r="Z96" s="150"/>
    </row>
    <row r="97" spans="1:26" ht="13.2">
      <c r="A97" s="150" t="str">
        <f ca="1">IFERROR(__xludf.DUMMYFUNCTION("""COMPUTED_VALUE"""),"Rengar")</f>
        <v>Rengar</v>
      </c>
      <c r="B97" s="637" t="str">
        <f ca="1">IFERROR(__xludf.DUMMYFUNCTION("""COMPUTED_VALUE"""),"- Steroid: Q (Empowered Q)
- Steroid: W (Empowered W)
- Steroid: E (Empowered E)
- Bounty stacks = Necklace stacks")</f>
        <v>- Steroid: Q (Empowered Q)
- Steroid: W (Empowered W)
- Steroid: E (Empowered E)
- Bounty stacks = Necklace stacks</v>
      </c>
      <c r="C97" s="150"/>
      <c r="D97" s="150"/>
      <c r="E97" s="150"/>
      <c r="F97" s="150"/>
      <c r="G97" s="150"/>
      <c r="H97" s="150"/>
      <c r="I97" s="150"/>
      <c r="J97" s="150"/>
      <c r="K97" s="150"/>
      <c r="L97" s="150"/>
      <c r="M97" s="150"/>
      <c r="N97" s="150"/>
      <c r="O97" s="150"/>
      <c r="P97" s="150"/>
      <c r="Q97" s="150"/>
      <c r="R97" s="150"/>
      <c r="S97" s="150"/>
      <c r="T97" s="150"/>
      <c r="U97" s="150"/>
      <c r="V97" s="150"/>
      <c r="W97" s="150"/>
      <c r="X97" s="150"/>
      <c r="Y97" s="150"/>
      <c r="Z97" s="150"/>
    </row>
    <row r="98" spans="1:26" ht="13.2">
      <c r="A98" s="150" t="str">
        <f ca="1">IFERROR(__xludf.DUMMYFUNCTION("""COMPUTED_VALUE"""),"Riven")</f>
        <v>Riven</v>
      </c>
      <c r="B98" s="637" t="str">
        <f ca="1">IFERROR(__xludf.DUMMYFUNCTION("""COMPUTED_VALUE"""),"- Steroid: R (Activates R for AD)
- Q is total damage")</f>
        <v>- Steroid: R (Activates R for AD)
- Q is total damage</v>
      </c>
      <c r="C98" s="150"/>
      <c r="D98" s="150"/>
      <c r="E98" s="150"/>
      <c r="F98" s="150"/>
      <c r="G98" s="150"/>
      <c r="H98" s="150"/>
      <c r="I98" s="150"/>
      <c r="J98" s="150"/>
      <c r="K98" s="150"/>
      <c r="L98" s="150"/>
      <c r="M98" s="150"/>
      <c r="N98" s="150"/>
      <c r="O98" s="150"/>
      <c r="P98" s="150"/>
      <c r="Q98" s="150"/>
      <c r="R98" s="150"/>
      <c r="S98" s="150"/>
      <c r="T98" s="150"/>
      <c r="U98" s="150"/>
      <c r="V98" s="150"/>
      <c r="W98" s="150"/>
      <c r="X98" s="150"/>
      <c r="Y98" s="150"/>
      <c r="Z98" s="150"/>
    </row>
    <row r="99" spans="1:26" ht="13.2">
      <c r="A99" s="150" t="str">
        <f ca="1">IFERROR(__xludf.DUMMYFUNCTION("""COMPUTED_VALUE"""),"Rumble")</f>
        <v>Rumble</v>
      </c>
      <c r="B99" s="637" t="str">
        <f ca="1">IFERROR(__xludf.DUMMYFUNCTION("""COMPUTED_VALUE"""),"- Steroid: Q (Perfect heat zone)
- Steroid: W (Perfect heat zone)
- Steroid: E (Perfect heat zone)
- Steroid: P (Overheat)")</f>
        <v>- Steroid: Q (Perfect heat zone)
- Steroid: W (Perfect heat zone)
- Steroid: E (Perfect heat zone)
- Steroid: P (Overheat)</v>
      </c>
      <c r="C99" s="150"/>
      <c r="D99" s="150"/>
      <c r="E99" s="150"/>
      <c r="F99" s="150"/>
      <c r="G99" s="150"/>
      <c r="H99" s="150"/>
      <c r="I99" s="150"/>
      <c r="J99" s="150"/>
      <c r="K99" s="150"/>
      <c r="L99" s="150"/>
      <c r="M99" s="150"/>
      <c r="N99" s="150"/>
      <c r="O99" s="150"/>
      <c r="P99" s="150"/>
      <c r="Q99" s="150"/>
      <c r="R99" s="150"/>
      <c r="S99" s="150"/>
      <c r="T99" s="150"/>
      <c r="U99" s="150"/>
      <c r="V99" s="150"/>
      <c r="W99" s="150"/>
      <c r="X99" s="150"/>
      <c r="Y99" s="150"/>
      <c r="Z99" s="150"/>
    </row>
    <row r="100" spans="1:26" ht="13.2">
      <c r="A100" s="150" t="str">
        <f ca="1">IFERROR(__xludf.DUMMYFUNCTION("""COMPUTED_VALUE"""),"Ryze")</f>
        <v>Ryze</v>
      </c>
      <c r="B100" s="637" t="str">
        <f ca="1">IFERROR(__xludf.DUMMYFUNCTION("""COMPUTED_VALUE"""),"- Steroid: Q (Empowered Q)")</f>
        <v>- Steroid: Q (Empowered Q)</v>
      </c>
      <c r="C100" s="150"/>
      <c r="D100" s="150"/>
      <c r="E100" s="150"/>
      <c r="F100" s="150"/>
      <c r="G100" s="150"/>
      <c r="H100" s="150"/>
      <c r="I100" s="150"/>
      <c r="J100" s="150"/>
      <c r="K100" s="150"/>
      <c r="L100" s="150"/>
      <c r="M100" s="150"/>
      <c r="N100" s="150"/>
      <c r="O100" s="150"/>
      <c r="P100" s="150"/>
      <c r="Q100" s="150"/>
      <c r="R100" s="150"/>
      <c r="S100" s="150"/>
      <c r="T100" s="150"/>
      <c r="U100" s="150"/>
      <c r="V100" s="150"/>
      <c r="W100" s="150"/>
      <c r="X100" s="150"/>
      <c r="Y100" s="150"/>
      <c r="Z100" s="150"/>
    </row>
    <row r="101" spans="1:26" ht="13.2">
      <c r="A101" s="150" t="str">
        <f ca="1">IFERROR(__xludf.DUMMYFUNCTION("""COMPUTED_VALUE"""),"Samira")</f>
        <v>Samira</v>
      </c>
      <c r="B101" s="637" t="str">
        <f ca="1">IFERROR(__xludf.DUMMYFUNCTION("""COMPUTED_VALUE"""),"- Steroid: E (Attack speed buff)
- Steroid: P (Get the melee damage bonus)")</f>
        <v>- Steroid: E (Attack speed buff)
- Steroid: P (Get the melee damage bonus)</v>
      </c>
      <c r="C101" s="150"/>
      <c r="D101" s="150"/>
      <c r="E101" s="150"/>
      <c r="F101" s="150"/>
      <c r="G101" s="150"/>
      <c r="H101" s="150"/>
      <c r="I101" s="150"/>
      <c r="J101" s="150"/>
      <c r="K101" s="150"/>
      <c r="L101" s="150"/>
      <c r="M101" s="150"/>
      <c r="N101" s="150"/>
      <c r="O101" s="150"/>
      <c r="P101" s="150"/>
      <c r="Q101" s="150"/>
      <c r="R101" s="150"/>
      <c r="S101" s="150"/>
      <c r="T101" s="150"/>
      <c r="U101" s="150"/>
      <c r="V101" s="150"/>
      <c r="W101" s="150"/>
      <c r="X101" s="150"/>
      <c r="Y101" s="150"/>
      <c r="Z101" s="150"/>
    </row>
    <row r="102" spans="1:26" ht="13.2">
      <c r="A102" s="150" t="str">
        <f ca="1">IFERROR(__xludf.DUMMYFUNCTION("""COMPUTED_VALUE"""),"Sejuani")</f>
        <v>Sejuani</v>
      </c>
      <c r="B102" s="637" t="str">
        <f ca="1">IFERROR(__xludf.DUMMYFUNCTION("""COMPUTED_VALUE"""),"- Steroid: E (Add shatter damage)
- Steroid: R (Direct hit)")</f>
        <v>- Steroid: E (Add shatter damage)
- Steroid: R (Direct hit)</v>
      </c>
      <c r="C102" s="150"/>
      <c r="D102" s="150"/>
      <c r="E102" s="150"/>
      <c r="F102" s="150"/>
      <c r="G102" s="150"/>
      <c r="H102" s="150"/>
      <c r="I102" s="150"/>
      <c r="J102" s="150"/>
      <c r="K102" s="150"/>
      <c r="L102" s="150"/>
      <c r="M102" s="150"/>
      <c r="N102" s="150"/>
      <c r="O102" s="150"/>
      <c r="P102" s="150"/>
      <c r="Q102" s="150"/>
      <c r="R102" s="150"/>
      <c r="S102" s="150"/>
      <c r="T102" s="150"/>
      <c r="U102" s="150"/>
      <c r="V102" s="150"/>
      <c r="W102" s="150"/>
      <c r="X102" s="150"/>
      <c r="Y102" s="150"/>
      <c r="Z102" s="150"/>
    </row>
    <row r="103" spans="1:26" ht="13.2">
      <c r="A103" s="150" t="str">
        <f ca="1">IFERROR(__xludf.DUMMYFUNCTION("""COMPUTED_VALUE"""),"Senna")</f>
        <v>Senna</v>
      </c>
      <c r="B103" s="637" t="str">
        <f ca="1">IFERROR(__xludf.DUMMYFUNCTION("""COMPUTED_VALUE"""),"- Minions = Passive stacks")</f>
        <v>- Minions = Passive stacks</v>
      </c>
      <c r="C103" s="150"/>
      <c r="D103" s="150"/>
      <c r="E103" s="150"/>
      <c r="F103" s="150"/>
      <c r="G103" s="150"/>
      <c r="H103" s="150"/>
      <c r="I103" s="150"/>
      <c r="J103" s="150"/>
      <c r="K103" s="150"/>
      <c r="L103" s="150"/>
      <c r="M103" s="150"/>
      <c r="N103" s="150"/>
      <c r="O103" s="150"/>
      <c r="P103" s="150"/>
      <c r="Q103" s="150"/>
      <c r="R103" s="150"/>
      <c r="S103" s="150"/>
      <c r="T103" s="150"/>
      <c r="U103" s="150"/>
      <c r="V103" s="150"/>
      <c r="W103" s="150"/>
      <c r="X103" s="150"/>
      <c r="Y103" s="150"/>
      <c r="Z103" s="150"/>
    </row>
    <row r="104" spans="1:26" ht="13.2">
      <c r="A104" s="150" t="str">
        <f ca="1">IFERROR(__xludf.DUMMYFUNCTION("""COMPUTED_VALUE"""),"Sett")</f>
        <v>Sett</v>
      </c>
      <c r="B104" s="637" t="str">
        <f ca="1">IFERROR(__xludf.DUMMYFUNCTION("""COMPUTED_VALUE"""),"- Steroid: W (Use with maximum Grit)
- Passive damage is only bonus damage")</f>
        <v>- Steroid: W (Use with maximum Grit)
- Passive damage is only bonus damage</v>
      </c>
      <c r="C104" s="150"/>
      <c r="D104" s="150"/>
      <c r="E104" s="150"/>
      <c r="F104" s="150"/>
      <c r="G104" s="150"/>
      <c r="H104" s="150"/>
      <c r="I104" s="150"/>
      <c r="J104" s="150"/>
      <c r="K104" s="150"/>
      <c r="L104" s="150"/>
      <c r="M104" s="150"/>
      <c r="N104" s="150"/>
      <c r="O104" s="150"/>
      <c r="P104" s="150"/>
      <c r="Q104" s="150"/>
      <c r="R104" s="150"/>
      <c r="S104" s="150"/>
      <c r="T104" s="150"/>
      <c r="U104" s="150"/>
      <c r="V104" s="150"/>
      <c r="W104" s="150"/>
      <c r="X104" s="150"/>
      <c r="Y104" s="150"/>
      <c r="Z104" s="150"/>
    </row>
    <row r="105" spans="1:26" ht="13.2">
      <c r="A105" s="150" t="str">
        <f ca="1">IFERROR(__xludf.DUMMYFUNCTION("""COMPUTED_VALUE"""),"Shaco")</f>
        <v>Shaco</v>
      </c>
      <c r="B105" s="637" t="str">
        <f ca="1">IFERROR(__xludf.DUMMYFUNCTION("""COMPUTED_VALUE"""),"- Steroid: Q | W | E (Backstab damage and box total damage)
- R is explosion damage")</f>
        <v>- Steroid: Q | W | E (Backstab damage and box total damage)
- R is explosion damage</v>
      </c>
      <c r="C105" s="150"/>
      <c r="D105" s="150"/>
      <c r="E105" s="150"/>
      <c r="F105" s="150"/>
      <c r="G105" s="150"/>
      <c r="H105" s="150"/>
      <c r="I105" s="150"/>
      <c r="J105" s="150"/>
      <c r="K105" s="150"/>
      <c r="L105" s="150"/>
      <c r="M105" s="150"/>
      <c r="N105" s="150"/>
      <c r="O105" s="150"/>
      <c r="P105" s="150"/>
      <c r="Q105" s="150"/>
      <c r="R105" s="150"/>
      <c r="S105" s="150"/>
      <c r="T105" s="150"/>
      <c r="U105" s="150"/>
      <c r="V105" s="150"/>
      <c r="W105" s="150"/>
      <c r="X105" s="150"/>
      <c r="Y105" s="150"/>
      <c r="Z105" s="150"/>
    </row>
    <row r="106" spans="1:26" ht="13.2">
      <c r="A106" s="150" t="str">
        <f ca="1">IFERROR(__xludf.DUMMYFUNCTION("""COMPUTED_VALUE"""),"Shen")</f>
        <v>Shen</v>
      </c>
      <c r="B106" s="637" t="str">
        <f ca="1">IFERROR(__xludf.DUMMYFUNCTION("""COMPUTED_VALUE"""),"- Steroid: Q (Empowered damage)
- Steroid: R (Empowered R)")</f>
        <v>- Steroid: Q (Empowered damage)
- Steroid: R (Empowered R)</v>
      </c>
      <c r="C106" s="150"/>
      <c r="D106" s="150"/>
      <c r="E106" s="150"/>
      <c r="F106" s="150"/>
      <c r="G106" s="150"/>
      <c r="H106" s="150"/>
      <c r="I106" s="150"/>
      <c r="J106" s="150"/>
      <c r="K106" s="150"/>
      <c r="L106" s="150"/>
      <c r="M106" s="150"/>
      <c r="N106" s="150"/>
      <c r="O106" s="150"/>
      <c r="P106" s="150"/>
      <c r="Q106" s="150"/>
      <c r="R106" s="150"/>
      <c r="S106" s="150"/>
      <c r="T106" s="150"/>
      <c r="U106" s="150"/>
      <c r="V106" s="150"/>
      <c r="W106" s="150"/>
      <c r="X106" s="150"/>
      <c r="Y106" s="150"/>
      <c r="Z106" s="150"/>
    </row>
    <row r="107" spans="1:26" ht="13.2">
      <c r="A107" s="150" t="str">
        <f ca="1">IFERROR(__xludf.DUMMYFUNCTION("""COMPUTED_VALUE"""),"Shyvana")</f>
        <v>Shyvana</v>
      </c>
      <c r="B107" s="637" t="str">
        <f ca="1">IFERROR(__xludf.DUMMYFUNCTION("""COMPUTED_VALUE"""),"- Form: Change into dragon form
- Infernals give bonus to passive
- E is total damage (dragon form)
- W damage is per tick")</f>
        <v>- Form: Change into dragon form
- Infernals give bonus to passive
- E is total damage (dragon form)
- W damage is per tick</v>
      </c>
      <c r="C107" s="150"/>
      <c r="D107" s="150"/>
      <c r="E107" s="150"/>
      <c r="F107" s="150"/>
      <c r="G107" s="150"/>
      <c r="H107" s="150"/>
      <c r="I107" s="150"/>
      <c r="J107" s="150"/>
      <c r="K107" s="150"/>
      <c r="L107" s="150"/>
      <c r="M107" s="150"/>
      <c r="N107" s="150"/>
      <c r="O107" s="150"/>
      <c r="P107" s="150"/>
      <c r="Q107" s="150"/>
      <c r="R107" s="150"/>
      <c r="S107" s="150"/>
      <c r="T107" s="150"/>
      <c r="U107" s="150"/>
      <c r="V107" s="150"/>
      <c r="W107" s="150"/>
      <c r="X107" s="150"/>
      <c r="Y107" s="150"/>
      <c r="Z107" s="150"/>
    </row>
    <row r="108" spans="1:26" ht="13.2">
      <c r="A108" s="150" t="str">
        <f ca="1">IFERROR(__xludf.DUMMYFUNCTION("""COMPUTED_VALUE"""),"Singed")</f>
        <v>Singed</v>
      </c>
      <c r="B108" s="637" t="str">
        <f ca="1">IFERROR(__xludf.DUMMYFUNCTION("""COMPUTED_VALUE"""),"- Steroid: R (Activates R)
- Q is total damage")</f>
        <v>- Steroid: R (Activates R)
- Q is total damage</v>
      </c>
      <c r="C108" s="150"/>
      <c r="D108" s="150"/>
      <c r="E108" s="150"/>
      <c r="F108" s="150"/>
      <c r="G108" s="150"/>
      <c r="H108" s="150"/>
      <c r="I108" s="150"/>
      <c r="J108" s="150"/>
      <c r="K108" s="150"/>
      <c r="L108" s="150"/>
      <c r="M108" s="150"/>
      <c r="N108" s="150"/>
      <c r="O108" s="150"/>
      <c r="P108" s="150"/>
      <c r="Q108" s="150"/>
      <c r="R108" s="150"/>
      <c r="S108" s="150"/>
      <c r="T108" s="150"/>
      <c r="U108" s="150"/>
      <c r="V108" s="150"/>
      <c r="W108" s="150"/>
      <c r="X108" s="150"/>
      <c r="Y108" s="150"/>
      <c r="Z108" s="150"/>
    </row>
    <row r="109" spans="1:26" ht="13.2">
      <c r="A109" s="150" t="str">
        <f ca="1">IFERROR(__xludf.DUMMYFUNCTION("""COMPUTED_VALUE"""),"Sion")</f>
        <v>Sion</v>
      </c>
      <c r="B109" s="637" t="str">
        <f ca="1">IFERROR(__xludf.DUMMYFUNCTION("""COMPUTED_VALUE"""),"- Steroid: Q (Fully channeled Q)
- Steroid: R (Maximum damage R)
- Minions and Kills increase HP")</f>
        <v>- Steroid: Q (Fully channeled Q)
- Steroid: R (Maximum damage R)
- Minions and Kills increase HP</v>
      </c>
      <c r="C109" s="150"/>
      <c r="D109" s="150"/>
      <c r="E109" s="150"/>
      <c r="F109" s="150"/>
      <c r="G109" s="150"/>
      <c r="H109" s="150"/>
      <c r="I109" s="150"/>
      <c r="J109" s="150"/>
      <c r="K109" s="150"/>
      <c r="L109" s="150"/>
      <c r="M109" s="150"/>
      <c r="N109" s="150"/>
      <c r="O109" s="150"/>
      <c r="P109" s="150"/>
      <c r="Q109" s="150"/>
      <c r="R109" s="150"/>
      <c r="S109" s="150"/>
      <c r="T109" s="150"/>
      <c r="U109" s="150"/>
      <c r="V109" s="150"/>
      <c r="W109" s="150"/>
      <c r="X109" s="150"/>
      <c r="Y109" s="150"/>
      <c r="Z109" s="150"/>
    </row>
    <row r="110" spans="1:26" ht="13.2">
      <c r="A110" s="150" t="str">
        <f ca="1">IFERROR(__xludf.DUMMYFUNCTION("""COMPUTED_VALUE"""),"Sivir")</f>
        <v>Sivir</v>
      </c>
      <c r="B110" s="637" t="str">
        <f ca="1">IFERROR(__xludf.DUMMYFUNCTION("""COMPUTED_VALUE"""),"- Steroid: P (Movementspeed)
- Steroid: Q (Double hit the boomerang for max dmg)
- Steroid: W (Attackspeed)")</f>
        <v>- Steroid: P (Movementspeed)
- Steroid: Q (Double hit the boomerang for max dmg)
- Steroid: W (Attackspeed)</v>
      </c>
      <c r="C110" s="150"/>
      <c r="D110" s="150"/>
      <c r="E110" s="150"/>
      <c r="F110" s="150"/>
      <c r="G110" s="150"/>
      <c r="H110" s="150"/>
      <c r="I110" s="150"/>
      <c r="J110" s="150"/>
      <c r="K110" s="150"/>
      <c r="L110" s="150"/>
      <c r="M110" s="150"/>
      <c r="N110" s="150"/>
      <c r="O110" s="150"/>
      <c r="P110" s="150"/>
      <c r="Q110" s="150"/>
      <c r="R110" s="150"/>
      <c r="S110" s="150"/>
      <c r="T110" s="150"/>
      <c r="U110" s="150"/>
      <c r="V110" s="150"/>
      <c r="W110" s="150"/>
      <c r="X110" s="150"/>
      <c r="Y110" s="150"/>
      <c r="Z110" s="150"/>
    </row>
    <row r="111" spans="1:26" ht="13.2">
      <c r="A111" s="150" t="str">
        <f ca="1">IFERROR(__xludf.DUMMYFUNCTION("""COMPUTED_VALUE"""),"Skarner")</f>
        <v>Skarner</v>
      </c>
      <c r="B111" s="637" t="str">
        <f ca="1">IFERROR(__xludf.DUMMYFUNCTION("""COMPUTED_VALUE"""),"- Steroid: Q (Empowered Q)")</f>
        <v>- Steroid: Q (Empowered Q)</v>
      </c>
      <c r="C111" s="150"/>
      <c r="D111" s="150"/>
      <c r="E111" s="150"/>
      <c r="F111" s="150"/>
      <c r="G111" s="150"/>
      <c r="H111" s="150"/>
      <c r="I111" s="150"/>
      <c r="J111" s="150"/>
      <c r="K111" s="150"/>
      <c r="L111" s="150"/>
      <c r="M111" s="150"/>
      <c r="N111" s="150"/>
      <c r="O111" s="150"/>
      <c r="P111" s="150"/>
      <c r="Q111" s="150"/>
      <c r="R111" s="150"/>
      <c r="S111" s="150"/>
      <c r="T111" s="150"/>
      <c r="U111" s="150"/>
      <c r="V111" s="150"/>
      <c r="W111" s="150"/>
      <c r="X111" s="150"/>
      <c r="Y111" s="150"/>
      <c r="Z111" s="150"/>
    </row>
    <row r="112" spans="1:26" ht="13.2">
      <c r="A112" s="150" t="str">
        <f ca="1">IFERROR(__xludf.DUMMYFUNCTION("""COMPUTED_VALUE"""),"Sona")</f>
        <v>Sona</v>
      </c>
      <c r="B112" s="637" t="str">
        <f ca="1">IFERROR(__xludf.DUMMYFUNCTION("""COMPUTED_VALUE"""),"- Steroid: Q (Empowered passive)
- Steroid: P (Gain 60 ability haste)
- W is shield + heal value")</f>
        <v>- Steroid: Q (Empowered passive)
- Steroid: P (Gain 60 ability haste)
- W is shield + heal value</v>
      </c>
      <c r="C112" s="150"/>
      <c r="D112" s="150"/>
      <c r="E112" s="150"/>
      <c r="F112" s="150"/>
      <c r="G112" s="150"/>
      <c r="H112" s="150"/>
      <c r="I112" s="150"/>
      <c r="J112" s="150"/>
      <c r="K112" s="150"/>
      <c r="L112" s="150"/>
      <c r="M112" s="150"/>
      <c r="N112" s="150"/>
      <c r="O112" s="150"/>
      <c r="P112" s="150"/>
      <c r="Q112" s="150"/>
      <c r="R112" s="150"/>
      <c r="S112" s="150"/>
      <c r="T112" s="150"/>
      <c r="U112" s="150"/>
      <c r="V112" s="150"/>
      <c r="W112" s="150"/>
      <c r="X112" s="150"/>
      <c r="Y112" s="150"/>
      <c r="Z112" s="150"/>
    </row>
    <row r="113" spans="1:26" ht="13.2">
      <c r="A113" s="150" t="str">
        <f ca="1">IFERROR(__xludf.DUMMYFUNCTION("""COMPUTED_VALUE"""),"Soraka")</f>
        <v>Soraka</v>
      </c>
      <c r="B113" s="637" t="str">
        <f ca="1">IFERROR(__xludf.DUMMYFUNCTION("""COMPUTED_VALUE"""),"- Steroid: R (Empowered R)")</f>
        <v>- Steroid: R (Empowered R)</v>
      </c>
      <c r="C113" s="150"/>
      <c r="D113" s="150"/>
      <c r="E113" s="150"/>
      <c r="F113" s="150"/>
      <c r="G113" s="150"/>
      <c r="H113" s="150"/>
      <c r="I113" s="150"/>
      <c r="J113" s="150"/>
      <c r="K113" s="150"/>
      <c r="L113" s="150"/>
      <c r="M113" s="150"/>
      <c r="N113" s="150"/>
      <c r="O113" s="150"/>
      <c r="P113" s="150"/>
      <c r="Q113" s="150"/>
      <c r="R113" s="150"/>
      <c r="S113" s="150"/>
      <c r="T113" s="150"/>
      <c r="U113" s="150"/>
      <c r="V113" s="150"/>
      <c r="W113" s="150"/>
      <c r="X113" s="150"/>
      <c r="Y113" s="150"/>
      <c r="Z113" s="150"/>
    </row>
    <row r="114" spans="1:26" ht="13.2">
      <c r="A114" s="150" t="str">
        <f ca="1">IFERROR(__xludf.DUMMYFUNCTION("""COMPUTED_VALUE"""),"Swain")</f>
        <v>Swain</v>
      </c>
      <c r="B114" s="637" t="str">
        <f ca="1">IFERROR(__xludf.DUMMYFUNCTION("""COMPUTED_VALUE"""),"- Steroid: Q (hit all bolts)
- R is total damage
- Minions act as Soul Fragments")</f>
        <v>- Steroid: Q (hit all bolts)
- R is total damage
- Minions act as Soul Fragments</v>
      </c>
      <c r="C114" s="150"/>
      <c r="D114" s="150"/>
      <c r="E114" s="150"/>
      <c r="F114" s="150"/>
      <c r="G114" s="150"/>
      <c r="H114" s="150"/>
      <c r="I114" s="150"/>
      <c r="J114" s="150"/>
      <c r="K114" s="150"/>
      <c r="L114" s="150"/>
      <c r="M114" s="150"/>
      <c r="N114" s="150"/>
      <c r="O114" s="150"/>
      <c r="P114" s="150"/>
      <c r="Q114" s="150"/>
      <c r="R114" s="150"/>
      <c r="S114" s="150"/>
      <c r="T114" s="150"/>
      <c r="U114" s="150"/>
      <c r="V114" s="150"/>
      <c r="W114" s="150"/>
      <c r="X114" s="150"/>
      <c r="Y114" s="150"/>
      <c r="Z114" s="150"/>
    </row>
    <row r="115" spans="1:26" ht="13.2">
      <c r="A115" s="150" t="str">
        <f ca="1">IFERROR(__xludf.DUMMYFUNCTION("""COMPUTED_VALUE"""),"Sylas")</f>
        <v>Sylas</v>
      </c>
      <c r="B115" s="637" t="str">
        <f ca="1">IFERROR(__xludf.DUMMYFUNCTION("""COMPUTED_VALUE"""),"- Steroid: E (Shield)
- Enemy under 40% increases W damage
- Q is total damage
- Physical ultimates are not calculated yet, magical ones work")</f>
        <v>- Steroid: E (Shield)
- Enemy under 40% increases W damage
- Q is total damage
- Physical ultimates are not calculated yet, magical ones work</v>
      </c>
      <c r="C115" s="150"/>
      <c r="D115" s="150"/>
      <c r="E115" s="150"/>
      <c r="F115" s="150"/>
      <c r="G115" s="150"/>
      <c r="H115" s="150"/>
      <c r="I115" s="150"/>
      <c r="J115" s="150"/>
      <c r="K115" s="150"/>
      <c r="L115" s="150"/>
      <c r="M115" s="150"/>
      <c r="N115" s="150"/>
      <c r="O115" s="150"/>
      <c r="P115" s="150"/>
      <c r="Q115" s="150"/>
      <c r="R115" s="150"/>
      <c r="S115" s="150"/>
      <c r="T115" s="150"/>
      <c r="U115" s="150"/>
      <c r="V115" s="150"/>
      <c r="W115" s="150"/>
      <c r="X115" s="150"/>
      <c r="Y115" s="150"/>
      <c r="Z115" s="150"/>
    </row>
    <row r="116" spans="1:26" ht="13.2">
      <c r="A116" s="150" t="str">
        <f ca="1">IFERROR(__xludf.DUMMYFUNCTION("""COMPUTED_VALUE"""),"Syndra")</f>
        <v>Syndra</v>
      </c>
      <c r="B116" s="637" t="str">
        <f ca="1">IFERROR(__xludf.DUMMYFUNCTION("""COMPUTED_VALUE"""),"- Steroid: P (15% bonus ap)
- Steroid: W (Bonus true damage)
- Steroid: R (7 balls)")</f>
        <v>- Steroid: P (15% bonus ap)
- Steroid: W (Bonus true damage)
- Steroid: R (7 balls)</v>
      </c>
      <c r="C116" s="150"/>
      <c r="D116" s="150"/>
      <c r="E116" s="150"/>
      <c r="F116" s="150"/>
      <c r="G116" s="150"/>
      <c r="H116" s="150"/>
      <c r="I116" s="150"/>
      <c r="J116" s="150"/>
      <c r="K116" s="150"/>
      <c r="L116" s="150"/>
      <c r="M116" s="150"/>
      <c r="N116" s="150"/>
      <c r="O116" s="150"/>
      <c r="P116" s="150"/>
      <c r="Q116" s="150"/>
      <c r="R116" s="150"/>
      <c r="S116" s="150"/>
      <c r="T116" s="150"/>
      <c r="U116" s="150"/>
      <c r="V116" s="150"/>
      <c r="W116" s="150"/>
      <c r="X116" s="150"/>
      <c r="Y116" s="150"/>
      <c r="Z116" s="150"/>
    </row>
    <row r="117" spans="1:26" ht="13.2">
      <c r="A117" s="150" t="str">
        <f ca="1">IFERROR(__xludf.DUMMYFUNCTION("""COMPUTED_VALUE"""),"Tahm Kench")</f>
        <v>Tahm Kench</v>
      </c>
      <c r="B117" s="637" t="str">
        <f ca="1">IFERROR(__xludf.DUMMYFUNCTION("""COMPUTED_VALUE"""),"- Steroid: P (3 stack passive)")</f>
        <v>- Steroid: P (3 stack passive)</v>
      </c>
      <c r="C117" s="150"/>
      <c r="D117" s="150"/>
      <c r="E117" s="150"/>
      <c r="F117" s="150"/>
      <c r="G117" s="150"/>
      <c r="H117" s="150"/>
      <c r="I117" s="150"/>
      <c r="J117" s="150"/>
      <c r="K117" s="150"/>
      <c r="L117" s="150"/>
      <c r="M117" s="150"/>
      <c r="N117" s="150"/>
      <c r="O117" s="150"/>
      <c r="P117" s="150"/>
      <c r="Q117" s="150"/>
      <c r="R117" s="150"/>
      <c r="S117" s="150"/>
      <c r="T117" s="150"/>
      <c r="U117" s="150"/>
      <c r="V117" s="150"/>
      <c r="W117" s="150"/>
      <c r="X117" s="150"/>
      <c r="Y117" s="150"/>
      <c r="Z117" s="150"/>
    </row>
    <row r="118" spans="1:26" ht="13.2">
      <c r="A118" s="150" t="str">
        <f ca="1">IFERROR(__xludf.DUMMYFUNCTION("""COMPUTED_VALUE"""),"Taliyah")</f>
        <v>Taliyah</v>
      </c>
      <c r="B118" s="637" t="str">
        <f ca="1">IFERROR(__xludf.DUMMYFUNCTION("""COMPUTED_VALUE"""),"- Steroid: Q (Hit full volley)
- Steroid: E (Maximum damage)")</f>
        <v>- Steroid: Q (Hit full volley)
- Steroid: E (Maximum damage)</v>
      </c>
      <c r="C118" s="150"/>
      <c r="D118" s="150"/>
      <c r="E118" s="150"/>
      <c r="F118" s="150"/>
      <c r="G118" s="150"/>
      <c r="H118" s="150"/>
      <c r="I118" s="150"/>
      <c r="J118" s="150"/>
      <c r="K118" s="150"/>
      <c r="L118" s="150"/>
      <c r="M118" s="150"/>
      <c r="N118" s="150"/>
      <c r="O118" s="150"/>
      <c r="P118" s="150"/>
      <c r="Q118" s="150"/>
      <c r="R118" s="150"/>
      <c r="S118" s="150"/>
      <c r="T118" s="150"/>
      <c r="U118" s="150"/>
      <c r="V118" s="150"/>
      <c r="W118" s="150"/>
      <c r="X118" s="150"/>
      <c r="Y118" s="150"/>
      <c r="Z118" s="150"/>
    </row>
    <row r="119" spans="1:26" ht="13.2">
      <c r="A119" s="150" t="str">
        <f ca="1">IFERROR(__xludf.DUMMYFUNCTION("""COMPUTED_VALUE"""),"Talon")</f>
        <v>Talon</v>
      </c>
      <c r="B119" s="637" t="str">
        <f ca="1">IFERROR(__xludf.DUMMYFUNCTION("""COMPUTED_VALUE"""),"- Steroid: Q (Empowered Q)")</f>
        <v>- Steroid: Q (Empowered Q)</v>
      </c>
      <c r="C119" s="150"/>
      <c r="D119" s="150"/>
      <c r="E119" s="150"/>
      <c r="F119" s="150"/>
      <c r="G119" s="150"/>
      <c r="H119" s="150"/>
      <c r="I119" s="150"/>
      <c r="J119" s="150"/>
      <c r="K119" s="150"/>
      <c r="L119" s="150"/>
      <c r="M119" s="150"/>
      <c r="N119" s="150"/>
      <c r="O119" s="150"/>
      <c r="P119" s="150"/>
      <c r="Q119" s="150"/>
      <c r="R119" s="150"/>
      <c r="S119" s="150"/>
      <c r="T119" s="150"/>
      <c r="U119" s="150"/>
      <c r="V119" s="150"/>
      <c r="W119" s="150"/>
      <c r="X119" s="150"/>
      <c r="Y119" s="150"/>
      <c r="Z119" s="150"/>
    </row>
    <row r="120" spans="1:26" ht="13.2">
      <c r="A120" s="150" t="str">
        <f ca="1">IFERROR(__xludf.DUMMYFUNCTION("""COMPUTED_VALUE"""),"Taric")</f>
        <v>Taric</v>
      </c>
      <c r="B120" s="637" t="str">
        <f ca="1">IFERROR(__xludf.DUMMYFUNCTION("""COMPUTED_VALUE"""),"- Q is always max stacks
- P is per hit")</f>
        <v>- Q is always max stacks
- P is per hit</v>
      </c>
      <c r="C120" s="150"/>
      <c r="D120" s="150"/>
      <c r="E120" s="150"/>
      <c r="F120" s="150"/>
      <c r="G120" s="150"/>
      <c r="H120" s="150"/>
      <c r="I120" s="150"/>
      <c r="J120" s="150"/>
      <c r="K120" s="150"/>
      <c r="L120" s="150"/>
      <c r="M120" s="150"/>
      <c r="N120" s="150"/>
      <c r="O120" s="150"/>
      <c r="P120" s="150"/>
      <c r="Q120" s="150"/>
      <c r="R120" s="150"/>
      <c r="S120" s="150"/>
      <c r="T120" s="150"/>
      <c r="U120" s="150"/>
      <c r="V120" s="150"/>
      <c r="W120" s="150"/>
      <c r="X120" s="150"/>
      <c r="Y120" s="150"/>
      <c r="Z120" s="150"/>
    </row>
    <row r="121" spans="1:26" ht="13.2">
      <c r="A121" s="150" t="str">
        <f ca="1">IFERROR(__xludf.DUMMYFUNCTION("""COMPUTED_VALUE"""),"Teemo")</f>
        <v>Teemo</v>
      </c>
      <c r="B121" s="637" t="str">
        <f ca="1">IFERROR(__xludf.DUMMYFUNCTION("""COMPUTED_VALUE"""),"- Steroid: P (Attackspeed)
- Steroid: W (Activates W)")</f>
        <v>- Steroid: P (Attackspeed)
- Steroid: W (Activates W)</v>
      </c>
      <c r="C121" s="150"/>
      <c r="D121" s="150"/>
      <c r="E121" s="150"/>
      <c r="F121" s="150"/>
      <c r="G121" s="150"/>
      <c r="H121" s="150"/>
      <c r="I121" s="150"/>
      <c r="J121" s="150"/>
      <c r="K121" s="150"/>
      <c r="L121" s="150"/>
      <c r="M121" s="150"/>
      <c r="N121" s="150"/>
      <c r="O121" s="150"/>
      <c r="P121" s="150"/>
      <c r="Q121" s="150"/>
      <c r="R121" s="150"/>
      <c r="S121" s="150"/>
      <c r="T121" s="150"/>
      <c r="U121" s="150"/>
      <c r="V121" s="150"/>
      <c r="W121" s="150"/>
      <c r="X121" s="150"/>
      <c r="Y121" s="150"/>
      <c r="Z121" s="150"/>
    </row>
    <row r="122" spans="1:26" ht="13.2">
      <c r="A122" s="150" t="str">
        <f ca="1">IFERROR(__xludf.DUMMYFUNCTION("""COMPUTED_VALUE"""),"Thresh")</f>
        <v>Thresh</v>
      </c>
      <c r="B122" s="637" t="str">
        <f ca="1">IFERROR(__xludf.DUMMYFUNCTION("""COMPUTED_VALUE"""),"- Steroid: E (Fully loaded passive into onhit)
- Minions = souls")</f>
        <v>- Steroid: E (Fully loaded passive into onhit)
- Minions = souls</v>
      </c>
      <c r="C122" s="150"/>
      <c r="D122" s="150"/>
      <c r="E122" s="150"/>
      <c r="F122" s="150"/>
      <c r="G122" s="150"/>
      <c r="H122" s="150"/>
      <c r="I122" s="150"/>
      <c r="J122" s="150"/>
      <c r="K122" s="150"/>
      <c r="L122" s="150"/>
      <c r="M122" s="150"/>
      <c r="N122" s="150"/>
      <c r="O122" s="150"/>
      <c r="P122" s="150"/>
      <c r="Q122" s="150"/>
      <c r="R122" s="150"/>
      <c r="S122" s="150"/>
      <c r="T122" s="150"/>
      <c r="U122" s="150"/>
      <c r="V122" s="150"/>
      <c r="W122" s="150"/>
      <c r="X122" s="150"/>
      <c r="Y122" s="150"/>
      <c r="Z122" s="150"/>
    </row>
    <row r="123" spans="1:26" ht="13.2">
      <c r="A123" s="150" t="str">
        <f ca="1">IFERROR(__xludf.DUMMYFUNCTION("""COMPUTED_VALUE"""),"Tristana")</f>
        <v>Tristana</v>
      </c>
      <c r="B123" s="637" t="str">
        <f ca="1">IFERROR(__xludf.DUMMYFUNCTION("""COMPUTED_VALUE"""),"- Steroid: Q (Activates Q)
- Steroid: E (Maximum damage)")</f>
        <v>- Steroid: Q (Activates Q)
- Steroid: E (Maximum damage)</v>
      </c>
      <c r="C123" s="150"/>
      <c r="D123" s="150"/>
      <c r="E123" s="150"/>
      <c r="F123" s="150"/>
      <c r="G123" s="150"/>
      <c r="H123" s="150"/>
      <c r="I123" s="150"/>
      <c r="J123" s="150"/>
      <c r="K123" s="150"/>
      <c r="L123" s="150"/>
      <c r="M123" s="150"/>
      <c r="N123" s="150"/>
      <c r="O123" s="150"/>
      <c r="P123" s="150"/>
      <c r="Q123" s="150"/>
      <c r="R123" s="150"/>
      <c r="S123" s="150"/>
      <c r="T123" s="150"/>
      <c r="U123" s="150"/>
      <c r="V123" s="150"/>
      <c r="W123" s="150"/>
      <c r="X123" s="150"/>
      <c r="Y123" s="150"/>
      <c r="Z123" s="150"/>
    </row>
    <row r="124" spans="1:26" ht="13.2">
      <c r="A124" s="150" t="str">
        <f ca="1">IFERROR(__xludf.DUMMYFUNCTION("""COMPUTED_VALUE"""),"Trundle")</f>
        <v>Trundle</v>
      </c>
      <c r="B124" s="637" t="str">
        <f ca="1">IFERROR(__xludf.DUMMYFUNCTION("""COMPUTED_VALUE"""),"- Steroid: Q (Attack damage)
- Steroid: E (Attack speed)")</f>
        <v>- Steroid: Q (Attack damage)
- Steroid: E (Attack speed)</v>
      </c>
      <c r="C124" s="150"/>
      <c r="D124" s="150"/>
      <c r="E124" s="150"/>
      <c r="F124" s="150"/>
      <c r="G124" s="150"/>
      <c r="H124" s="150"/>
      <c r="I124" s="150"/>
      <c r="J124" s="150"/>
      <c r="K124" s="150"/>
      <c r="L124" s="150"/>
      <c r="M124" s="150"/>
      <c r="N124" s="150"/>
      <c r="O124" s="150"/>
      <c r="P124" s="150"/>
      <c r="Q124" s="150"/>
      <c r="R124" s="150"/>
      <c r="S124" s="150"/>
      <c r="T124" s="150"/>
      <c r="U124" s="150"/>
      <c r="V124" s="150"/>
      <c r="W124" s="150"/>
      <c r="X124" s="150"/>
      <c r="Y124" s="150"/>
      <c r="Z124" s="150"/>
    </row>
    <row r="125" spans="1:26" ht="13.2">
      <c r="A125" s="150" t="str">
        <f ca="1">IFERROR(__xludf.DUMMYFUNCTION("""COMPUTED_VALUE"""),"Tryndamere")</f>
        <v>Tryndamere</v>
      </c>
      <c r="B125" s="637" t="str">
        <f ca="1">IFERROR(__xludf.DUMMYFUNCTION("""COMPUTED_VALUE"""),"- Steroid: Q (Max heal)
- Steroid: P (Critchance)")</f>
        <v>- Steroid: Q (Max heal)
- Steroid: P (Critchance)</v>
      </c>
      <c r="C125" s="150"/>
      <c r="D125" s="150"/>
      <c r="E125" s="150"/>
      <c r="F125" s="150"/>
      <c r="G125" s="150"/>
      <c r="H125" s="150"/>
      <c r="I125" s="150"/>
      <c r="J125" s="150"/>
      <c r="K125" s="150"/>
      <c r="L125" s="150"/>
      <c r="M125" s="150"/>
      <c r="N125" s="150"/>
      <c r="O125" s="150"/>
      <c r="P125" s="150"/>
      <c r="Q125" s="150"/>
      <c r="R125" s="150"/>
      <c r="S125" s="150"/>
      <c r="T125" s="150"/>
      <c r="U125" s="150"/>
      <c r="V125" s="150"/>
      <c r="W125" s="150"/>
      <c r="X125" s="150"/>
      <c r="Y125" s="150"/>
      <c r="Z125" s="150"/>
    </row>
    <row r="126" spans="1:26" ht="13.2">
      <c r="A126" s="150" t="str">
        <f ca="1">IFERROR(__xludf.DUMMYFUNCTION("""COMPUTED_VALUE"""),"Twisted Fate")</f>
        <v>Twisted Fate</v>
      </c>
      <c r="B126" s="637" t="str">
        <f ca="1">IFERROR(__xludf.DUMMYFUNCTION("""COMPUTED_VALUE"""),"- Steroid: W (Using blue card, gold card is the default)")</f>
        <v>- Steroid: W (Using blue card, gold card is the default)</v>
      </c>
      <c r="C126" s="150"/>
      <c r="D126" s="150"/>
      <c r="E126" s="150"/>
      <c r="F126" s="150"/>
      <c r="G126" s="150"/>
      <c r="H126" s="150"/>
      <c r="I126" s="150"/>
      <c r="J126" s="150"/>
      <c r="K126" s="150"/>
      <c r="L126" s="150"/>
      <c r="M126" s="150"/>
      <c r="N126" s="150"/>
      <c r="O126" s="150"/>
      <c r="P126" s="150"/>
      <c r="Q126" s="150"/>
      <c r="R126" s="150"/>
      <c r="S126" s="150"/>
      <c r="T126" s="150"/>
      <c r="U126" s="150"/>
      <c r="V126" s="150"/>
      <c r="W126" s="150"/>
      <c r="X126" s="150"/>
      <c r="Y126" s="150"/>
      <c r="Z126" s="150"/>
    </row>
    <row r="127" spans="1:26" ht="13.2">
      <c r="A127" s="150" t="str">
        <f ca="1">IFERROR(__xludf.DUMMYFUNCTION("""COMPUTED_VALUE"""),"Twitch")</f>
        <v>Twitch</v>
      </c>
      <c r="B127" s="637" t="str">
        <f ca="1">IFERROR(__xludf.DUMMYFUNCTION("""COMPUTED_VALUE"""),"- Steroid: Q (Attackspeed)
- Steroid: E (Maximum damage)
- Steroid: R (Activates R)")</f>
        <v>- Steroid: Q (Attackspeed)
- Steroid: E (Maximum damage)
- Steroid: R (Activates R)</v>
      </c>
      <c r="C127" s="150"/>
      <c r="D127" s="150"/>
      <c r="E127" s="150"/>
      <c r="F127" s="150"/>
      <c r="G127" s="150"/>
      <c r="H127" s="150"/>
      <c r="I127" s="150"/>
      <c r="J127" s="150"/>
      <c r="K127" s="150"/>
      <c r="L127" s="150"/>
      <c r="M127" s="150"/>
      <c r="N127" s="150"/>
      <c r="O127" s="150"/>
      <c r="P127" s="150"/>
      <c r="Q127" s="150"/>
      <c r="R127" s="150"/>
      <c r="S127" s="150"/>
      <c r="T127" s="150"/>
      <c r="U127" s="150"/>
      <c r="V127" s="150"/>
      <c r="W127" s="150"/>
      <c r="X127" s="150"/>
      <c r="Y127" s="150"/>
      <c r="Z127" s="150"/>
    </row>
    <row r="128" spans="1:26" ht="13.2">
      <c r="A128" s="150" t="str">
        <f ca="1">IFERROR(__xludf.DUMMYFUNCTION("""COMPUTED_VALUE"""),"Udyr")</f>
        <v>Udyr</v>
      </c>
      <c r="B128" s="637" t="str">
        <f ca="1">IFERROR(__xludf.DUMMYFUNCTION("""COMPUTED_VALUE"""),"- Steroid: P (30% attack speed)
- Steroid: Q (Attack speed and onhit) + FORM: (More attack speed + magic dmg)
- Steroid: W (Bigger shield)
- Steroid: R (Apply frost ring damage) + FORM: (Apply snow storm damage)")</f>
        <v>- Steroid: P (30% attack speed)
- Steroid: Q (Attack speed and onhit) + FORM: (More attack speed + magic dmg)
- Steroid: W (Bigger shield)
- Steroid: R (Apply frost ring damage) + FORM: (Apply snow storm damage)</v>
      </c>
      <c r="C128" s="150"/>
      <c r="D128" s="150"/>
      <c r="E128" s="150"/>
      <c r="F128" s="150"/>
      <c r="G128" s="150"/>
      <c r="H128" s="150"/>
      <c r="I128" s="150"/>
      <c r="J128" s="150"/>
      <c r="K128" s="150"/>
      <c r="L128" s="150"/>
      <c r="M128" s="150"/>
      <c r="N128" s="150"/>
      <c r="O128" s="150"/>
      <c r="P128" s="150"/>
      <c r="Q128" s="150"/>
      <c r="R128" s="150"/>
      <c r="S128" s="150"/>
      <c r="T128" s="150"/>
      <c r="U128" s="150"/>
      <c r="V128" s="150"/>
      <c r="W128" s="150"/>
      <c r="X128" s="150"/>
      <c r="Y128" s="150"/>
      <c r="Z128" s="150"/>
    </row>
    <row r="129" spans="1:26" ht="13.2">
      <c r="A129" s="150" t="str">
        <f ca="1">IFERROR(__xludf.DUMMYFUNCTION("""COMPUTED_VALUE"""),"Urgot")</f>
        <v>Urgot</v>
      </c>
      <c r="B129" s="637" t="str">
        <f ca="1">IFERROR(__xludf.DUMMYFUNCTION("""COMPUTED_VALUE"""),"- Steroid: W (Activates W)
- Steroid: E (Shield)
- W damage is per hit
- P damage is per leg
- One leg is always in dps")</f>
        <v>- Steroid: W (Activates W)
- Steroid: E (Shield)
- W damage is per hit
- P damage is per leg
- One leg is always in dps</v>
      </c>
      <c r="C129" s="150"/>
      <c r="D129" s="150"/>
      <c r="E129" s="150"/>
      <c r="F129" s="150"/>
      <c r="G129" s="150"/>
      <c r="H129" s="150"/>
      <c r="I129" s="150"/>
      <c r="J129" s="150"/>
      <c r="K129" s="150"/>
      <c r="L129" s="150"/>
      <c r="M129" s="150"/>
      <c r="N129" s="150"/>
      <c r="O129" s="150"/>
      <c r="P129" s="150"/>
      <c r="Q129" s="150"/>
      <c r="R129" s="150"/>
      <c r="S129" s="150"/>
      <c r="T129" s="150"/>
      <c r="U129" s="150"/>
      <c r="V129" s="150"/>
      <c r="W129" s="150"/>
      <c r="X129" s="150"/>
      <c r="Y129" s="150"/>
      <c r="Z129" s="150"/>
    </row>
    <row r="130" spans="1:26" ht="13.2">
      <c r="A130" s="150" t="str">
        <f ca="1">IFERROR(__xludf.DUMMYFUNCTION("""COMPUTED_VALUE"""),"Varus")</f>
        <v>Varus</v>
      </c>
      <c r="B130" s="637" t="str">
        <f ca="1">IFERROR(__xludf.DUMMYFUNCTION("""COMPUTED_VALUE"""),"- Steroid: P (Champion kill attack speed)
- Steroid: Q (Maximum damage)
- W is 3 stacks proc damage")</f>
        <v>- Steroid: P (Champion kill attack speed)
- Steroid: Q (Maximum damage)
- W is 3 stacks proc damage</v>
      </c>
      <c r="C130" s="150"/>
      <c r="D130" s="150"/>
      <c r="E130" s="150"/>
      <c r="F130" s="150"/>
      <c r="G130" s="150"/>
      <c r="H130" s="150"/>
      <c r="I130" s="150"/>
      <c r="J130" s="150"/>
      <c r="K130" s="150"/>
      <c r="L130" s="150"/>
      <c r="M130" s="150"/>
      <c r="N130" s="150"/>
      <c r="O130" s="150"/>
      <c r="P130" s="150"/>
      <c r="Q130" s="150"/>
      <c r="R130" s="150"/>
      <c r="S130" s="150"/>
      <c r="T130" s="150"/>
      <c r="U130" s="150"/>
      <c r="V130" s="150"/>
      <c r="W130" s="150"/>
      <c r="X130" s="150"/>
      <c r="Y130" s="150"/>
      <c r="Z130" s="150"/>
    </row>
    <row r="131" spans="1:26" ht="13.2">
      <c r="A131" s="150" t="str">
        <f ca="1">IFERROR(__xludf.DUMMYFUNCTION("""COMPUTED_VALUE"""),"Vayne")</f>
        <v>Vayne</v>
      </c>
      <c r="B131" s="637" t="str">
        <f ca="1">IFERROR(__xludf.DUMMYFUNCTION("""COMPUTED_VALUE"""),"- Steroid: E (Hit enemy into wall)
- Steroid: R (Activates R)
- W is in damage per second")</f>
        <v>- Steroid: E (Hit enemy into wall)
- Steroid: R (Activates R)
- W is in damage per second</v>
      </c>
      <c r="C131" s="150"/>
      <c r="D131" s="150"/>
      <c r="E131" s="150"/>
      <c r="F131" s="150"/>
      <c r="G131" s="150"/>
      <c r="H131" s="150"/>
      <c r="I131" s="150"/>
      <c r="J131" s="150"/>
      <c r="K131" s="150"/>
      <c r="L131" s="150"/>
      <c r="M131" s="150"/>
      <c r="N131" s="150"/>
      <c r="O131" s="150"/>
      <c r="P131" s="150"/>
      <c r="Q131" s="150"/>
      <c r="R131" s="150"/>
      <c r="S131" s="150"/>
      <c r="T131" s="150"/>
      <c r="U131" s="150"/>
      <c r="V131" s="150"/>
      <c r="W131" s="150"/>
      <c r="X131" s="150"/>
      <c r="Y131" s="150"/>
      <c r="Z131" s="150"/>
    </row>
    <row r="132" spans="1:26" ht="13.2">
      <c r="A132" s="150" t="str">
        <f ca="1">IFERROR(__xludf.DUMMYFUNCTION("""COMPUTED_VALUE"""),"Veigar")</f>
        <v>Veigar</v>
      </c>
      <c r="B132" s="637" t="str">
        <f ca="1">IFERROR(__xludf.DUMMYFUNCTION("""COMPUTED_VALUE"""),"- Minions = Passive stacks
- W cooldown is reduced each 50 minions")</f>
        <v>- Minions = Passive stacks
- W cooldown is reduced each 50 minions</v>
      </c>
      <c r="C132" s="150"/>
      <c r="D132" s="150"/>
      <c r="E132" s="150"/>
      <c r="F132" s="150"/>
      <c r="G132" s="150"/>
      <c r="H132" s="150"/>
      <c r="I132" s="150"/>
      <c r="J132" s="150"/>
      <c r="K132" s="150"/>
      <c r="L132" s="150"/>
      <c r="M132" s="150"/>
      <c r="N132" s="150"/>
      <c r="O132" s="150"/>
      <c r="P132" s="150"/>
      <c r="Q132" s="150"/>
      <c r="R132" s="150"/>
      <c r="S132" s="150"/>
      <c r="T132" s="150"/>
      <c r="U132" s="150"/>
      <c r="V132" s="150"/>
      <c r="W132" s="150"/>
      <c r="X132" s="150"/>
      <c r="Y132" s="150"/>
      <c r="Z132" s="150"/>
    </row>
    <row r="133" spans="1:26" ht="13.2">
      <c r="A133" s="150" t="str">
        <f ca="1">IFERROR(__xludf.DUMMYFUNCTION("""COMPUTED_VALUE"""),"Vel'Koz")</f>
        <v>Vel'Koz</v>
      </c>
      <c r="B133" s="637" t="str">
        <f ca="1">IFERROR(__xludf.DUMMYFUNCTION("""COMPUTED_VALUE"""),"- Steroid: R (True damage ultimate)")</f>
        <v>- Steroid: R (True damage ultimate)</v>
      </c>
      <c r="C133" s="150"/>
      <c r="D133" s="150"/>
      <c r="E133" s="150"/>
      <c r="F133" s="150"/>
      <c r="G133" s="150"/>
      <c r="H133" s="150"/>
      <c r="I133" s="150"/>
      <c r="J133" s="150"/>
      <c r="K133" s="150"/>
      <c r="L133" s="150"/>
      <c r="M133" s="150"/>
      <c r="N133" s="150"/>
      <c r="O133" s="150"/>
      <c r="P133" s="150"/>
      <c r="Q133" s="150"/>
      <c r="R133" s="150"/>
      <c r="S133" s="150"/>
      <c r="T133" s="150"/>
      <c r="U133" s="150"/>
      <c r="V133" s="150"/>
      <c r="W133" s="150"/>
      <c r="X133" s="150"/>
      <c r="Y133" s="150"/>
      <c r="Z133" s="150"/>
    </row>
    <row r="134" spans="1:26" ht="13.2">
      <c r="A134" s="150" t="str">
        <f ca="1">IFERROR(__xludf.DUMMYFUNCTION("""COMPUTED_VALUE"""),"Vi")</f>
        <v>Vi</v>
      </c>
      <c r="B134" s="637" t="str">
        <f ca="1">IFERROR(__xludf.DUMMYFUNCTION("""COMPUTED_VALUE"""),"- Steroid: W (Proc W)
- Steroid: P (Shield)
- Q is max damage")</f>
        <v>- Steroid: W (Proc W)
- Steroid: P (Shield)
- Q is max damage</v>
      </c>
      <c r="C134" s="150"/>
      <c r="D134" s="150"/>
      <c r="E134" s="150"/>
      <c r="F134" s="150"/>
      <c r="G134" s="150"/>
      <c r="H134" s="150"/>
      <c r="I134" s="150"/>
      <c r="J134" s="150"/>
      <c r="K134" s="150"/>
      <c r="L134" s="150"/>
      <c r="M134" s="150"/>
      <c r="N134" s="150"/>
      <c r="O134" s="150"/>
      <c r="P134" s="150"/>
      <c r="Q134" s="150"/>
      <c r="R134" s="150"/>
      <c r="S134" s="150"/>
      <c r="T134" s="150"/>
      <c r="U134" s="150"/>
      <c r="V134" s="150"/>
      <c r="W134" s="150"/>
      <c r="X134" s="150"/>
      <c r="Y134" s="150"/>
      <c r="Z134" s="150"/>
    </row>
    <row r="135" spans="1:26" ht="13.2">
      <c r="A135" s="150" t="str">
        <f ca="1">IFERROR(__xludf.DUMMYFUNCTION("""COMPUTED_VALUE"""),"Viktor")</f>
        <v>Viktor</v>
      </c>
      <c r="B135" s="637" t="str">
        <f ca="1">IFERROR(__xludf.DUMMYFUNCTION("""COMPUTED_VALUE"""),"- Steroid: Q (Movementspeed and shield)
- Steroid: E (Upgrade E)")</f>
        <v>- Steroid: Q (Movementspeed and shield)
- Steroid: E (Upgrade E)</v>
      </c>
      <c r="C135" s="150"/>
      <c r="D135" s="150"/>
      <c r="E135" s="150"/>
      <c r="F135" s="150"/>
      <c r="G135" s="150"/>
      <c r="H135" s="150"/>
      <c r="I135" s="150"/>
      <c r="J135" s="150"/>
      <c r="K135" s="150"/>
      <c r="L135" s="150"/>
      <c r="M135" s="150"/>
      <c r="N135" s="150"/>
      <c r="O135" s="150"/>
      <c r="P135" s="150"/>
      <c r="Q135" s="150"/>
      <c r="R135" s="150"/>
      <c r="S135" s="150"/>
      <c r="T135" s="150"/>
      <c r="U135" s="150"/>
      <c r="V135" s="150"/>
      <c r="W135" s="150"/>
      <c r="X135" s="150"/>
      <c r="Y135" s="150"/>
      <c r="Z135" s="150"/>
    </row>
    <row r="136" spans="1:26" ht="13.2">
      <c r="A136" s="150" t="str">
        <f ca="1">IFERROR(__xludf.DUMMYFUNCTION("""COMPUTED_VALUE"""),"Vladimir")</f>
        <v>Vladimir</v>
      </c>
      <c r="B136" s="637" t="str">
        <f ca="1">IFERROR(__xludf.DUMMYFUNCTION("""COMPUTED_VALUE"""),"- Steroid: Q (Empowered Q)
- Steroid: R (Damage amplifier)
- Steroid: E (Make it max damage)")</f>
        <v>- Steroid: Q (Empowered Q)
- Steroid: R (Damage amplifier)
- Steroid: E (Make it max damage)</v>
      </c>
      <c r="C136" s="150"/>
      <c r="D136" s="150"/>
      <c r="E136" s="150"/>
      <c r="F136" s="150"/>
      <c r="G136" s="150"/>
      <c r="H136" s="150"/>
      <c r="I136" s="150"/>
      <c r="J136" s="150"/>
      <c r="K136" s="150"/>
      <c r="L136" s="150"/>
      <c r="M136" s="150"/>
      <c r="N136" s="150"/>
      <c r="O136" s="150"/>
      <c r="P136" s="150"/>
      <c r="Q136" s="150"/>
      <c r="R136" s="150"/>
      <c r="S136" s="150"/>
      <c r="T136" s="150"/>
      <c r="U136" s="150"/>
      <c r="V136" s="150"/>
      <c r="W136" s="150"/>
      <c r="X136" s="150"/>
      <c r="Y136" s="150"/>
      <c r="Z136" s="150"/>
    </row>
    <row r="137" spans="1:26" ht="13.2">
      <c r="A137" s="150" t="str">
        <f ca="1">IFERROR(__xludf.DUMMYFUNCTION("""COMPUTED_VALUE"""),"Volibear")</f>
        <v>Volibear</v>
      </c>
      <c r="B137" s="637" t="str">
        <f ca="1">IFERROR(__xludf.DUMMYFUNCTION("""COMPUTED_VALUE"""),"- Steroid: P (Activate the attack speed and onhit)
- Steroid: Q (Make it crit)
- Steroid: W (Target a wounded enemy)
- Steroid: R (Gives the bonus health)")</f>
        <v>- Steroid: P (Activate the attack speed and onhit)
- Steroid: Q (Make it crit)
- Steroid: W (Target a wounded enemy)
- Steroid: R (Gives the bonus health)</v>
      </c>
      <c r="C137" s="150"/>
      <c r="D137" s="150"/>
      <c r="E137" s="150"/>
      <c r="F137" s="150"/>
      <c r="G137" s="150"/>
      <c r="H137" s="150"/>
      <c r="I137" s="150"/>
      <c r="J137" s="150"/>
      <c r="K137" s="150"/>
      <c r="L137" s="150"/>
      <c r="M137" s="150"/>
      <c r="N137" s="150"/>
      <c r="O137" s="150"/>
      <c r="P137" s="150"/>
      <c r="Q137" s="150"/>
      <c r="R137" s="150"/>
      <c r="S137" s="150"/>
      <c r="T137" s="150"/>
      <c r="U137" s="150"/>
      <c r="V137" s="150"/>
      <c r="W137" s="150"/>
      <c r="X137" s="150"/>
      <c r="Y137" s="150"/>
      <c r="Z137" s="150"/>
    </row>
    <row r="138" spans="1:26" ht="13.2">
      <c r="A138" s="150" t="str">
        <f ca="1">IFERROR(__xludf.DUMMYFUNCTION("""COMPUTED_VALUE"""),"Warwick")</f>
        <v>Warwick</v>
      </c>
      <c r="B138" s="637" t="str">
        <f ca="1">IFERROR(__xludf.DUMMYFUNCTION("""COMPUTED_VALUE"""),"- Steroid: W (Attackspeed)
- Enemy HP &lt;20% empowers W")</f>
        <v>- Steroid: W (Attackspeed)
- Enemy HP &lt;20% empowers W</v>
      </c>
      <c r="C138" s="150"/>
      <c r="D138" s="150"/>
      <c r="E138" s="150"/>
      <c r="F138" s="150"/>
      <c r="G138" s="150"/>
      <c r="H138" s="150"/>
      <c r="I138" s="150"/>
      <c r="J138" s="150"/>
      <c r="K138" s="150"/>
      <c r="L138" s="150"/>
      <c r="M138" s="150"/>
      <c r="N138" s="150"/>
      <c r="O138" s="150"/>
      <c r="P138" s="150"/>
      <c r="Q138" s="150"/>
      <c r="R138" s="150"/>
      <c r="S138" s="150"/>
      <c r="T138" s="150"/>
      <c r="U138" s="150"/>
      <c r="V138" s="150"/>
      <c r="W138" s="150"/>
      <c r="X138" s="150"/>
      <c r="Y138" s="150"/>
      <c r="Z138" s="150"/>
    </row>
    <row r="139" spans="1:26" ht="13.2">
      <c r="A139" s="150" t="str">
        <f ca="1">IFERROR(__xludf.DUMMYFUNCTION("""COMPUTED_VALUE"""),"Wukong")</f>
        <v>Wukong</v>
      </c>
      <c r="B139" s="637" t="str">
        <f ca="1">IFERROR(__xludf.DUMMYFUNCTION("""COMPUTED_VALUE"""),"- Steroid: E (Attackspeed)
- Steroid: P (Get the healthregen)")</f>
        <v>- Steroid: E (Attackspeed)
- Steroid: P (Get the healthregen)</v>
      </c>
      <c r="C139" s="150"/>
      <c r="D139" s="150"/>
      <c r="E139" s="150"/>
      <c r="F139" s="150"/>
      <c r="G139" s="150"/>
      <c r="H139" s="150"/>
      <c r="I139" s="150"/>
      <c r="J139" s="150"/>
      <c r="K139" s="150"/>
      <c r="L139" s="150"/>
      <c r="M139" s="150"/>
      <c r="N139" s="150"/>
      <c r="O139" s="150"/>
      <c r="P139" s="150"/>
      <c r="Q139" s="150"/>
      <c r="R139" s="150"/>
      <c r="S139" s="150"/>
      <c r="T139" s="150"/>
      <c r="U139" s="150"/>
      <c r="V139" s="150"/>
      <c r="W139" s="150"/>
      <c r="X139" s="150"/>
      <c r="Y139" s="150"/>
      <c r="Z139" s="150"/>
    </row>
    <row r="140" spans="1:26" ht="13.2">
      <c r="A140" s="150" t="str">
        <f ca="1">IFERROR(__xludf.DUMMYFUNCTION("""COMPUTED_VALUE"""),"Xayah")</f>
        <v>Xayah</v>
      </c>
      <c r="B140" s="637" t="str">
        <f ca="1">IFERROR(__xludf.DUMMYFUNCTION("""COMPUTED_VALUE"""),"- Steroid: W (Activates W)
- Steroid: E (Hit 6 feathers)
- E is 3 feather hit by default")</f>
        <v>- Steroid: W (Activates W)
- Steroid: E (Hit 6 feathers)
- E is 3 feather hit by default</v>
      </c>
      <c r="C140" s="150"/>
      <c r="D140" s="150"/>
      <c r="E140" s="150"/>
      <c r="F140" s="150"/>
      <c r="G140" s="150"/>
      <c r="H140" s="150"/>
      <c r="I140" s="150"/>
      <c r="J140" s="150"/>
      <c r="K140" s="150"/>
      <c r="L140" s="150"/>
      <c r="M140" s="150"/>
      <c r="N140" s="150"/>
      <c r="O140" s="150"/>
      <c r="P140" s="150"/>
      <c r="Q140" s="150"/>
      <c r="R140" s="150"/>
      <c r="S140" s="150"/>
      <c r="T140" s="150"/>
      <c r="U140" s="150"/>
      <c r="V140" s="150"/>
      <c r="W140" s="150"/>
      <c r="X140" s="150"/>
      <c r="Y140" s="150"/>
      <c r="Z140" s="150"/>
    </row>
    <row r="141" spans="1:26" ht="13.2">
      <c r="A141" s="150" t="str">
        <f ca="1">IFERROR(__xludf.DUMMYFUNCTION("""COMPUTED_VALUE"""),"Xerath")</f>
        <v>Xerath</v>
      </c>
      <c r="B141" s="637" t="str">
        <f ca="1">IFERROR(__xludf.DUMMYFUNCTION("""COMPUTED_VALUE"""),"- Steroid: W (Center Damage)
- R is total damage")</f>
        <v>- Steroid: W (Center Damage)
- R is total damage</v>
      </c>
      <c r="C141" s="150"/>
      <c r="D141" s="150"/>
      <c r="E141" s="150"/>
      <c r="F141" s="150"/>
      <c r="G141" s="150"/>
      <c r="H141" s="150"/>
      <c r="I141" s="150"/>
      <c r="J141" s="150"/>
      <c r="K141" s="150"/>
      <c r="L141" s="150"/>
      <c r="M141" s="150"/>
      <c r="N141" s="150"/>
      <c r="O141" s="150"/>
      <c r="P141" s="150"/>
      <c r="Q141" s="150"/>
      <c r="R141" s="150"/>
      <c r="S141" s="150"/>
      <c r="T141" s="150"/>
      <c r="U141" s="150"/>
      <c r="V141" s="150"/>
      <c r="W141" s="150"/>
      <c r="X141" s="150"/>
      <c r="Y141" s="150"/>
      <c r="Z141" s="150"/>
    </row>
    <row r="142" spans="1:26" ht="13.2">
      <c r="A142" s="150" t="str">
        <f ca="1">IFERROR(__xludf.DUMMYFUNCTION("""COMPUTED_VALUE"""),"Xin Zhao")</f>
        <v>Xin Zhao</v>
      </c>
      <c r="B142" s="637" t="str">
        <f ca="1">IFERROR(__xludf.DUMMYFUNCTION("""COMPUTED_VALUE"""),"- Steroid: E (Attackspeed)
- Q is total bonus damage")</f>
        <v>- Steroid: E (Attackspeed)
- Q is total bonus damage</v>
      </c>
      <c r="C142" s="150"/>
      <c r="D142" s="150"/>
      <c r="E142" s="150"/>
      <c r="F142" s="150"/>
      <c r="G142" s="150"/>
      <c r="H142" s="150"/>
      <c r="I142" s="150"/>
      <c r="J142" s="150"/>
      <c r="K142" s="150"/>
      <c r="L142" s="150"/>
      <c r="M142" s="150"/>
      <c r="N142" s="150"/>
      <c r="O142" s="150"/>
      <c r="P142" s="150"/>
      <c r="Q142" s="150"/>
      <c r="R142" s="150"/>
      <c r="S142" s="150"/>
      <c r="T142" s="150"/>
      <c r="U142" s="150"/>
      <c r="V142" s="150"/>
      <c r="W142" s="150"/>
      <c r="X142" s="150"/>
      <c r="Y142" s="150"/>
      <c r="Z142" s="150"/>
    </row>
    <row r="143" spans="1:26" ht="13.2">
      <c r="A143" s="150" t="str">
        <f ca="1">IFERROR(__xludf.DUMMYFUNCTION("""COMPUTED_VALUE"""),"Yasuo")</f>
        <v>Yasuo</v>
      </c>
      <c r="B143" s="637" t="str">
        <f ca="1">IFERROR(__xludf.DUMMYFUNCTION("""COMPUTED_VALUE"""),"- Steroid: E (Max stacked E)
- Steroid: R (Armor penetration)")</f>
        <v>- Steroid: E (Max stacked E)
- Steroid: R (Armor penetration)</v>
      </c>
      <c r="C143" s="150"/>
      <c r="D143" s="150"/>
      <c r="E143" s="150"/>
      <c r="F143" s="150"/>
      <c r="G143" s="150"/>
      <c r="H143" s="150"/>
      <c r="I143" s="150"/>
      <c r="J143" s="150"/>
      <c r="K143" s="150"/>
      <c r="L143" s="150"/>
      <c r="M143" s="150"/>
      <c r="N143" s="150"/>
      <c r="O143" s="150"/>
      <c r="P143" s="150"/>
      <c r="Q143" s="150"/>
      <c r="R143" s="150"/>
      <c r="S143" s="150"/>
      <c r="T143" s="150"/>
      <c r="U143" s="150"/>
      <c r="V143" s="150"/>
      <c r="W143" s="150"/>
      <c r="X143" s="150"/>
      <c r="Y143" s="150"/>
      <c r="Z143" s="150"/>
    </row>
    <row r="144" spans="1:26" ht="13.2">
      <c r="A144" s="150" t="str">
        <f ca="1">IFERROR(__xludf.DUMMYFUNCTION("""COMPUTED_VALUE"""),"Yone")</f>
        <v>Yone</v>
      </c>
      <c r="B144" s="637" t="str">
        <f ca="1">IFERROR(__xludf.DUMMYFUNCTION("""COMPUTED_VALUE"""),"Nothing")</f>
        <v>Nothing</v>
      </c>
      <c r="C144" s="150"/>
      <c r="D144" s="150"/>
      <c r="E144" s="150"/>
      <c r="F144" s="150"/>
      <c r="G144" s="150"/>
      <c r="H144" s="150"/>
      <c r="I144" s="150"/>
      <c r="J144" s="150"/>
      <c r="K144" s="150"/>
      <c r="L144" s="150"/>
      <c r="M144" s="150"/>
      <c r="N144" s="150"/>
      <c r="O144" s="150"/>
      <c r="P144" s="150"/>
      <c r="Q144" s="150"/>
      <c r="R144" s="150"/>
      <c r="S144" s="150"/>
      <c r="T144" s="150"/>
      <c r="U144" s="150"/>
      <c r="V144" s="150"/>
      <c r="W144" s="150"/>
      <c r="X144" s="150"/>
      <c r="Y144" s="150"/>
      <c r="Z144" s="150"/>
    </row>
    <row r="145" spans="1:26" ht="13.2">
      <c r="A145" s="150" t="str">
        <f ca="1">IFERROR(__xludf.DUMMYFUNCTION("""COMPUTED_VALUE"""),"Yorick")</f>
        <v>Yorick</v>
      </c>
      <c r="B145" s="637" t="str">
        <f ca="1">IFERROR(__xludf.DUMMYFUNCTION("""COMPUTED_VALUE"""),"Nothing")</f>
        <v>Nothing</v>
      </c>
      <c r="C145" s="150"/>
      <c r="D145" s="150"/>
      <c r="E145" s="150"/>
      <c r="F145" s="150"/>
      <c r="G145" s="150"/>
      <c r="H145" s="150"/>
      <c r="I145" s="150"/>
      <c r="J145" s="150"/>
      <c r="K145" s="150"/>
      <c r="L145" s="150"/>
      <c r="M145" s="150"/>
      <c r="N145" s="150"/>
      <c r="O145" s="150"/>
      <c r="P145" s="150"/>
      <c r="Q145" s="150"/>
      <c r="R145" s="150"/>
      <c r="S145" s="150"/>
      <c r="T145" s="150"/>
      <c r="U145" s="150"/>
      <c r="V145" s="150"/>
      <c r="W145" s="150"/>
      <c r="X145" s="150"/>
      <c r="Y145" s="150"/>
      <c r="Z145" s="150"/>
    </row>
    <row r="146" spans="1:26" ht="13.2">
      <c r="A146" s="150" t="str">
        <f ca="1">IFERROR(__xludf.DUMMYFUNCTION("""COMPUTED_VALUE"""),"Yuumi")</f>
        <v>Yuumi</v>
      </c>
      <c r="B146" s="637" t="str">
        <f ca="1">IFERROR(__xludf.DUMMYFUNCTION("""COMPUTED_VALUE"""),"- Steroid: Q (Empowered Q)
- Steroid: R (Hit all waves)")</f>
        <v>- Steroid: Q (Empowered Q)
- Steroid: R (Hit all waves)</v>
      </c>
      <c r="C146" s="150"/>
      <c r="D146" s="150"/>
      <c r="E146" s="150"/>
      <c r="F146" s="150"/>
      <c r="G146" s="150"/>
      <c r="H146" s="150"/>
      <c r="I146" s="150"/>
      <c r="J146" s="150"/>
      <c r="K146" s="150"/>
      <c r="L146" s="150"/>
      <c r="M146" s="150"/>
      <c r="N146" s="150"/>
      <c r="O146" s="150"/>
      <c r="P146" s="150"/>
      <c r="Q146" s="150"/>
      <c r="R146" s="150"/>
      <c r="S146" s="150"/>
      <c r="T146" s="150"/>
      <c r="U146" s="150"/>
      <c r="V146" s="150"/>
      <c r="W146" s="150"/>
      <c r="X146" s="150"/>
      <c r="Y146" s="150"/>
      <c r="Z146" s="150"/>
    </row>
    <row r="147" spans="1:26" ht="13.2">
      <c r="A147" s="150" t="str">
        <f ca="1">IFERROR(__xludf.DUMMYFUNCTION("""COMPUTED_VALUE"""),"Zac")</f>
        <v>Zac</v>
      </c>
      <c r="B147" s="637" t="str">
        <f ca="1">IFERROR(__xludf.DUMMYFUNCTION("""COMPUTED_VALUE"""),"- Steroid: R (Hit all bounces)")</f>
        <v>- Steroid: R (Hit all bounces)</v>
      </c>
      <c r="C147" s="150"/>
      <c r="D147" s="150"/>
      <c r="E147" s="150"/>
      <c r="F147" s="150"/>
      <c r="G147" s="150"/>
      <c r="H147" s="150"/>
      <c r="I147" s="150"/>
      <c r="J147" s="150"/>
      <c r="K147" s="150"/>
      <c r="L147" s="150"/>
      <c r="M147" s="150"/>
      <c r="N147" s="150"/>
      <c r="O147" s="150"/>
      <c r="P147" s="150"/>
      <c r="Q147" s="150"/>
      <c r="R147" s="150"/>
      <c r="S147" s="150"/>
      <c r="T147" s="150"/>
      <c r="U147" s="150"/>
      <c r="V147" s="150"/>
      <c r="W147" s="150"/>
      <c r="X147" s="150"/>
      <c r="Y147" s="150"/>
      <c r="Z147" s="150"/>
    </row>
    <row r="148" spans="1:26" ht="13.2">
      <c r="A148" s="150" t="str">
        <f ca="1">IFERROR(__xludf.DUMMYFUNCTION("""COMPUTED_VALUE"""),"Zed")</f>
        <v>Zed</v>
      </c>
      <c r="B148" s="637" t="str">
        <f ca="1">IFERROR(__xludf.DUMMYFUNCTION("""COMPUTED_VALUE"""),"- R damage is calculated as hitting:
     - 1 Q
     - 1 E
     - 1 Auto attack
     - Passive proc")</f>
        <v>- R damage is calculated as hitting:
     - 1 Q
     - 1 E
     - 1 Auto attack
     - Passive proc</v>
      </c>
      <c r="C148" s="150"/>
      <c r="D148" s="150"/>
      <c r="E148" s="150"/>
      <c r="F148" s="150"/>
      <c r="G148" s="150"/>
      <c r="H148" s="150"/>
      <c r="I148" s="150"/>
      <c r="J148" s="150"/>
      <c r="K148" s="150"/>
      <c r="L148" s="150"/>
      <c r="M148" s="150"/>
      <c r="N148" s="150"/>
      <c r="O148" s="150"/>
      <c r="P148" s="150"/>
      <c r="Q148" s="150"/>
      <c r="R148" s="150"/>
      <c r="S148" s="150"/>
      <c r="T148" s="150"/>
      <c r="U148" s="150"/>
      <c r="V148" s="150"/>
      <c r="W148" s="150"/>
      <c r="X148" s="150"/>
      <c r="Y148" s="150"/>
      <c r="Z148" s="150"/>
    </row>
    <row r="149" spans="1:26" ht="13.2">
      <c r="A149" s="150" t="str">
        <f ca="1">IFERROR(__xludf.DUMMYFUNCTION("""COMPUTED_VALUE"""),"Ziggs")</f>
        <v>Ziggs</v>
      </c>
      <c r="B149" s="637" t="str">
        <f ca="1">IFERROR(__xludf.DUMMYFUNCTION("""COMPUTED_VALUE"""),"- Steroid: E (Maximum single target damage)
- R is center damage")</f>
        <v>- Steroid: E (Maximum single target damage)
- R is center damage</v>
      </c>
      <c r="C149" s="150"/>
      <c r="D149" s="150"/>
      <c r="E149" s="150"/>
      <c r="F149" s="150"/>
      <c r="G149" s="150"/>
      <c r="H149" s="150"/>
      <c r="I149" s="150"/>
      <c r="J149" s="150"/>
      <c r="K149" s="150"/>
      <c r="L149" s="150"/>
      <c r="M149" s="150"/>
      <c r="N149" s="150"/>
      <c r="O149" s="150"/>
      <c r="P149" s="150"/>
      <c r="Q149" s="150"/>
      <c r="R149" s="150"/>
      <c r="S149" s="150"/>
      <c r="T149" s="150"/>
      <c r="U149" s="150"/>
      <c r="V149" s="150"/>
      <c r="W149" s="150"/>
      <c r="X149" s="150"/>
      <c r="Y149" s="150"/>
      <c r="Z149" s="150"/>
    </row>
    <row r="150" spans="1:26" ht="13.2">
      <c r="A150" s="150" t="str">
        <f ca="1">IFERROR(__xludf.DUMMYFUNCTION("""COMPUTED_VALUE"""),"Zilean")</f>
        <v>Zilean</v>
      </c>
      <c r="B150" s="637" t="str">
        <f ca="1">IFERROR(__xludf.DUMMYFUNCTION("""COMPUTED_VALUE"""),"Nothing")</f>
        <v>Nothing</v>
      </c>
      <c r="C150" s="150"/>
      <c r="D150" s="150"/>
      <c r="E150" s="150"/>
      <c r="F150" s="150"/>
      <c r="G150" s="150"/>
      <c r="H150" s="150"/>
      <c r="I150" s="150"/>
      <c r="J150" s="150"/>
      <c r="K150" s="150"/>
      <c r="L150" s="150"/>
      <c r="M150" s="150"/>
      <c r="N150" s="150"/>
      <c r="O150" s="150"/>
      <c r="P150" s="150"/>
      <c r="Q150" s="150"/>
      <c r="R150" s="150"/>
      <c r="S150" s="150"/>
      <c r="T150" s="150"/>
      <c r="U150" s="150"/>
      <c r="V150" s="150"/>
      <c r="W150" s="150"/>
      <c r="X150" s="150"/>
      <c r="Y150" s="150"/>
      <c r="Z150" s="150"/>
    </row>
    <row r="151" spans="1:26" ht="13.2">
      <c r="A151" s="150" t="str">
        <f ca="1">IFERROR(__xludf.DUMMYFUNCTION("""COMPUTED_VALUE"""),"Zoe")</f>
        <v>Zoe</v>
      </c>
      <c r="B151" s="637" t="str">
        <f ca="1">IFERROR(__xludf.DUMMYFUNCTION("""COMPUTED_VALUE"""),"- Steroid: Q (Maximum damage)
- E damage is both hit and proc")</f>
        <v>- Steroid: Q (Maximum damage)
- E damage is both hit and proc</v>
      </c>
      <c r="C151" s="150"/>
      <c r="D151" s="150"/>
      <c r="E151" s="150"/>
      <c r="F151" s="150"/>
      <c r="G151" s="150"/>
      <c r="H151" s="150"/>
      <c r="I151" s="150"/>
      <c r="J151" s="150"/>
      <c r="K151" s="150"/>
      <c r="L151" s="150"/>
      <c r="M151" s="150"/>
      <c r="N151" s="150"/>
      <c r="O151" s="150"/>
      <c r="P151" s="150"/>
      <c r="Q151" s="150"/>
      <c r="R151" s="150"/>
      <c r="S151" s="150"/>
      <c r="T151" s="150"/>
      <c r="U151" s="150"/>
      <c r="V151" s="150"/>
      <c r="W151" s="150"/>
      <c r="X151" s="150"/>
      <c r="Y151" s="150"/>
      <c r="Z151" s="150"/>
    </row>
    <row r="152" spans="1:26" ht="13.2">
      <c r="A152" s="150" t="str">
        <f ca="1">IFERROR(__xludf.DUMMYFUNCTION("""COMPUTED_VALUE"""),"Zyra")</f>
        <v>Zyra</v>
      </c>
      <c r="B152" s="637" t="str">
        <f ca="1">IFERROR(__xludf.DUMMYFUNCTION("""COMPUTED_VALUE"""),"- P is plant damage")</f>
        <v>- P is plant damage</v>
      </c>
      <c r="C152" s="150"/>
      <c r="D152" s="150"/>
      <c r="E152" s="150"/>
      <c r="F152" s="150"/>
      <c r="G152" s="150"/>
      <c r="H152" s="150"/>
      <c r="I152" s="150"/>
      <c r="J152" s="150"/>
      <c r="K152" s="150"/>
      <c r="L152" s="150"/>
      <c r="M152" s="150"/>
      <c r="N152" s="150"/>
      <c r="O152" s="150"/>
      <c r="P152" s="150"/>
      <c r="Q152" s="150"/>
      <c r="R152" s="150"/>
      <c r="S152" s="150"/>
      <c r="T152" s="150"/>
      <c r="U152" s="150"/>
      <c r="V152" s="150"/>
      <c r="W152" s="150"/>
      <c r="X152" s="150"/>
      <c r="Y152" s="150"/>
      <c r="Z152" s="150"/>
    </row>
    <row r="153" spans="1:26" ht="13.2">
      <c r="A153" s="150" t="str">
        <f ca="1">IFERROR(__xludf.DUMMYFUNCTION("""COMPUTED_VALUE"""),"Seraphine")</f>
        <v>Seraphine</v>
      </c>
      <c r="B153" s="637" t="str">
        <f ca="1">IFERROR(__xludf.DUMMYFUNCTION("""COMPUTED_VALUE"""),"- Steroid: P (5 allies in the aura)
- Steroid: Q, W, E (Double cast)")</f>
        <v>- Steroid: P (5 allies in the aura)
- Steroid: Q, W, E (Double cast)</v>
      </c>
      <c r="C153" s="150"/>
      <c r="D153" s="150"/>
      <c r="E153" s="150"/>
      <c r="F153" s="150"/>
      <c r="G153" s="150"/>
      <c r="H153" s="150"/>
      <c r="I153" s="150"/>
      <c r="J153" s="150"/>
      <c r="K153" s="150"/>
      <c r="L153" s="150"/>
      <c r="M153" s="150"/>
      <c r="N153" s="150"/>
      <c r="O153" s="150"/>
      <c r="P153" s="150"/>
      <c r="Q153" s="150"/>
      <c r="R153" s="150"/>
      <c r="S153" s="150"/>
      <c r="T153" s="150"/>
      <c r="U153" s="150"/>
      <c r="V153" s="150"/>
      <c r="W153" s="150"/>
      <c r="X153" s="150"/>
      <c r="Y153" s="150"/>
      <c r="Z153" s="150"/>
    </row>
    <row r="154" spans="1:26" ht="13.2">
      <c r="A154" s="150" t="str">
        <f ca="1">IFERROR(__xludf.DUMMYFUNCTION("""COMPUTED_VALUE"""),"Rell")</f>
        <v>Rell</v>
      </c>
      <c r="B154" s="637" t="str">
        <f ca="1">IFERROR(__xludf.DUMMYFUNCTION("""COMPUTED_VALUE"""),"Nothing")</f>
        <v>Nothing</v>
      </c>
      <c r="C154" s="150"/>
      <c r="D154" s="150"/>
      <c r="E154" s="150"/>
      <c r="F154" s="150"/>
      <c r="G154" s="150"/>
      <c r="H154" s="150"/>
      <c r="I154" s="150"/>
      <c r="J154" s="150"/>
      <c r="K154" s="150"/>
      <c r="L154" s="150"/>
      <c r="M154" s="150"/>
      <c r="N154" s="150"/>
      <c r="O154" s="150"/>
      <c r="P154" s="150"/>
      <c r="Q154" s="150"/>
      <c r="R154" s="150"/>
      <c r="S154" s="150"/>
      <c r="T154" s="150"/>
      <c r="U154" s="150"/>
      <c r="V154" s="150"/>
      <c r="W154" s="150"/>
      <c r="X154" s="150"/>
      <c r="Y154" s="150"/>
      <c r="Z154" s="150"/>
    </row>
    <row r="155" spans="1:26" ht="13.2">
      <c r="A155" s="150" t="str">
        <f ca="1">IFERROR(__xludf.DUMMYFUNCTION("""COMPUTED_VALUE"""),"Viego")</f>
        <v>Viego</v>
      </c>
      <c r="B155" s="637" t="str">
        <f ca="1">IFERROR(__xludf.DUMMYFUNCTION("""COMPUTED_VALUE"""),"I can not replicate him going into different champions!
So for now he also got nothing special")</f>
        <v>I can not replicate him going into different champions!
So for now he also got nothing special</v>
      </c>
      <c r="C155" s="150"/>
      <c r="D155" s="150"/>
      <c r="E155" s="150"/>
      <c r="F155" s="150"/>
      <c r="G155" s="150"/>
      <c r="H155" s="150"/>
      <c r="I155" s="150"/>
      <c r="J155" s="150"/>
      <c r="K155" s="150"/>
      <c r="L155" s="150"/>
      <c r="M155" s="150"/>
      <c r="N155" s="150"/>
      <c r="O155" s="150"/>
      <c r="P155" s="150"/>
      <c r="Q155" s="150"/>
      <c r="R155" s="150"/>
      <c r="S155" s="150"/>
      <c r="T155" s="150"/>
      <c r="U155" s="150"/>
      <c r="V155" s="150"/>
      <c r="W155" s="150"/>
      <c r="X155" s="150"/>
      <c r="Y155" s="150"/>
      <c r="Z155" s="150"/>
    </row>
    <row r="156" spans="1:26" ht="13.2">
      <c r="A156" s="150" t="str">
        <f ca="1">IFERROR(__xludf.DUMMYFUNCTION("""COMPUTED_VALUE"""),"Gwen")</f>
        <v>Gwen</v>
      </c>
      <c r="B156" s="637" t="str">
        <f ca="1">IFERROR(__xludf.DUMMYFUNCTION("""COMPUTED_VALUE"""),"- Steroid: Q (Use 4 charges and hit for true damage)
- Steroid: W (Armor and magic resistance)
- Steroid: E (Attack speed, onhit and range)
- Steroid: R (Maximum damage)")</f>
        <v>- Steroid: Q (Use 4 charges and hit for true damage)
- Steroid: W (Armor and magic resistance)
- Steroid: E (Attack speed, onhit and range)
- Steroid: R (Maximum damage)</v>
      </c>
      <c r="C156" s="150"/>
      <c r="D156" s="150"/>
      <c r="E156" s="150"/>
      <c r="F156" s="150"/>
      <c r="G156" s="150"/>
      <c r="H156" s="150"/>
      <c r="I156" s="150"/>
      <c r="J156" s="150"/>
      <c r="K156" s="150"/>
      <c r="L156" s="150"/>
      <c r="M156" s="150"/>
      <c r="N156" s="150"/>
      <c r="O156" s="150"/>
      <c r="P156" s="150"/>
      <c r="Q156" s="150"/>
      <c r="R156" s="150"/>
      <c r="S156" s="150"/>
      <c r="T156" s="150"/>
      <c r="U156" s="150"/>
      <c r="V156" s="150"/>
      <c r="W156" s="150"/>
      <c r="X156" s="150"/>
      <c r="Y156" s="150"/>
      <c r="Z156" s="150"/>
    </row>
    <row r="157" spans="1:26" ht="13.2">
      <c r="A157" s="150" t="str">
        <f ca="1">IFERROR(__xludf.DUMMYFUNCTION("""COMPUTED_VALUE"""),"Akshan")</f>
        <v>Akshan</v>
      </c>
      <c r="B157" s="637" t="str">
        <f ca="1">IFERROR(__xludf.DUMMYFUNCTION("""COMPUTED_VALUE"""),"- Passive is in dps (Assuming you never cancel attacks)
- Q damage hits 2 times
- E damage ist calculated as hitting 3 shots
- Steroid: E (Hit 6 shots instead of 3)
- Steroid: R (Maximum damage)")</f>
        <v>- Passive is in dps (Assuming you never cancel attacks)
- Q damage hits 2 times
- E damage ist calculated as hitting 3 shots
- Steroid: E (Hit 6 shots instead of 3)
- Steroid: R (Maximum damage)</v>
      </c>
      <c r="C157" s="150"/>
      <c r="D157" s="150"/>
      <c r="E157" s="150"/>
      <c r="F157" s="150"/>
      <c r="G157" s="150"/>
      <c r="H157" s="150"/>
      <c r="I157" s="150"/>
      <c r="J157" s="150"/>
      <c r="K157" s="150"/>
      <c r="L157" s="150"/>
      <c r="M157" s="150"/>
      <c r="N157" s="150"/>
      <c r="O157" s="150"/>
      <c r="P157" s="150"/>
      <c r="Q157" s="150"/>
      <c r="R157" s="150"/>
      <c r="S157" s="150"/>
      <c r="T157" s="150"/>
      <c r="U157" s="150"/>
      <c r="V157" s="150"/>
      <c r="W157" s="150"/>
      <c r="X157" s="150"/>
      <c r="Y157" s="150"/>
      <c r="Z157" s="150"/>
    </row>
    <row r="158" spans="1:26" ht="13.2">
      <c r="A158" s="150" t="str">
        <f ca="1">IFERROR(__xludf.DUMMYFUNCTION("""COMPUTED_VALUE"""),"Vex")</f>
        <v>Vex</v>
      </c>
      <c r="B158" s="637" t="str">
        <f ca="1">IFERROR(__xludf.DUMMYFUNCTION("""COMPUTED_VALUE"""),"Nothing")</f>
        <v>Nothing</v>
      </c>
      <c r="C158" s="150"/>
      <c r="D158" s="150"/>
      <c r="E158" s="150"/>
      <c r="F158" s="150"/>
      <c r="G158" s="150"/>
      <c r="H158" s="150"/>
      <c r="I158" s="150"/>
      <c r="J158" s="150"/>
      <c r="K158" s="150"/>
      <c r="L158" s="150"/>
      <c r="M158" s="150"/>
      <c r="N158" s="150"/>
      <c r="O158" s="150"/>
      <c r="P158" s="150"/>
      <c r="Q158" s="150"/>
      <c r="R158" s="150"/>
      <c r="S158" s="150"/>
      <c r="T158" s="150"/>
      <c r="U158" s="150"/>
      <c r="V158" s="150"/>
      <c r="W158" s="150"/>
      <c r="X158" s="150"/>
      <c r="Y158" s="150"/>
      <c r="Z158" s="150"/>
    </row>
    <row r="159" spans="1:26" ht="13.2">
      <c r="A159" s="150" t="str">
        <f ca="1">IFERROR(__xludf.DUMMYFUNCTION("""COMPUTED_VALUE"""),"Zeri")</f>
        <v>Zeri</v>
      </c>
      <c r="B159" s="637" t="str">
        <f ca="1">IFERROR(__xludf.DUMMYFUNCTION("""COMPUTED_VALUE"""),"- Steroid: P (Fully charged passive)
- Steroid: W (Crit)
- Steroid: E (Onhit)
- Steroid: R (Attackspeed)
- Sheen damage is in Q dmg (divided by sheen cd)")</f>
        <v>- Steroid: P (Fully charged passive)
- Steroid: W (Crit)
- Steroid: E (Onhit)
- Steroid: R (Attackspeed)
- Sheen damage is in Q dmg (divided by sheen cd)</v>
      </c>
      <c r="C159" s="150"/>
      <c r="D159" s="150"/>
      <c r="E159" s="150"/>
      <c r="F159" s="150"/>
      <c r="G159" s="150"/>
      <c r="H159" s="150"/>
      <c r="I159" s="150"/>
      <c r="J159" s="150"/>
      <c r="K159" s="150"/>
      <c r="L159" s="150"/>
      <c r="M159" s="150"/>
      <c r="N159" s="150"/>
      <c r="O159" s="150"/>
      <c r="P159" s="150"/>
      <c r="Q159" s="150"/>
      <c r="R159" s="150"/>
      <c r="S159" s="150"/>
      <c r="T159" s="150"/>
      <c r="U159" s="150"/>
      <c r="V159" s="150"/>
      <c r="W159" s="150"/>
      <c r="X159" s="150"/>
      <c r="Y159" s="150"/>
      <c r="Z159" s="150"/>
    </row>
    <row r="160" spans="1:26" ht="13.2">
      <c r="A160" s="150" t="str">
        <f ca="1">IFERROR(__xludf.DUMMYFUNCTION("""COMPUTED_VALUE"""),"Bel'Veth")</f>
        <v>Bel'Veth</v>
      </c>
      <c r="B160" s="637" t="str">
        <f ca="1">IFERROR(__xludf.DUMMYFUNCTION("""COMPUTED_VALUE"""),"- Minions and kills act as stacks for her passive
- Dark Harvest/Grasp stacks count for her ult stacks (Under runes)
- Steroid: P (Get attackspeed)
- Steroid: Form (Get into ultimate form)")</f>
        <v>- Minions and kills act as stacks for her passive
- Dark Harvest/Grasp stacks count for her ult stacks (Under runes)
- Steroid: P (Get attackspeed)
- Steroid: Form (Get into ultimate form)</v>
      </c>
      <c r="C160" s="150"/>
      <c r="D160" s="150"/>
      <c r="E160" s="150"/>
      <c r="F160" s="150"/>
      <c r="G160" s="150"/>
      <c r="H160" s="150"/>
      <c r="I160" s="150"/>
      <c r="J160" s="150"/>
      <c r="K160" s="150"/>
      <c r="L160" s="150"/>
      <c r="M160" s="150"/>
      <c r="N160" s="150"/>
      <c r="O160" s="150"/>
      <c r="P160" s="150"/>
      <c r="Q160" s="150"/>
      <c r="R160" s="150"/>
      <c r="S160" s="150"/>
      <c r="T160" s="150"/>
      <c r="U160" s="150"/>
      <c r="V160" s="150"/>
      <c r="W160" s="150"/>
      <c r="X160" s="150"/>
      <c r="Y160" s="150"/>
      <c r="Z160" s="150"/>
    </row>
    <row r="161" spans="1:26" ht="13.2">
      <c r="A161" s="150" t="str">
        <f ca="1">IFERROR(__xludf.DUMMYFUNCTION("""COMPUTED_VALUE"""),"Nilah")</f>
        <v>Nilah</v>
      </c>
      <c r="B161" s="637" t="str">
        <f ca="1">IFERROR(__xludf.DUMMYFUNCTION("""COMPUTED_VALUE"""),"- Steroid: Q (Attackspeed, Range, Damage)
- R is total damage")</f>
        <v>- Steroid: Q (Attackspeed, Range, Damage)
- R is total damage</v>
      </c>
      <c r="C161" s="150"/>
      <c r="D161" s="150"/>
      <c r="E161" s="150"/>
      <c r="F161" s="150"/>
      <c r="G161" s="150"/>
      <c r="H161" s="150"/>
      <c r="I161" s="150"/>
      <c r="J161" s="150"/>
      <c r="K161" s="150"/>
      <c r="L161" s="150"/>
      <c r="M161" s="150"/>
      <c r="N161" s="150"/>
      <c r="O161" s="150"/>
      <c r="P161" s="150"/>
      <c r="Q161" s="150"/>
      <c r="R161" s="150"/>
      <c r="S161" s="150"/>
      <c r="T161" s="150"/>
      <c r="U161" s="150"/>
      <c r="V161" s="150"/>
      <c r="W161" s="150"/>
      <c r="X161" s="150"/>
      <c r="Y161" s="150"/>
      <c r="Z161" s="150"/>
    </row>
    <row r="162" spans="1:26" ht="13.2">
      <c r="A162" s="150" t="str">
        <f ca="1">IFERROR(__xludf.DUMMYFUNCTION("""COMPUTED_VALUE"""),"K'sante")</f>
        <v>K'sante</v>
      </c>
      <c r="B162" s="637" t="str">
        <f ca="1">IFERROR(__xludf.DUMMYFUNCTION("""COMPUTED_VALUE"""),"- Steroid: W (Fully charged)
- Steroid: R (Extra wall damage)
- Steroid: Form (All out form)")</f>
        <v>- Steroid: W (Fully charged)
- Steroid: R (Extra wall damage)
- Steroid: Form (All out form)</v>
      </c>
      <c r="C162" s="150"/>
      <c r="D162" s="150"/>
      <c r="E162" s="150"/>
      <c r="F162" s="150"/>
      <c r="G162" s="150"/>
      <c r="H162" s="150"/>
      <c r="I162" s="150"/>
      <c r="J162" s="150"/>
      <c r="K162" s="150"/>
      <c r="L162" s="150"/>
      <c r="M162" s="150"/>
      <c r="N162" s="150"/>
      <c r="O162" s="150"/>
      <c r="P162" s="150"/>
      <c r="Q162" s="150"/>
      <c r="R162" s="150"/>
      <c r="S162" s="150"/>
      <c r="T162" s="150"/>
      <c r="U162" s="150"/>
      <c r="V162" s="150"/>
      <c r="W162" s="150"/>
      <c r="X162" s="150"/>
      <c r="Y162" s="150"/>
      <c r="Z162" s="150"/>
    </row>
    <row r="163" spans="1:26" ht="13.2">
      <c r="A163" s="150" t="str">
        <f ca="1">IFERROR(__xludf.DUMMYFUNCTION("""COMPUTED_VALUE"""),"Renata")</f>
        <v>Renata</v>
      </c>
      <c r="B163" s="637" t="str">
        <f ca="1">IFERROR(__xludf.DUMMYFUNCTION("""COMPUTED_VALUE"""),"- Steroid: W (Attack speed)")</f>
        <v>- Steroid: W (Attack speed)</v>
      </c>
      <c r="C163" s="150"/>
      <c r="D163" s="150"/>
      <c r="E163" s="150"/>
      <c r="F163" s="150"/>
      <c r="G163" s="150"/>
      <c r="H163" s="150"/>
      <c r="I163" s="150"/>
      <c r="J163" s="150"/>
      <c r="K163" s="150"/>
      <c r="L163" s="150"/>
      <c r="M163" s="150"/>
      <c r="N163" s="150"/>
      <c r="O163" s="150"/>
      <c r="P163" s="150"/>
      <c r="Q163" s="150"/>
      <c r="R163" s="150"/>
      <c r="S163" s="150"/>
      <c r="T163" s="150"/>
      <c r="U163" s="150"/>
      <c r="V163" s="150"/>
      <c r="W163" s="150"/>
      <c r="X163" s="150"/>
      <c r="Y163" s="150"/>
      <c r="Z163" s="150"/>
    </row>
    <row r="164" spans="1:26" ht="13.2">
      <c r="A164" s="150" t="str">
        <f ca="1">IFERROR(__xludf.DUMMYFUNCTION("""COMPUTED_VALUE"""),"Milio")</f>
        <v>Milio</v>
      </c>
      <c r="B164" s="637" t="str">
        <f ca="1">IFERROR(__xludf.DUMMYFUNCTION("""COMPUTED_VALUE"""),"- Nothing")</f>
        <v>- Nothing</v>
      </c>
      <c r="C164" s="150"/>
      <c r="D164" s="150"/>
      <c r="E164" s="150"/>
      <c r="F164" s="150"/>
      <c r="G164" s="150"/>
      <c r="H164" s="150"/>
      <c r="I164" s="150"/>
      <c r="J164" s="150"/>
      <c r="K164" s="150"/>
      <c r="L164" s="150"/>
      <c r="M164" s="150"/>
      <c r="N164" s="150"/>
      <c r="O164" s="150"/>
      <c r="P164" s="150"/>
      <c r="Q164" s="150"/>
      <c r="R164" s="150"/>
      <c r="S164" s="150"/>
      <c r="T164" s="150"/>
      <c r="U164" s="150"/>
      <c r="V164" s="150"/>
      <c r="W164" s="150"/>
      <c r="X164" s="150"/>
      <c r="Y164" s="150"/>
      <c r="Z164" s="150"/>
    </row>
    <row r="165" spans="1:26" ht="13.2">
      <c r="A165" s="150"/>
      <c r="B165" s="150"/>
      <c r="C165" s="150"/>
      <c r="D165" s="150"/>
      <c r="E165" s="150"/>
      <c r="F165" s="150"/>
      <c r="G165" s="150"/>
      <c r="H165" s="150"/>
      <c r="I165" s="150"/>
      <c r="J165" s="150"/>
      <c r="K165" s="150"/>
      <c r="L165" s="150"/>
      <c r="M165" s="150"/>
      <c r="N165" s="150"/>
      <c r="O165" s="150"/>
      <c r="P165" s="150"/>
      <c r="Q165" s="150"/>
      <c r="R165" s="150"/>
      <c r="S165" s="150"/>
      <c r="T165" s="150"/>
      <c r="U165" s="150"/>
      <c r="V165" s="150"/>
      <c r="W165" s="150"/>
      <c r="X165" s="150"/>
      <c r="Y165" s="150"/>
      <c r="Z165" s="150"/>
    </row>
    <row r="166" spans="1:26" ht="13.2">
      <c r="A166" s="150"/>
      <c r="B166" s="150"/>
      <c r="C166" s="150"/>
      <c r="D166" s="150"/>
      <c r="E166" s="150"/>
      <c r="F166" s="150"/>
      <c r="G166" s="150"/>
      <c r="H166" s="150"/>
      <c r="I166" s="150"/>
      <c r="J166" s="150"/>
      <c r="K166" s="150"/>
      <c r="L166" s="150"/>
      <c r="M166" s="150"/>
      <c r="N166" s="150"/>
      <c r="O166" s="150"/>
      <c r="P166" s="150"/>
      <c r="Q166" s="150"/>
      <c r="R166" s="150"/>
      <c r="S166" s="150"/>
      <c r="T166" s="150"/>
      <c r="U166" s="150"/>
      <c r="V166" s="150"/>
      <c r="W166" s="150"/>
      <c r="X166" s="150"/>
      <c r="Y166" s="150"/>
      <c r="Z166" s="150"/>
    </row>
    <row r="167" spans="1:26" ht="13.2">
      <c r="A167" s="150"/>
      <c r="B167" s="150"/>
      <c r="C167" s="150"/>
      <c r="D167" s="150"/>
      <c r="E167" s="150"/>
      <c r="F167" s="150"/>
      <c r="G167" s="150"/>
      <c r="H167" s="150"/>
      <c r="I167" s="150"/>
      <c r="J167" s="150"/>
      <c r="K167" s="150"/>
      <c r="L167" s="150"/>
      <c r="M167" s="150"/>
      <c r="N167" s="150"/>
      <c r="O167" s="150"/>
      <c r="P167" s="150"/>
      <c r="Q167" s="150"/>
      <c r="R167" s="150"/>
      <c r="S167" s="150"/>
      <c r="T167" s="150"/>
      <c r="U167" s="150"/>
      <c r="V167" s="150"/>
      <c r="W167" s="150"/>
      <c r="X167" s="150"/>
      <c r="Y167" s="150"/>
      <c r="Z167" s="150"/>
    </row>
    <row r="168" spans="1:26" ht="13.2">
      <c r="A168" s="150"/>
      <c r="B168" s="150"/>
      <c r="C168" s="150"/>
      <c r="D168" s="150"/>
      <c r="E168" s="150"/>
      <c r="F168" s="150"/>
      <c r="G168" s="150"/>
      <c r="H168" s="150"/>
      <c r="I168" s="150"/>
      <c r="J168" s="150"/>
      <c r="K168" s="150"/>
      <c r="L168" s="150"/>
      <c r="M168" s="150"/>
      <c r="N168" s="150"/>
      <c r="O168" s="150"/>
      <c r="P168" s="150"/>
      <c r="Q168" s="150"/>
      <c r="R168" s="150"/>
      <c r="S168" s="150"/>
      <c r="T168" s="150"/>
      <c r="U168" s="150"/>
      <c r="V168" s="150"/>
      <c r="W168" s="150"/>
      <c r="X168" s="150"/>
      <c r="Y168" s="150"/>
      <c r="Z168" s="150"/>
    </row>
    <row r="169" spans="1:26" ht="13.2">
      <c r="A169" s="150"/>
      <c r="B169" s="150"/>
      <c r="C169" s="150"/>
      <c r="D169" s="150"/>
      <c r="E169" s="150"/>
      <c r="F169" s="150"/>
      <c r="G169" s="150"/>
      <c r="H169" s="150"/>
      <c r="I169" s="150"/>
      <c r="J169" s="150"/>
      <c r="K169" s="150"/>
      <c r="L169" s="150"/>
      <c r="M169" s="150"/>
      <c r="N169" s="150"/>
      <c r="O169" s="150"/>
      <c r="P169" s="150"/>
      <c r="Q169" s="150"/>
      <c r="R169" s="150"/>
      <c r="S169" s="150"/>
      <c r="T169" s="150"/>
      <c r="U169" s="150"/>
      <c r="V169" s="150"/>
      <c r="W169" s="150"/>
      <c r="X169" s="150"/>
      <c r="Y169" s="150"/>
      <c r="Z169" s="150"/>
    </row>
    <row r="170" spans="1:26" ht="13.2">
      <c r="A170" s="150"/>
      <c r="B170" s="150"/>
      <c r="C170" s="150"/>
      <c r="D170" s="150"/>
      <c r="E170" s="150"/>
      <c r="F170" s="150"/>
      <c r="G170" s="150"/>
      <c r="H170" s="150"/>
      <c r="I170" s="150"/>
      <c r="J170" s="150"/>
      <c r="K170" s="150"/>
      <c r="L170" s="150"/>
      <c r="M170" s="150"/>
      <c r="N170" s="150"/>
      <c r="O170" s="150"/>
      <c r="P170" s="150"/>
      <c r="Q170" s="150"/>
      <c r="R170" s="150"/>
      <c r="S170" s="150"/>
      <c r="T170" s="150"/>
      <c r="U170" s="150"/>
      <c r="V170" s="150"/>
      <c r="W170" s="150"/>
      <c r="X170" s="150"/>
      <c r="Y170" s="150"/>
      <c r="Z170" s="150"/>
    </row>
    <row r="171" spans="1:26" ht="13.2">
      <c r="A171" s="150"/>
      <c r="B171" s="150"/>
      <c r="C171" s="150"/>
      <c r="D171" s="150"/>
      <c r="E171" s="150"/>
      <c r="F171" s="150"/>
      <c r="G171" s="150"/>
      <c r="H171" s="150"/>
      <c r="I171" s="150"/>
      <c r="J171" s="150"/>
      <c r="K171" s="150"/>
      <c r="L171" s="150"/>
      <c r="M171" s="150"/>
      <c r="N171" s="150"/>
      <c r="O171" s="150"/>
      <c r="P171" s="150"/>
      <c r="Q171" s="150"/>
      <c r="R171" s="150"/>
      <c r="S171" s="150"/>
      <c r="T171" s="150"/>
      <c r="U171" s="150"/>
      <c r="V171" s="150"/>
      <c r="W171" s="150"/>
      <c r="X171" s="150"/>
      <c r="Y171" s="150"/>
      <c r="Z171" s="150"/>
    </row>
    <row r="172" spans="1:26" ht="13.2">
      <c r="A172" s="150"/>
      <c r="B172" s="150"/>
      <c r="C172" s="150"/>
      <c r="D172" s="150"/>
      <c r="E172" s="150"/>
      <c r="F172" s="150"/>
      <c r="G172" s="150"/>
      <c r="H172" s="150"/>
      <c r="I172" s="150"/>
      <c r="J172" s="150"/>
      <c r="K172" s="150"/>
      <c r="L172" s="150"/>
      <c r="M172" s="150"/>
      <c r="N172" s="150"/>
      <c r="O172" s="150"/>
      <c r="P172" s="150"/>
      <c r="Q172" s="150"/>
      <c r="R172" s="150"/>
      <c r="S172" s="150"/>
      <c r="T172" s="150"/>
      <c r="U172" s="150"/>
      <c r="V172" s="150"/>
      <c r="W172" s="150"/>
      <c r="X172" s="150"/>
      <c r="Y172" s="150"/>
      <c r="Z172" s="150"/>
    </row>
    <row r="173" spans="1:26" ht="13.2">
      <c r="A173" s="150"/>
      <c r="B173" s="150"/>
      <c r="C173" s="150"/>
      <c r="D173" s="150"/>
      <c r="E173" s="150"/>
      <c r="F173" s="150"/>
      <c r="G173" s="150"/>
      <c r="H173" s="150"/>
      <c r="I173" s="150"/>
      <c r="J173" s="150"/>
      <c r="K173" s="150"/>
      <c r="L173" s="150"/>
      <c r="M173" s="150"/>
      <c r="N173" s="150"/>
      <c r="O173" s="150"/>
      <c r="P173" s="150"/>
      <c r="Q173" s="150"/>
      <c r="R173" s="150"/>
      <c r="S173" s="150"/>
      <c r="T173" s="150"/>
      <c r="U173" s="150"/>
      <c r="V173" s="150"/>
      <c r="W173" s="150"/>
      <c r="X173" s="150"/>
      <c r="Y173" s="150"/>
      <c r="Z173" s="150"/>
    </row>
    <row r="174" spans="1:26" ht="13.2">
      <c r="A174" s="150"/>
      <c r="B174" s="150"/>
      <c r="C174" s="150"/>
      <c r="D174" s="150"/>
      <c r="E174" s="150"/>
      <c r="F174" s="150"/>
      <c r="G174" s="150"/>
      <c r="H174" s="150"/>
      <c r="I174" s="150"/>
      <c r="J174" s="150"/>
      <c r="K174" s="150"/>
      <c r="L174" s="150"/>
      <c r="M174" s="150"/>
      <c r="N174" s="150"/>
      <c r="O174" s="150"/>
      <c r="P174" s="150"/>
      <c r="Q174" s="150"/>
      <c r="R174" s="150"/>
      <c r="S174" s="150"/>
      <c r="T174" s="150"/>
      <c r="U174" s="150"/>
      <c r="V174" s="150"/>
      <c r="W174" s="150"/>
      <c r="X174" s="150"/>
      <c r="Y174" s="150"/>
      <c r="Z174" s="150"/>
    </row>
    <row r="175" spans="1:26" ht="13.2">
      <c r="A175" s="150"/>
      <c r="B175" s="150"/>
      <c r="C175" s="150"/>
      <c r="D175" s="150"/>
      <c r="E175" s="150"/>
      <c r="F175" s="150"/>
      <c r="G175" s="150"/>
      <c r="H175" s="150"/>
      <c r="I175" s="150"/>
      <c r="J175" s="150"/>
      <c r="K175" s="150"/>
      <c r="L175" s="150"/>
      <c r="M175" s="150"/>
      <c r="N175" s="150"/>
      <c r="O175" s="150"/>
      <c r="P175" s="150"/>
      <c r="Q175" s="150"/>
      <c r="R175" s="150"/>
      <c r="S175" s="150"/>
      <c r="T175" s="150"/>
      <c r="U175" s="150"/>
      <c r="V175" s="150"/>
      <c r="W175" s="150"/>
      <c r="X175" s="150"/>
      <c r="Y175" s="150"/>
      <c r="Z175" s="150"/>
    </row>
    <row r="176" spans="1:26" ht="13.2">
      <c r="A176" s="150"/>
      <c r="B176" s="150"/>
      <c r="C176" s="150"/>
      <c r="D176" s="150"/>
      <c r="E176" s="150"/>
      <c r="F176" s="150"/>
      <c r="G176" s="150"/>
      <c r="H176" s="150"/>
      <c r="I176" s="150"/>
      <c r="J176" s="150"/>
      <c r="K176" s="150"/>
      <c r="L176" s="150"/>
      <c r="M176" s="150"/>
      <c r="N176" s="150"/>
      <c r="O176" s="150"/>
      <c r="P176" s="150"/>
      <c r="Q176" s="150"/>
      <c r="R176" s="150"/>
      <c r="S176" s="150"/>
      <c r="T176" s="150"/>
      <c r="U176" s="150"/>
      <c r="V176" s="150"/>
      <c r="W176" s="150"/>
      <c r="X176" s="150"/>
      <c r="Y176" s="150"/>
      <c r="Z176" s="150"/>
    </row>
    <row r="177" spans="1:26" ht="13.2">
      <c r="A177" s="150"/>
      <c r="B177" s="150"/>
      <c r="C177" s="150"/>
      <c r="D177" s="150"/>
      <c r="E177" s="150"/>
      <c r="F177" s="150"/>
      <c r="G177" s="150"/>
      <c r="H177" s="150"/>
      <c r="I177" s="150"/>
      <c r="J177" s="150"/>
      <c r="K177" s="150"/>
      <c r="L177" s="150"/>
      <c r="M177" s="150"/>
      <c r="N177" s="150"/>
      <c r="O177" s="150"/>
      <c r="P177" s="150"/>
      <c r="Q177" s="150"/>
      <c r="R177" s="150"/>
      <c r="S177" s="150"/>
      <c r="T177" s="150"/>
      <c r="U177" s="150"/>
      <c r="V177" s="150"/>
      <c r="W177" s="150"/>
      <c r="X177" s="150"/>
      <c r="Y177" s="150"/>
      <c r="Z177" s="150"/>
    </row>
    <row r="178" spans="1:26" ht="13.2">
      <c r="A178" s="150"/>
      <c r="B178" s="150"/>
      <c r="C178" s="150"/>
      <c r="D178" s="150"/>
      <c r="E178" s="150"/>
      <c r="F178" s="150"/>
      <c r="G178" s="150"/>
      <c r="H178" s="150"/>
      <c r="I178" s="150"/>
      <c r="J178" s="150"/>
      <c r="K178" s="150"/>
      <c r="L178" s="150"/>
      <c r="M178" s="150"/>
      <c r="N178" s="150"/>
      <c r="O178" s="150"/>
      <c r="P178" s="150"/>
      <c r="Q178" s="150"/>
      <c r="R178" s="150"/>
      <c r="S178" s="150"/>
      <c r="T178" s="150"/>
      <c r="U178" s="150"/>
      <c r="V178" s="150"/>
      <c r="W178" s="150"/>
      <c r="X178" s="150"/>
      <c r="Y178" s="150"/>
      <c r="Z178" s="150"/>
    </row>
    <row r="179" spans="1:26" ht="13.2">
      <c r="A179" s="150"/>
      <c r="B179" s="150"/>
      <c r="C179" s="150"/>
      <c r="D179" s="150"/>
      <c r="E179" s="150"/>
      <c r="F179" s="150"/>
      <c r="G179" s="150"/>
      <c r="H179" s="150"/>
      <c r="I179" s="150"/>
      <c r="J179" s="150"/>
      <c r="K179" s="150"/>
      <c r="L179" s="150"/>
      <c r="M179" s="150"/>
      <c r="N179" s="150"/>
      <c r="O179" s="150"/>
      <c r="P179" s="150"/>
      <c r="Q179" s="150"/>
      <c r="R179" s="150"/>
      <c r="S179" s="150"/>
      <c r="T179" s="150"/>
      <c r="U179" s="150"/>
      <c r="V179" s="150"/>
      <c r="W179" s="150"/>
      <c r="X179" s="150"/>
      <c r="Y179" s="150"/>
      <c r="Z179" s="150"/>
    </row>
    <row r="180" spans="1:26" ht="13.2">
      <c r="A180" s="150"/>
      <c r="B180" s="150"/>
      <c r="C180" s="150"/>
      <c r="D180" s="150"/>
      <c r="E180" s="150"/>
      <c r="F180" s="150"/>
      <c r="G180" s="150"/>
      <c r="H180" s="150"/>
      <c r="I180" s="150"/>
      <c r="J180" s="150"/>
      <c r="K180" s="150"/>
      <c r="L180" s="150"/>
      <c r="M180" s="150"/>
      <c r="N180" s="150"/>
      <c r="O180" s="150"/>
      <c r="P180" s="150"/>
      <c r="Q180" s="150"/>
      <c r="R180" s="150"/>
      <c r="S180" s="150"/>
      <c r="T180" s="150"/>
      <c r="U180" s="150"/>
      <c r="V180" s="150"/>
      <c r="W180" s="150"/>
      <c r="X180" s="150"/>
      <c r="Y180" s="150"/>
      <c r="Z180" s="150"/>
    </row>
    <row r="181" spans="1:26" ht="13.2">
      <c r="A181" s="150"/>
      <c r="B181" s="150"/>
      <c r="C181" s="150"/>
      <c r="D181" s="150"/>
      <c r="E181" s="150"/>
      <c r="F181" s="150"/>
      <c r="G181" s="150"/>
      <c r="H181" s="150"/>
      <c r="I181" s="150"/>
      <c r="J181" s="150"/>
      <c r="K181" s="150"/>
      <c r="L181" s="150"/>
      <c r="M181" s="150"/>
      <c r="N181" s="150"/>
      <c r="O181" s="150"/>
      <c r="P181" s="150"/>
      <c r="Q181" s="150"/>
      <c r="R181" s="150"/>
      <c r="S181" s="150"/>
      <c r="T181" s="150"/>
      <c r="U181" s="150"/>
      <c r="V181" s="150"/>
      <c r="W181" s="150"/>
      <c r="X181" s="150"/>
      <c r="Y181" s="150"/>
      <c r="Z181" s="150"/>
    </row>
    <row r="182" spans="1:26" ht="13.2">
      <c r="A182" s="150"/>
      <c r="B182" s="150"/>
      <c r="C182" s="150"/>
      <c r="D182" s="150"/>
      <c r="E182" s="150"/>
      <c r="F182" s="150"/>
      <c r="G182" s="150"/>
      <c r="H182" s="150"/>
      <c r="I182" s="150"/>
      <c r="J182" s="150"/>
      <c r="K182" s="150"/>
      <c r="L182" s="150"/>
      <c r="M182" s="150"/>
      <c r="N182" s="150"/>
      <c r="O182" s="150"/>
      <c r="P182" s="150"/>
      <c r="Q182" s="150"/>
      <c r="R182" s="150"/>
      <c r="S182" s="150"/>
      <c r="T182" s="150"/>
      <c r="U182" s="150"/>
      <c r="V182" s="150"/>
      <c r="W182" s="150"/>
      <c r="X182" s="150"/>
      <c r="Y182" s="150"/>
      <c r="Z182" s="150"/>
    </row>
    <row r="183" spans="1:26" ht="13.2">
      <c r="A183" s="150"/>
      <c r="B183" s="150"/>
      <c r="C183" s="150"/>
      <c r="D183" s="150"/>
      <c r="E183" s="150"/>
      <c r="F183" s="150"/>
      <c r="G183" s="150"/>
      <c r="H183" s="150"/>
      <c r="I183" s="150"/>
      <c r="J183" s="150"/>
      <c r="K183" s="150"/>
      <c r="L183" s="150"/>
      <c r="M183" s="150"/>
      <c r="N183" s="150"/>
      <c r="O183" s="150"/>
      <c r="P183" s="150"/>
      <c r="Q183" s="150"/>
      <c r="R183" s="150"/>
      <c r="S183" s="150"/>
      <c r="T183" s="150"/>
      <c r="U183" s="150"/>
      <c r="V183" s="150"/>
      <c r="W183" s="150"/>
      <c r="X183" s="150"/>
      <c r="Y183" s="150"/>
      <c r="Z183" s="150"/>
    </row>
    <row r="184" spans="1:26" ht="13.2">
      <c r="A184" s="150"/>
      <c r="B184" s="150"/>
      <c r="C184" s="150"/>
      <c r="D184" s="150"/>
      <c r="E184" s="150"/>
      <c r="F184" s="150"/>
      <c r="G184" s="150"/>
      <c r="H184" s="150"/>
      <c r="I184" s="150"/>
      <c r="J184" s="150"/>
      <c r="K184" s="150"/>
      <c r="L184" s="150"/>
      <c r="M184" s="150"/>
      <c r="N184" s="150"/>
      <c r="O184" s="150"/>
      <c r="P184" s="150"/>
      <c r="Q184" s="150"/>
      <c r="R184" s="150"/>
      <c r="S184" s="150"/>
      <c r="T184" s="150"/>
      <c r="U184" s="150"/>
      <c r="V184" s="150"/>
      <c r="W184" s="150"/>
      <c r="X184" s="150"/>
      <c r="Y184" s="150"/>
      <c r="Z184" s="150"/>
    </row>
    <row r="185" spans="1:26" ht="13.2">
      <c r="A185" s="150"/>
      <c r="B185" s="150"/>
      <c r="C185" s="150"/>
      <c r="D185" s="150"/>
      <c r="E185" s="150"/>
      <c r="F185" s="150"/>
      <c r="G185" s="150"/>
      <c r="H185" s="150"/>
      <c r="I185" s="150"/>
      <c r="J185" s="150"/>
      <c r="K185" s="150"/>
      <c r="L185" s="150"/>
      <c r="M185" s="150"/>
      <c r="N185" s="150"/>
      <c r="O185" s="150"/>
      <c r="P185" s="150"/>
      <c r="Q185" s="150"/>
      <c r="R185" s="150"/>
      <c r="S185" s="150"/>
      <c r="T185" s="150"/>
      <c r="U185" s="150"/>
      <c r="V185" s="150"/>
      <c r="W185" s="150"/>
      <c r="X185" s="150"/>
      <c r="Y185" s="150"/>
      <c r="Z185" s="150"/>
    </row>
    <row r="186" spans="1:26" ht="13.2">
      <c r="A186" s="150"/>
      <c r="B186" s="150"/>
      <c r="C186" s="150"/>
      <c r="D186" s="150"/>
      <c r="E186" s="150"/>
      <c r="F186" s="150"/>
      <c r="G186" s="150"/>
      <c r="H186" s="150"/>
      <c r="I186" s="150"/>
      <c r="J186" s="150"/>
      <c r="K186" s="150"/>
      <c r="L186" s="150"/>
      <c r="M186" s="150"/>
      <c r="N186" s="150"/>
      <c r="O186" s="150"/>
      <c r="P186" s="150"/>
      <c r="Q186" s="150"/>
      <c r="R186" s="150"/>
      <c r="S186" s="150"/>
      <c r="T186" s="150"/>
      <c r="U186" s="150"/>
      <c r="V186" s="150"/>
      <c r="W186" s="150"/>
      <c r="X186" s="150"/>
      <c r="Y186" s="150"/>
      <c r="Z186" s="150"/>
    </row>
    <row r="187" spans="1:26" ht="13.2">
      <c r="A187" s="150"/>
      <c r="B187" s="150"/>
      <c r="C187" s="150"/>
      <c r="D187" s="150"/>
      <c r="E187" s="150"/>
      <c r="F187" s="150"/>
      <c r="G187" s="150"/>
      <c r="H187" s="150"/>
      <c r="I187" s="150"/>
      <c r="J187" s="150"/>
      <c r="K187" s="150"/>
      <c r="L187" s="150"/>
      <c r="M187" s="150"/>
      <c r="N187" s="150"/>
      <c r="O187" s="150"/>
      <c r="P187" s="150"/>
      <c r="Q187" s="150"/>
      <c r="R187" s="150"/>
      <c r="S187" s="150"/>
      <c r="T187" s="150"/>
      <c r="U187" s="150"/>
      <c r="V187" s="150"/>
      <c r="W187" s="150"/>
      <c r="X187" s="150"/>
      <c r="Y187" s="150"/>
      <c r="Z187" s="150"/>
    </row>
    <row r="188" spans="1:26" ht="13.2">
      <c r="A188" s="150"/>
      <c r="B188" s="150"/>
      <c r="C188" s="150"/>
      <c r="D188" s="150"/>
      <c r="E188" s="150"/>
      <c r="F188" s="150"/>
      <c r="G188" s="150"/>
      <c r="H188" s="150"/>
      <c r="I188" s="150"/>
      <c r="J188" s="150"/>
      <c r="K188" s="150"/>
      <c r="L188" s="150"/>
      <c r="M188" s="150"/>
      <c r="N188" s="150"/>
      <c r="O188" s="150"/>
      <c r="P188" s="150"/>
      <c r="Q188" s="150"/>
      <c r="R188" s="150"/>
      <c r="S188" s="150"/>
      <c r="T188" s="150"/>
      <c r="U188" s="150"/>
      <c r="V188" s="150"/>
      <c r="W188" s="150"/>
      <c r="X188" s="150"/>
      <c r="Y188" s="150"/>
      <c r="Z188" s="150"/>
    </row>
    <row r="189" spans="1:26" ht="13.2">
      <c r="A189" s="150"/>
      <c r="B189" s="150"/>
      <c r="C189" s="150"/>
      <c r="D189" s="150"/>
      <c r="E189" s="150"/>
      <c r="F189" s="150"/>
      <c r="G189" s="150"/>
      <c r="H189" s="150"/>
      <c r="I189" s="150"/>
      <c r="J189" s="150"/>
      <c r="K189" s="150"/>
      <c r="L189" s="150"/>
      <c r="M189" s="150"/>
      <c r="N189" s="150"/>
      <c r="O189" s="150"/>
      <c r="P189" s="150"/>
      <c r="Q189" s="150"/>
      <c r="R189" s="150"/>
      <c r="S189" s="150"/>
      <c r="T189" s="150"/>
      <c r="U189" s="150"/>
      <c r="V189" s="150"/>
      <c r="W189" s="150"/>
      <c r="X189" s="150"/>
      <c r="Y189" s="150"/>
      <c r="Z189" s="150"/>
    </row>
    <row r="190" spans="1:26" ht="13.2">
      <c r="A190" s="150"/>
      <c r="B190" s="150"/>
      <c r="C190" s="150"/>
      <c r="D190" s="150"/>
      <c r="E190" s="150"/>
      <c r="F190" s="150"/>
      <c r="G190" s="150"/>
      <c r="H190" s="150"/>
      <c r="I190" s="150"/>
      <c r="J190" s="150"/>
      <c r="K190" s="150"/>
      <c r="L190" s="150"/>
      <c r="M190" s="150"/>
      <c r="N190" s="150"/>
      <c r="O190" s="150"/>
      <c r="P190" s="150"/>
      <c r="Q190" s="150"/>
      <c r="R190" s="150"/>
      <c r="S190" s="150"/>
      <c r="T190" s="150"/>
      <c r="U190" s="150"/>
      <c r="V190" s="150"/>
      <c r="W190" s="150"/>
      <c r="X190" s="150"/>
      <c r="Y190" s="150"/>
      <c r="Z190" s="150"/>
    </row>
    <row r="191" spans="1:26" ht="13.2">
      <c r="A191" s="150"/>
      <c r="B191" s="150"/>
      <c r="C191" s="150"/>
      <c r="D191" s="150"/>
      <c r="E191" s="150"/>
      <c r="F191" s="150"/>
      <c r="G191" s="150"/>
      <c r="H191" s="150"/>
      <c r="I191" s="150"/>
      <c r="J191" s="150"/>
      <c r="K191" s="150"/>
      <c r="L191" s="150"/>
      <c r="M191" s="150"/>
      <c r="N191" s="150"/>
      <c r="O191" s="150"/>
      <c r="P191" s="150"/>
      <c r="Q191" s="150"/>
      <c r="R191" s="150"/>
      <c r="S191" s="150"/>
      <c r="T191" s="150"/>
      <c r="U191" s="150"/>
      <c r="V191" s="150"/>
      <c r="W191" s="150"/>
      <c r="X191" s="150"/>
      <c r="Y191" s="150"/>
      <c r="Z191" s="150"/>
    </row>
    <row r="192" spans="1:26" ht="13.2">
      <c r="A192" s="150"/>
      <c r="B192" s="150"/>
      <c r="C192" s="150"/>
      <c r="D192" s="150"/>
      <c r="E192" s="150"/>
      <c r="F192" s="150"/>
      <c r="G192" s="150"/>
      <c r="H192" s="150"/>
      <c r="I192" s="150"/>
      <c r="J192" s="150"/>
      <c r="K192" s="150"/>
      <c r="L192" s="150"/>
      <c r="M192" s="150"/>
      <c r="N192" s="150"/>
      <c r="O192" s="150"/>
      <c r="P192" s="150"/>
      <c r="Q192" s="150"/>
      <c r="R192" s="150"/>
      <c r="S192" s="150"/>
      <c r="T192" s="150"/>
      <c r="U192" s="150"/>
      <c r="V192" s="150"/>
      <c r="W192" s="150"/>
      <c r="X192" s="150"/>
      <c r="Y192" s="150"/>
      <c r="Z192" s="150"/>
    </row>
    <row r="193" spans="1:26" ht="13.2">
      <c r="A193" s="150"/>
      <c r="B193" s="150"/>
      <c r="C193" s="150"/>
      <c r="D193" s="150"/>
      <c r="E193" s="150"/>
      <c r="F193" s="150"/>
      <c r="G193" s="150"/>
      <c r="H193" s="150"/>
      <c r="I193" s="150"/>
      <c r="J193" s="150"/>
      <c r="K193" s="150"/>
      <c r="L193" s="150"/>
      <c r="M193" s="150"/>
      <c r="N193" s="150"/>
      <c r="O193" s="150"/>
      <c r="P193" s="150"/>
      <c r="Q193" s="150"/>
      <c r="R193" s="150"/>
      <c r="S193" s="150"/>
      <c r="T193" s="150"/>
      <c r="U193" s="150"/>
      <c r="V193" s="150"/>
      <c r="W193" s="150"/>
      <c r="X193" s="150"/>
      <c r="Y193" s="150"/>
      <c r="Z193" s="150"/>
    </row>
    <row r="194" spans="1:26" ht="13.2">
      <c r="A194" s="150"/>
      <c r="B194" s="150"/>
      <c r="C194" s="150"/>
      <c r="D194" s="150"/>
      <c r="E194" s="150"/>
      <c r="F194" s="150"/>
      <c r="G194" s="150"/>
      <c r="H194" s="150"/>
      <c r="I194" s="150"/>
      <c r="J194" s="150"/>
      <c r="K194" s="150"/>
      <c r="L194" s="150"/>
      <c r="M194" s="150"/>
      <c r="N194" s="150"/>
      <c r="O194" s="150"/>
      <c r="P194" s="150"/>
      <c r="Q194" s="150"/>
      <c r="R194" s="150"/>
      <c r="S194" s="150"/>
      <c r="T194" s="150"/>
      <c r="U194" s="150"/>
      <c r="V194" s="150"/>
      <c r="W194" s="150"/>
      <c r="X194" s="150"/>
      <c r="Y194" s="150"/>
      <c r="Z194" s="150"/>
    </row>
    <row r="195" spans="1:26" ht="13.2">
      <c r="A195" s="150"/>
      <c r="B195" s="150"/>
      <c r="C195" s="150"/>
      <c r="D195" s="150"/>
      <c r="E195" s="150"/>
      <c r="F195" s="150"/>
      <c r="G195" s="150"/>
      <c r="H195" s="150"/>
      <c r="I195" s="150"/>
      <c r="J195" s="150"/>
      <c r="K195" s="150"/>
      <c r="L195" s="150"/>
      <c r="M195" s="150"/>
      <c r="N195" s="150"/>
      <c r="O195" s="150"/>
      <c r="P195" s="150"/>
      <c r="Q195" s="150"/>
      <c r="R195" s="150"/>
      <c r="S195" s="150"/>
      <c r="T195" s="150"/>
      <c r="U195" s="150"/>
      <c r="V195" s="150"/>
      <c r="W195" s="150"/>
      <c r="X195" s="150"/>
      <c r="Y195" s="150"/>
      <c r="Z195" s="150"/>
    </row>
    <row r="196" spans="1:26" ht="13.2">
      <c r="A196" s="150"/>
      <c r="B196" s="150"/>
      <c r="C196" s="150"/>
      <c r="D196" s="150"/>
      <c r="E196" s="150"/>
      <c r="F196" s="150"/>
      <c r="G196" s="150"/>
      <c r="H196" s="150"/>
      <c r="I196" s="150"/>
      <c r="J196" s="150"/>
      <c r="K196" s="150"/>
      <c r="L196" s="150"/>
      <c r="M196" s="150"/>
      <c r="N196" s="150"/>
      <c r="O196" s="150"/>
      <c r="P196" s="150"/>
      <c r="Q196" s="150"/>
      <c r="R196" s="150"/>
      <c r="S196" s="150"/>
      <c r="T196" s="150"/>
      <c r="U196" s="150"/>
      <c r="V196" s="150"/>
      <c r="W196" s="150"/>
      <c r="X196" s="150"/>
      <c r="Y196" s="150"/>
      <c r="Z196" s="150"/>
    </row>
    <row r="197" spans="1:26" ht="13.2">
      <c r="A197" s="150"/>
      <c r="B197" s="150"/>
      <c r="C197" s="150"/>
      <c r="D197" s="150"/>
      <c r="E197" s="150"/>
      <c r="F197" s="150"/>
      <c r="G197" s="150"/>
      <c r="H197" s="150"/>
      <c r="I197" s="150"/>
      <c r="J197" s="150"/>
      <c r="K197" s="150"/>
      <c r="L197" s="150"/>
      <c r="M197" s="150"/>
      <c r="N197" s="150"/>
      <c r="O197" s="150"/>
      <c r="P197" s="150"/>
      <c r="Q197" s="150"/>
      <c r="R197" s="150"/>
      <c r="S197" s="150"/>
      <c r="T197" s="150"/>
      <c r="U197" s="150"/>
      <c r="V197" s="150"/>
      <c r="W197" s="150"/>
      <c r="X197" s="150"/>
      <c r="Y197" s="150"/>
      <c r="Z197" s="150"/>
    </row>
    <row r="198" spans="1:26" ht="13.2">
      <c r="A198" s="150"/>
      <c r="B198" s="150"/>
      <c r="C198" s="150"/>
      <c r="D198" s="150"/>
      <c r="E198" s="150"/>
      <c r="F198" s="150"/>
      <c r="G198" s="150"/>
      <c r="H198" s="150"/>
      <c r="I198" s="150"/>
      <c r="J198" s="150"/>
      <c r="K198" s="150"/>
      <c r="L198" s="150"/>
      <c r="M198" s="150"/>
      <c r="N198" s="150"/>
      <c r="O198" s="150"/>
      <c r="P198" s="150"/>
      <c r="Q198" s="150"/>
      <c r="R198" s="150"/>
      <c r="S198" s="150"/>
      <c r="T198" s="150"/>
      <c r="U198" s="150"/>
      <c r="V198" s="150"/>
      <c r="W198" s="150"/>
      <c r="X198" s="150"/>
      <c r="Y198" s="150"/>
      <c r="Z198" s="150"/>
    </row>
    <row r="199" spans="1:26" ht="13.2">
      <c r="A199" s="150"/>
      <c r="B199" s="150"/>
      <c r="C199" s="150"/>
      <c r="D199" s="150"/>
      <c r="E199" s="150"/>
      <c r="F199" s="150"/>
      <c r="G199" s="150"/>
      <c r="H199" s="150"/>
      <c r="I199" s="150"/>
      <c r="J199" s="150"/>
      <c r="K199" s="150"/>
      <c r="L199" s="150"/>
      <c r="M199" s="150"/>
      <c r="N199" s="150"/>
      <c r="O199" s="150"/>
      <c r="P199" s="150"/>
      <c r="Q199" s="150"/>
      <c r="R199" s="150"/>
      <c r="S199" s="150"/>
      <c r="T199" s="150"/>
      <c r="U199" s="150"/>
      <c r="V199" s="150"/>
      <c r="W199" s="150"/>
      <c r="X199" s="150"/>
      <c r="Y199" s="150"/>
      <c r="Z199" s="150"/>
    </row>
    <row r="200" spans="1:26" ht="13.2">
      <c r="A200" s="150"/>
      <c r="B200" s="150"/>
      <c r="C200" s="150"/>
      <c r="D200" s="150"/>
      <c r="E200" s="150"/>
      <c r="F200" s="150"/>
      <c r="G200" s="150"/>
      <c r="H200" s="150"/>
      <c r="I200" s="150"/>
      <c r="J200" s="150"/>
      <c r="K200" s="150"/>
      <c r="L200" s="150"/>
      <c r="M200" s="150"/>
      <c r="N200" s="150"/>
      <c r="O200" s="150"/>
      <c r="P200" s="150"/>
      <c r="Q200" s="150"/>
      <c r="R200" s="150"/>
      <c r="S200" s="150"/>
      <c r="T200" s="150"/>
      <c r="U200" s="150"/>
      <c r="V200" s="150"/>
      <c r="W200" s="150"/>
      <c r="X200" s="150"/>
      <c r="Y200" s="150"/>
      <c r="Z200" s="150"/>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AO227"/>
  <sheetViews>
    <sheetView workbookViewId="0"/>
  </sheetViews>
  <sheetFormatPr baseColWidth="10" defaultColWidth="12.6640625" defaultRowHeight="15" customHeight="1"/>
  <cols>
    <col min="1" max="1" width="12.88671875" customWidth="1"/>
    <col min="2" max="11" width="3.21875" customWidth="1"/>
    <col min="12" max="12" width="3.77734375" customWidth="1"/>
    <col min="13" max="41" width="2.77734375" customWidth="1"/>
  </cols>
  <sheetData>
    <row r="1" spans="1:41">
      <c r="A1" s="638" t="str">
        <f ca="1">IFERROR(__xludf.DUMMYFUNCTION("IMPORTRANGE(""19QEmeWlm_IOMUgVC5P_7ofY_CkEZ4ULFNEedQ8mho9M"",""DatasourceItem!A1:AS227"")"),"Name")</f>
        <v>Name</v>
      </c>
      <c r="B1" s="639" t="str">
        <f ca="1">IFERROR(__xludf.DUMMYFUNCTION("""COMPUTED_VALUE"""),"Gold")</f>
        <v>Gold</v>
      </c>
      <c r="C1" s="640" t="str">
        <f ca="1">IFERROR(__xludf.DUMMYFUNCTION("""COMPUTED_VALUE"""),"HP")</f>
        <v>HP</v>
      </c>
      <c r="D1" s="639" t="str">
        <f ca="1">IFERROR(__xludf.DUMMYFUNCTION("""COMPUTED_VALUE"""),"HP5")</f>
        <v>HP5</v>
      </c>
      <c r="E1" s="640" t="str">
        <f ca="1">IFERROR(__xludf.DUMMYFUNCTION("""COMPUTED_VALUE"""),"MP")</f>
        <v>MP</v>
      </c>
      <c r="F1" s="639" t="str">
        <f ca="1">IFERROR(__xludf.DUMMYFUNCTION("""COMPUTED_VALUE"""),"MP5")</f>
        <v>MP5</v>
      </c>
      <c r="G1" s="640" t="str">
        <f ca="1">IFERROR(__xludf.DUMMYFUNCTION("""COMPUTED_VALUE"""),"AD")</f>
        <v>AD</v>
      </c>
      <c r="H1" s="640" t="str">
        <f ca="1">IFERROR(__xludf.DUMMYFUNCTION("""COMPUTED_VALUE"""),"AP")</f>
        <v>AP</v>
      </c>
      <c r="I1" s="640" t="str">
        <f ca="1">IFERROR(__xludf.DUMMYFUNCTION("""COMPUTED_VALUE"""),"AR")</f>
        <v>AR</v>
      </c>
      <c r="J1" s="640" t="str">
        <f ca="1">IFERROR(__xludf.DUMMYFUNCTION("""COMPUTED_VALUE"""),"MR")</f>
        <v>MR</v>
      </c>
      <c r="K1" s="640" t="str">
        <f ca="1">IFERROR(__xludf.DUMMYFUNCTION("""COMPUTED_VALUE"""),"AS")</f>
        <v>AS</v>
      </c>
      <c r="L1" s="641" t="str">
        <f ca="1">IFERROR(__xludf.DUMMYFUNCTION("""COMPUTED_VALUE"""),"CC")</f>
        <v>CC</v>
      </c>
      <c r="M1" s="641" t="str">
        <f ca="1">IFERROR(__xludf.DUMMYFUNCTION("""COMPUTED_VALUE"""),"AH")</f>
        <v>AH</v>
      </c>
      <c r="N1" s="641" t="str">
        <f ca="1">IFERROR(__xludf.DUMMYFUNCTION("""COMPUTED_VALUE"""),"LS")</f>
        <v>LS</v>
      </c>
      <c r="O1" s="641" t="str">
        <f ca="1">IFERROR(__xludf.DUMMYFUNCTION("""COMPUTED_VALUE"""),"LE")</f>
        <v>LE</v>
      </c>
      <c r="P1" s="641" t="str">
        <f ca="1">IFERROR(__xludf.DUMMYFUNCTION("""COMPUTED_VALUE"""),"MPE")</f>
        <v>MPE</v>
      </c>
      <c r="Q1" s="641" t="str">
        <f ca="1">IFERROR(__xludf.DUMMYFUNCTION("""COMPUTED_VALUE"""),"SHOE")</f>
        <v>SHOE</v>
      </c>
      <c r="R1" s="641" t="str">
        <f ca="1">IFERROR(__xludf.DUMMYFUNCTION("""COMPUTED_VALUE"""),"MS%")</f>
        <v>MS%</v>
      </c>
      <c r="S1" s="642" t="str">
        <f ca="1">IFERROR(__xludf.DUMMYFUNCTION("""COMPUTED_VALUE"""),"HEAL")</f>
        <v>HEAL</v>
      </c>
      <c r="T1" s="641" t="str">
        <f ca="1">IFERROR(__xludf.DUMMYFUNCTION("""COMPUTED_VALUE"""),"POH")</f>
        <v>POH</v>
      </c>
      <c r="U1" s="641" t="str">
        <f ca="1">IFERROR(__xludf.DUMMYFUNCTION("""COMPUTED_VALUE"""),"MOH")</f>
        <v>MOH</v>
      </c>
      <c r="V1" s="641" t="str">
        <f ca="1">IFERROR(__xludf.DUMMYFUNCTION("""COMPUTED_VALUE"""),"EPD")</f>
        <v>EPD</v>
      </c>
      <c r="W1" s="641" t="str">
        <f ca="1">IFERROR(__xludf.DUMMYFUNCTION("""COMPUTED_VALUE"""),"MPD")</f>
        <v>MPD</v>
      </c>
      <c r="X1" s="641" t="str">
        <f ca="1">IFERROR(__xludf.DUMMYFUNCTION("""COMPUTED_VALUE"""),"Sheen")</f>
        <v>Sheen</v>
      </c>
      <c r="Y1" s="641" t="str">
        <f ca="1">IFERROR(__xludf.DUMMYFUNCTION("""COMPUTED_VALUE"""),"APE%")</f>
        <v>APE%</v>
      </c>
      <c r="Z1" s="641" t="str">
        <f ca="1">IFERROR(__xludf.DUMMYFUNCTION("""COMPUTED_VALUE"""),"MPE%")</f>
        <v>MPE%</v>
      </c>
      <c r="AA1" s="641" t="str">
        <f ca="1">IFERROR(__xludf.DUMMYFUNCTION("""COMPUTED_VALUE"""),"CDMG")</f>
        <v>CDMG</v>
      </c>
      <c r="AB1" s="641" t="str">
        <f ca="1">IFERROR(__xludf.DUMMYFUNCTION("""COMPUTED_VALUE"""),"SV")</f>
        <v>SV</v>
      </c>
      <c r="AC1" s="642" t="str">
        <f ca="1">IFERROR(__xludf.DUMMYFUNCTION("""COMPUTED_VALUE"""),"APM")</f>
        <v>APM</v>
      </c>
      <c r="AD1" s="642" t="str">
        <f ca="1">IFERROR(__xludf.DUMMYFUNCTION("""COMPUTED_VALUE"""),"ADM")</f>
        <v>ADM</v>
      </c>
      <c r="AE1" s="641" t="str">
        <f ca="1">IFERROR(__xludf.DUMMYFUNCTION("""COMPUTED_VALUE"""),"PPD")</f>
        <v>PPD</v>
      </c>
      <c r="AF1" s="642" t="str">
        <f ca="1">IFERROR(__xludf.DUMMYFUNCTION("""COMPUTED_VALUE"""),"TC")</f>
        <v>TC</v>
      </c>
      <c r="AG1" s="641" t="str">
        <f ca="1">IFERROR(__xludf.DUMMYFUNCTION("""COMPUTED_VALUE"""),"MS")</f>
        <v>MS</v>
      </c>
      <c r="AH1" s="641" t="str">
        <f ca="1">IFERROR(__xludf.DUMMYFUNCTION("""COMPUTED_VALUE"""),"SHI")</f>
        <v>SHI</v>
      </c>
      <c r="AI1" s="642"/>
      <c r="AJ1" s="642"/>
      <c r="AK1" s="642"/>
      <c r="AL1" s="642"/>
      <c r="AM1" s="642"/>
      <c r="AN1" s="642"/>
      <c r="AO1" s="642"/>
    </row>
    <row r="2" spans="1:41">
      <c r="A2" s="643" t="str">
        <f ca="1">IFERROR(__xludf.DUMMYFUNCTION("""COMPUTED_VALUE"""),"-")</f>
        <v>-</v>
      </c>
      <c r="B2" s="29"/>
      <c r="C2" s="29"/>
      <c r="D2" s="29"/>
      <c r="E2" s="29"/>
      <c r="F2" s="29"/>
      <c r="G2" s="29"/>
      <c r="H2" s="29"/>
      <c r="I2" s="29"/>
      <c r="J2" s="29"/>
      <c r="K2" s="29"/>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76"/>
      <c r="AN2" s="76" t="str">
        <f ca="1">IFERROR(__xludf.DUMMYFUNCTION("""COMPUTED_VALUE"""),"=IMAGE(""https://puu.sh/I6Yjx/080458c278.png"")")</f>
        <v>=IMAGE("https://puu.sh/I6Yjx/080458c278.png")</v>
      </c>
      <c r="AO2" s="76" t="str">
        <f ca="1">IFERROR(__xludf.DUMMYFUNCTION("""COMPUTED_VALUE"""),"=If(AP2=""Itemset 1"";1;If(AP2=""Itemset 2"";2;If(AP2=""Itemset 3"";3;If(AP2=""Itemset 4"";4;1))))")</f>
        <v>=If(AP2="Itemset 1";1;If(AP2="Itemset 2";2;If(AP2="Itemset 3";3;If(AP2="Itemset 4";4;1))))</v>
      </c>
    </row>
    <row r="3" spans="1:41">
      <c r="A3" s="644" t="str">
        <f ca="1">IFERROR(__xludf.DUMMYFUNCTION("""COMPUTED_VALUE"""),"Abyssal Mask")</f>
        <v>Abyssal Mask</v>
      </c>
      <c r="B3" s="84" t="str">
        <f ca="1">IFERROR(__xludf.DUMMYFUNCTION("""COMPUTED_VALUE"""),"=2400")</f>
        <v>=2400</v>
      </c>
      <c r="C3" s="84" t="str">
        <f ca="1">IFERROR(__xludf.DUMMYFUNCTION("""COMPUTED_VALUE"""),"=300")</f>
        <v>=300</v>
      </c>
      <c r="D3" s="84"/>
      <c r="E3" s="84"/>
      <c r="F3" s="84"/>
      <c r="G3" s="84"/>
      <c r="H3" s="84"/>
      <c r="I3" s="84"/>
      <c r="J3" s="84" t="str">
        <f ca="1">IFERROR(__xludf.DUMMYFUNCTION("""COMPUTED_VALUE"""),"=60 + IF(Steroid_Items; 45; 0)")</f>
        <v>=60 + IF(Steroid_Items; 45; 0)</v>
      </c>
      <c r="K3" s="84"/>
      <c r="L3" s="72"/>
      <c r="M3" s="72" t="str">
        <f ca="1">IFERROR(__xludf.DUMMYFUNCTION("""COMPUTED_VALUE"""),"=10")</f>
        <v>=10</v>
      </c>
      <c r="N3" s="72"/>
      <c r="O3" s="72"/>
      <c r="P3" s="72"/>
      <c r="Q3" s="72"/>
      <c r="R3" s="72"/>
      <c r="S3" s="72"/>
      <c r="T3" s="72"/>
      <c r="U3" s="72"/>
      <c r="V3" s="72"/>
      <c r="W3" s="72"/>
      <c r="X3" s="72"/>
      <c r="Y3" s="72"/>
      <c r="Z3" s="72"/>
      <c r="AA3" s="72"/>
      <c r="AB3" s="72"/>
      <c r="AC3" s="72"/>
      <c r="AD3" s="72"/>
      <c r="AE3" s="72"/>
      <c r="AF3" s="72"/>
      <c r="AG3" s="72"/>
      <c r="AH3" s="72"/>
      <c r="AI3" s="72" t="str">
        <f ca="1">IFERROR(__xludf.DUMMYFUNCTION("""COMPUTED_VALUE"""),"=IF($AO$2=1;COUNTIF(Interface!$C$22:$C$27;$A3);0)")</f>
        <v>=IF($AO$2=1;COUNTIF(Interface!$C$22:$C$27;$A3);0)</v>
      </c>
      <c r="AJ3" s="72" t="str">
        <f ca="1">IFERROR(__xludf.DUMMYFUNCTION("""COMPUTED_VALUE"""),"=IF($AO$2=2;COUNTIF(Interface!$C$30:$C$35;$A3);0)")</f>
        <v>=IF($AO$2=2;COUNTIF(Interface!$C$30:$C$35;$A3);0)</v>
      </c>
      <c r="AK3" s="72"/>
      <c r="AL3" s="72"/>
      <c r="AM3" s="72" t="str">
        <f ca="1">IFERROR(__xludf.DUMMYFUNCTION("""COMPUTED_VALUE"""),"=COUNTIF(Interface!$O$18:$O$23;$A3)")</f>
        <v>=COUNTIF(Interface!$O$18:$O$23;$A3)</v>
      </c>
      <c r="AN3" s="72" t="str">
        <f ca="1">IFERROR(__xludf.DUMMYFUNCTION("""COMPUTED_VALUE"""),"=Image(""https://ddragon.leagueoflegends.com/cdn/12.22.1/img/item/8020.png"")")</f>
        <v>=Image("https://ddragon.leagueoflegends.com/cdn/12.22.1/img/item/8020.png")</v>
      </c>
      <c r="AO3" s="72" t="b">
        <f ca="1">IFERROR(__xludf.DUMMYFUNCTION("""COMPUTED_VALUE"""),TRUE)</f>
        <v>1</v>
      </c>
    </row>
    <row r="4" spans="1:41">
      <c r="A4" s="643" t="str">
        <f ca="1">IFERROR(__xludf.DUMMYFUNCTION("""COMPUTED_VALUE"""),"Aegis of the Legion")</f>
        <v>Aegis of the Legion</v>
      </c>
      <c r="B4" s="78" t="str">
        <f ca="1">IFERROR(__xludf.DUMMYFUNCTION("""COMPUTED_VALUE"""),"=1200")</f>
        <v>=1200</v>
      </c>
      <c r="C4" s="78"/>
      <c r="D4" s="78"/>
      <c r="E4" s="78"/>
      <c r="F4" s="78"/>
      <c r="G4" s="645"/>
      <c r="H4" s="78"/>
      <c r="I4" s="645" t="str">
        <f ca="1">IFERROR(__xludf.DUMMYFUNCTION("""COMPUTED_VALUE"""),"=30")</f>
        <v>=30</v>
      </c>
      <c r="J4" s="78" t="str">
        <f ca="1">IFERROR(__xludf.DUMMYFUNCTION("""COMPUTED_VALUE"""),"=30")</f>
        <v>=30</v>
      </c>
      <c r="K4" s="78"/>
      <c r="L4" s="76"/>
      <c r="M4" s="76" t="str">
        <f ca="1">IFERROR(__xludf.DUMMYFUNCTION("""COMPUTED_VALUE"""),"=10")</f>
        <v>=10</v>
      </c>
      <c r="N4" s="76"/>
      <c r="O4" s="76"/>
      <c r="P4" s="76"/>
      <c r="Q4" s="76"/>
      <c r="R4" s="76"/>
      <c r="S4" s="76"/>
      <c r="T4" s="76"/>
      <c r="U4" s="76"/>
      <c r="V4" s="76"/>
      <c r="W4" s="76"/>
      <c r="X4" s="76"/>
      <c r="Y4" s="76"/>
      <c r="Z4" s="76"/>
      <c r="AA4" s="76"/>
      <c r="AB4" s="76"/>
      <c r="AC4" s="76"/>
      <c r="AD4" s="76"/>
      <c r="AE4" s="76"/>
      <c r="AF4" s="76"/>
      <c r="AG4" s="76"/>
      <c r="AH4" s="76"/>
      <c r="AI4" s="76" t="str">
        <f ca="1">IFERROR(__xludf.DUMMYFUNCTION("""COMPUTED_VALUE"""),"=IF($AO$2=1;COUNTIF(Interface!$C$22:$C$27;$A4);0)")</f>
        <v>=IF($AO$2=1;COUNTIF(Interface!$C$22:$C$27;$A4);0)</v>
      </c>
      <c r="AJ4" s="76" t="str">
        <f ca="1">IFERROR(__xludf.DUMMYFUNCTION("""COMPUTED_VALUE"""),"=IF($AO$2=2;COUNTIF(Interface!$C$30:$C$35;$A4);0)")</f>
        <v>=IF($AO$2=2;COUNTIF(Interface!$C$30:$C$35;$A4);0)</v>
      </c>
      <c r="AK4" s="76"/>
      <c r="AL4" s="76"/>
      <c r="AM4" s="76" t="str">
        <f ca="1">IFERROR(__xludf.DUMMYFUNCTION("""COMPUTED_VALUE"""),"=COUNTIF(Interface!$O$18:$O$23;$A4)")</f>
        <v>=COUNTIF(Interface!$O$18:$O$23;$A4)</v>
      </c>
      <c r="AN4" s="76" t="str">
        <f ca="1">IFERROR(__xludf.DUMMYFUNCTION("""COMPUTED_VALUE"""),"=Image(""https://ddragon.leagueoflegends.com/cdn/12.22.1/img/item/3105.png"")")</f>
        <v>=Image("https://ddragon.leagueoflegends.com/cdn/12.22.1/img/item/3105.png")</v>
      </c>
      <c r="AO4" s="76" t="b">
        <f ca="1">IFERROR(__xludf.DUMMYFUNCTION("""COMPUTED_VALUE"""),FALSE)</f>
        <v>0</v>
      </c>
    </row>
    <row r="5" spans="1:41">
      <c r="A5" s="644" t="str">
        <f ca="1">IFERROR(__xludf.DUMMYFUNCTION("""COMPUTED_VALUE"""),"Aether Wisp")</f>
        <v>Aether Wisp</v>
      </c>
      <c r="B5" s="84" t="str">
        <f ca="1">IFERROR(__xludf.DUMMYFUNCTION("""COMPUTED_VALUE"""),"=850")</f>
        <v>=850</v>
      </c>
      <c r="C5" s="84"/>
      <c r="D5" s="84"/>
      <c r="E5" s="84"/>
      <c r="F5" s="84"/>
      <c r="G5" s="646"/>
      <c r="H5" s="646" t="str">
        <f ca="1">IFERROR(__xludf.DUMMYFUNCTION("""COMPUTED_VALUE"""),"=30")</f>
        <v>=30</v>
      </c>
      <c r="I5" s="84"/>
      <c r="J5" s="84"/>
      <c r="K5" s="84"/>
      <c r="L5" s="72"/>
      <c r="M5" s="72"/>
      <c r="N5" s="72"/>
      <c r="O5" s="72"/>
      <c r="P5" s="72"/>
      <c r="Q5" s="72"/>
      <c r="R5" s="72" t="str">
        <f ca="1">IFERROR(__xludf.DUMMYFUNCTION("""COMPUTED_VALUE"""),"=5")</f>
        <v>=5</v>
      </c>
      <c r="S5" s="72"/>
      <c r="T5" s="72"/>
      <c r="U5" s="72"/>
      <c r="V5" s="72"/>
      <c r="W5" s="72"/>
      <c r="X5" s="72"/>
      <c r="Y5" s="72"/>
      <c r="Z5" s="72"/>
      <c r="AA5" s="72"/>
      <c r="AB5" s="72"/>
      <c r="AC5" s="72"/>
      <c r="AD5" s="72"/>
      <c r="AE5" s="72"/>
      <c r="AF5" s="72"/>
      <c r="AG5" s="72"/>
      <c r="AH5" s="72"/>
      <c r="AI5" s="72" t="str">
        <f ca="1">IFERROR(__xludf.DUMMYFUNCTION("""COMPUTED_VALUE"""),"=IF($AO$2=1;COUNTIF(Interface!$C$22:$C$27;$A5);0)")</f>
        <v>=IF($AO$2=1;COUNTIF(Interface!$C$22:$C$27;$A5);0)</v>
      </c>
      <c r="AJ5" s="72" t="str">
        <f ca="1">IFERROR(__xludf.DUMMYFUNCTION("""COMPUTED_VALUE"""),"=IF($AO$2=2;COUNTIF(Interface!$C$30:$C$35;$A5);0)")</f>
        <v>=IF($AO$2=2;COUNTIF(Interface!$C$30:$C$35;$A5);0)</v>
      </c>
      <c r="AK5" s="72"/>
      <c r="AL5" s="72"/>
      <c r="AM5" s="72" t="str">
        <f ca="1">IFERROR(__xludf.DUMMYFUNCTION("""COMPUTED_VALUE"""),"=COUNTIF(Interface!$O$18:$O$23;$A5)")</f>
        <v>=COUNTIF(Interface!$O$18:$O$23;$A5)</v>
      </c>
      <c r="AN5" s="72" t="str">
        <f ca="1">IFERROR(__xludf.DUMMYFUNCTION("""COMPUTED_VALUE"""),"=Image(""https://ddragon.leagueoflegends.com/cdn/12.22.1/img/item/3113.png"")")</f>
        <v>=Image("https://ddragon.leagueoflegends.com/cdn/12.22.1/img/item/3113.png")</v>
      </c>
      <c r="AO5" s="72" t="b">
        <f ca="1">IFERROR(__xludf.DUMMYFUNCTION("""COMPUTED_VALUE"""),FALSE)</f>
        <v>0</v>
      </c>
    </row>
    <row r="6" spans="1:41">
      <c r="A6" s="643" t="str">
        <f ca="1">IFERROR(__xludf.DUMMYFUNCTION("""COMPUTED_VALUE"""),"Amplifying Tome")</f>
        <v>Amplifying Tome</v>
      </c>
      <c r="B6" s="78" t="str">
        <f ca="1">IFERROR(__xludf.DUMMYFUNCTION("""COMPUTED_VALUE"""),"=435")</f>
        <v>=435</v>
      </c>
      <c r="C6" s="78"/>
      <c r="D6" s="78"/>
      <c r="E6" s="78"/>
      <c r="F6" s="78"/>
      <c r="G6" s="78"/>
      <c r="H6" s="78" t="str">
        <f ca="1">IFERROR(__xludf.DUMMYFUNCTION("""COMPUTED_VALUE"""),"=20")</f>
        <v>=20</v>
      </c>
      <c r="I6" s="78"/>
      <c r="J6" s="78"/>
      <c r="K6" s="645"/>
      <c r="L6" s="76"/>
      <c r="M6" s="76"/>
      <c r="N6" s="76"/>
      <c r="O6" s="76"/>
      <c r="P6" s="76"/>
      <c r="Q6" s="76"/>
      <c r="R6" s="76"/>
      <c r="S6" s="76"/>
      <c r="T6" s="76"/>
      <c r="U6" s="76"/>
      <c r="V6" s="76"/>
      <c r="W6" s="76"/>
      <c r="X6" s="76"/>
      <c r="Y6" s="76"/>
      <c r="Z6" s="76"/>
      <c r="AA6" s="76"/>
      <c r="AB6" s="76"/>
      <c r="AC6" s="76"/>
      <c r="AD6" s="76"/>
      <c r="AE6" s="76"/>
      <c r="AF6" s="76"/>
      <c r="AG6" s="76"/>
      <c r="AH6" s="76"/>
      <c r="AI6" s="76" t="str">
        <f ca="1">IFERROR(__xludf.DUMMYFUNCTION("""COMPUTED_VALUE"""),"=IF($AO$2=1;COUNTIF(Interface!$C$22:$C$27;$A6);0)")</f>
        <v>=IF($AO$2=1;COUNTIF(Interface!$C$22:$C$27;$A6);0)</v>
      </c>
      <c r="AJ6" s="76" t="str">
        <f ca="1">IFERROR(__xludf.DUMMYFUNCTION("""COMPUTED_VALUE"""),"=IF($AO$2=2;COUNTIF(Interface!$C$30:$C$35;$A6);0)")</f>
        <v>=IF($AO$2=2;COUNTIF(Interface!$C$30:$C$35;$A6);0)</v>
      </c>
      <c r="AK6" s="76"/>
      <c r="AL6" s="76"/>
      <c r="AM6" s="76" t="str">
        <f ca="1">IFERROR(__xludf.DUMMYFUNCTION("""COMPUTED_VALUE"""),"=COUNTIF(Interface!$O$18:$O$23;$A6)")</f>
        <v>=COUNTIF(Interface!$O$18:$O$23;$A6)</v>
      </c>
      <c r="AN6" s="76" t="str">
        <f ca="1">IFERROR(__xludf.DUMMYFUNCTION("""COMPUTED_VALUE"""),"=Image(""https://ddragon.leagueoflegends.com/cdn/12.22.1/img/item/1052.png"")")</f>
        <v>=Image("https://ddragon.leagueoflegends.com/cdn/12.22.1/img/item/1052.png")</v>
      </c>
      <c r="AO6" s="76" t="b">
        <f ca="1">IFERROR(__xludf.DUMMYFUNCTION("""COMPUTED_VALUE"""),FALSE)</f>
        <v>0</v>
      </c>
    </row>
    <row r="7" spans="1:41">
      <c r="A7" s="644" t="str">
        <f ca="1">IFERROR(__xludf.DUMMYFUNCTION("""COMPUTED_VALUE"""),"Anathema's Chains")</f>
        <v>Anathema's Chains</v>
      </c>
      <c r="B7" s="84" t="str">
        <f ca="1">IFERROR(__xludf.DUMMYFUNCTION("""COMPUTED_VALUE"""),"=2500")</f>
        <v>=2500</v>
      </c>
      <c r="C7" s="84" t="str">
        <f ca="1">IFERROR(__xludf.DUMMYFUNCTION("""COMPUTED_VALUE"""),"=650")</f>
        <v>=650</v>
      </c>
      <c r="D7" s="84"/>
      <c r="E7" s="84"/>
      <c r="F7" s="84"/>
      <c r="G7" s="84"/>
      <c r="H7" s="646"/>
      <c r="I7" s="84"/>
      <c r="J7" s="84"/>
      <c r="K7" s="84"/>
      <c r="L7" s="72"/>
      <c r="M7" s="72" t="str">
        <f ca="1">IFERROR(__xludf.DUMMYFUNCTION("""COMPUTED_VALUE"""),"=20")</f>
        <v>=20</v>
      </c>
      <c r="N7" s="72"/>
      <c r="O7" s="72"/>
      <c r="P7" s="72"/>
      <c r="Q7" s="72"/>
      <c r="R7" s="72"/>
      <c r="S7" s="72"/>
      <c r="T7" s="72"/>
      <c r="U7" s="72"/>
      <c r="V7" s="72"/>
      <c r="W7" s="72"/>
      <c r="X7" s="72"/>
      <c r="Y7" s="72"/>
      <c r="Z7" s="72"/>
      <c r="AA7" s="72"/>
      <c r="AB7" s="72"/>
      <c r="AC7" s="72"/>
      <c r="AD7" s="72"/>
      <c r="AE7" s="72"/>
      <c r="AF7" s="72"/>
      <c r="AG7" s="72"/>
      <c r="AH7" s="72"/>
      <c r="AI7" s="72" t="str">
        <f ca="1">IFERROR(__xludf.DUMMYFUNCTION("""COMPUTED_VALUE"""),"=IF($AO$2=1;COUNTIF(Interface!$C$22:$C$27;$A7);0)")</f>
        <v>=IF($AO$2=1;COUNTIF(Interface!$C$22:$C$27;$A7);0)</v>
      </c>
      <c r="AJ7" s="72" t="str">
        <f ca="1">IFERROR(__xludf.DUMMYFUNCTION("""COMPUTED_VALUE"""),"=IF($AO$2=2;COUNTIF(Interface!$C$30:$C$35;$A7);0)")</f>
        <v>=IF($AO$2=2;COUNTIF(Interface!$C$30:$C$35;$A7);0)</v>
      </c>
      <c r="AK7" s="72"/>
      <c r="AL7" s="72"/>
      <c r="AM7" s="72" t="str">
        <f ca="1">IFERROR(__xludf.DUMMYFUNCTION("""COMPUTED_VALUE"""),"=COUNTIF(Interface!$O$18:$O$23;$A7)")</f>
        <v>=COUNTIF(Interface!$O$18:$O$23;$A7)</v>
      </c>
      <c r="AN7" s="72" t="str">
        <f ca="1">IFERROR(__xludf.DUMMYFUNCTION("""COMPUTED_VALUE"""),"=Image(""https://ddragon.leagueoflegends.com/cdn/12.22.1/img/item/8001.png"")")</f>
        <v>=Image("https://ddragon.leagueoflegends.com/cdn/12.22.1/img/item/8001.png")</v>
      </c>
      <c r="AO7" s="72" t="b">
        <f ca="1">IFERROR(__xludf.DUMMYFUNCTION("""COMPUTED_VALUE"""),TRUE)</f>
        <v>1</v>
      </c>
    </row>
    <row r="8" spans="1:41">
      <c r="A8" s="643" t="str">
        <f ca="1">IFERROR(__xludf.DUMMYFUNCTION("""COMPUTED_VALUE"""),"Archangel's Staff")</f>
        <v>Archangel's Staff</v>
      </c>
      <c r="B8" s="78" t="str">
        <f ca="1">IFERROR(__xludf.DUMMYFUNCTION("""COMPUTED_VALUE"""),"=3000")</f>
        <v>=3000</v>
      </c>
      <c r="C8" s="78" t="str">
        <f ca="1">IFERROR(__xludf.DUMMYFUNCTION("""COMPUTED_VALUE"""),"=200")</f>
        <v>=200</v>
      </c>
      <c r="D8" s="78"/>
      <c r="E8" s="78" t="str">
        <f ca="1">IFERROR(__xludf.DUMMYFUNCTION("""COMPUTED_VALUE"""),"=500")</f>
        <v>=500</v>
      </c>
      <c r="F8" s="78"/>
      <c r="G8" s="78"/>
      <c r="H8" s="645" t="str">
        <f ca="1">IFERROR(__xludf.DUMMYFUNCTION("""COMPUTED_VALUE"""),"=70")</f>
        <v>=70</v>
      </c>
      <c r="I8" s="645"/>
      <c r="J8" s="645"/>
      <c r="K8" s="645"/>
      <c r="L8" s="76"/>
      <c r="M8" s="76" t="str">
        <f ca="1">IFERROR(__xludf.DUMMYFUNCTION("""COMPUTED_VALUE"""),"=10")</f>
        <v>=10</v>
      </c>
      <c r="N8" s="76"/>
      <c r="O8" s="76"/>
      <c r="P8" s="76"/>
      <c r="Q8" s="76"/>
      <c r="R8" s="76"/>
      <c r="S8" s="76"/>
      <c r="T8" s="76"/>
      <c r="U8" s="76"/>
      <c r="V8" s="76"/>
      <c r="W8" s="76"/>
      <c r="X8" s="76"/>
      <c r="Y8" s="76"/>
      <c r="Z8" s="76"/>
      <c r="AA8" s="76"/>
      <c r="AB8" s="76"/>
      <c r="AC8" s="76"/>
      <c r="AD8" s="76"/>
      <c r="AE8" s="76"/>
      <c r="AF8" s="76"/>
      <c r="AG8" s="76"/>
      <c r="AH8" s="76"/>
      <c r="AI8" s="76" t="str">
        <f ca="1">IFERROR(__xludf.DUMMYFUNCTION("""COMPUTED_VALUE"""),"=IF($AO$2=1;COUNTIF(Interface!$C$22:$C$27;$A8);0)")</f>
        <v>=IF($AO$2=1;COUNTIF(Interface!$C$22:$C$27;$A8);0)</v>
      </c>
      <c r="AJ8" s="76" t="str">
        <f ca="1">IFERROR(__xludf.DUMMYFUNCTION("""COMPUTED_VALUE"""),"=IF($AO$2=2;COUNTIF(Interface!$C$30:$C$35;$A8);0)")</f>
        <v>=IF($AO$2=2;COUNTIF(Interface!$C$30:$C$35;$A8);0)</v>
      </c>
      <c r="AK8" s="76"/>
      <c r="AL8" s="76"/>
      <c r="AM8" s="76" t="str">
        <f ca="1">IFERROR(__xludf.DUMMYFUNCTION("""COMPUTED_VALUE"""),"=COUNTIF(Interface!$O$18:$O$23;$A8)")</f>
        <v>=COUNTIF(Interface!$O$18:$O$23;$A8)</v>
      </c>
      <c r="AN8" s="76" t="str">
        <f ca="1">IFERROR(__xludf.DUMMYFUNCTION("""COMPUTED_VALUE"""),"=Image(""https://ddragon.leagueoflegends.com/cdn/12.22.1/img/item/3003.png"")")</f>
        <v>=Image("https://ddragon.leagueoflegends.com/cdn/12.22.1/img/item/3003.png")</v>
      </c>
      <c r="AO8" s="76" t="b">
        <f ca="1">IFERROR(__xludf.DUMMYFUNCTION("""COMPUTED_VALUE"""),TRUE)</f>
        <v>1</v>
      </c>
    </row>
    <row r="9" spans="1:41">
      <c r="A9" s="644" t="str">
        <f ca="1">IFERROR(__xludf.DUMMYFUNCTION("""COMPUTED_VALUE"""),"Ardent Censer")</f>
        <v>Ardent Censer</v>
      </c>
      <c r="B9" s="84" t="str">
        <f ca="1">IFERROR(__xludf.DUMMYFUNCTION("""COMPUTED_VALUE"""),"=2100")</f>
        <v>=2100</v>
      </c>
      <c r="C9" s="84"/>
      <c r="D9" s="84"/>
      <c r="E9" s="84"/>
      <c r="F9" s="84" t="str">
        <f ca="1">IFERROR(__xludf.DUMMYFUNCTION("""COMPUTED_VALUE"""),"=0,75")</f>
        <v>=0,75</v>
      </c>
      <c r="G9" s="646"/>
      <c r="H9" s="646" t="str">
        <f ca="1">IFERROR(__xludf.DUMMYFUNCTION("""COMPUTED_VALUE"""),"=35")</f>
        <v>=35</v>
      </c>
      <c r="I9" s="84"/>
      <c r="J9" s="84"/>
      <c r="K9" s="84"/>
      <c r="L9" s="72"/>
      <c r="M9" s="72"/>
      <c r="N9" s="72"/>
      <c r="O9" s="72"/>
      <c r="P9" s="72"/>
      <c r="Q9" s="72"/>
      <c r="R9" s="72" t="str">
        <f ca="1">IFERROR(__xludf.DUMMYFUNCTION("""COMPUTED_VALUE"""),"=5")</f>
        <v>=5</v>
      </c>
      <c r="S9" s="72" t="str">
        <f ca="1">IFERROR(__xludf.DUMMYFUNCTION("""COMPUTED_VALUE"""),"=8")</f>
        <v>=8</v>
      </c>
      <c r="T9" s="72"/>
      <c r="U9" s="72"/>
      <c r="V9" s="72"/>
      <c r="W9" s="72"/>
      <c r="X9" s="72"/>
      <c r="Y9" s="72"/>
      <c r="Z9" s="72"/>
      <c r="AA9" s="72"/>
      <c r="AB9" s="72"/>
      <c r="AC9" s="72"/>
      <c r="AD9" s="72"/>
      <c r="AE9" s="72"/>
      <c r="AF9" s="72"/>
      <c r="AG9" s="72"/>
      <c r="AH9" s="72"/>
      <c r="AI9" s="72" t="str">
        <f ca="1">IFERROR(__xludf.DUMMYFUNCTION("""COMPUTED_VALUE"""),"=IF($AO$2=1;COUNTIF(Interface!$C$22:$C$27;$A9);0)")</f>
        <v>=IF($AO$2=1;COUNTIF(Interface!$C$22:$C$27;$A9);0)</v>
      </c>
      <c r="AJ9" s="72" t="str">
        <f ca="1">IFERROR(__xludf.DUMMYFUNCTION("""COMPUTED_VALUE"""),"=IF($AO$2=2;COUNTIF(Interface!$C$30:$C$35;$A9);0)")</f>
        <v>=IF($AO$2=2;COUNTIF(Interface!$C$30:$C$35;$A9);0)</v>
      </c>
      <c r="AK9" s="72"/>
      <c r="AL9" s="72"/>
      <c r="AM9" s="72" t="str">
        <f ca="1">IFERROR(__xludf.DUMMYFUNCTION("""COMPUTED_VALUE"""),"=COUNTIF(Interface!$O$18:$O$23;$A9)")</f>
        <v>=COUNTIF(Interface!$O$18:$O$23;$A9)</v>
      </c>
      <c r="AN9" s="72" t="str">
        <f ca="1">IFERROR(__xludf.DUMMYFUNCTION("""COMPUTED_VALUE"""),"=Image(""https://ddragon.leagueoflegends.com/cdn/12.22.1/img/item/3504.png"")")</f>
        <v>=Image("https://ddragon.leagueoflegends.com/cdn/12.22.1/img/item/3504.png")</v>
      </c>
      <c r="AO9" s="72" t="b">
        <f ca="1">IFERROR(__xludf.DUMMYFUNCTION("""COMPUTED_VALUE"""),TRUE)</f>
        <v>1</v>
      </c>
    </row>
    <row r="10" spans="1:41">
      <c r="A10" s="643" t="str">
        <f ca="1">IFERROR(__xludf.DUMMYFUNCTION("""COMPUTED_VALUE"""),"Axiom Arc")</f>
        <v>Axiom Arc</v>
      </c>
      <c r="B10" s="78" t="str">
        <f ca="1">IFERROR(__xludf.DUMMYFUNCTION("""COMPUTED_VALUE"""),"=3000")</f>
        <v>=3000</v>
      </c>
      <c r="C10" s="78"/>
      <c r="D10" s="78"/>
      <c r="E10" s="78"/>
      <c r="F10" s="78"/>
      <c r="G10" s="78" t="str">
        <f ca="1">IFERROR(__xludf.DUMMYFUNCTION("""COMPUTED_VALUE"""),"=55")</f>
        <v>=55</v>
      </c>
      <c r="H10" s="647"/>
      <c r="I10" s="647"/>
      <c r="J10" s="78"/>
      <c r="K10" s="78"/>
      <c r="L10" s="76"/>
      <c r="M10" s="76" t="str">
        <f ca="1">IFERROR(__xludf.DUMMYFUNCTION("""COMPUTED_VALUE"""),"=25")</f>
        <v>=25</v>
      </c>
      <c r="N10" s="76"/>
      <c r="O10" s="76" t="str">
        <f ca="1">IFERROR(__xludf.DUMMYFUNCTION("""COMPUTED_VALUE"""),"=18")</f>
        <v>=18</v>
      </c>
      <c r="P10" s="76"/>
      <c r="Q10" s="76"/>
      <c r="R10" s="76"/>
      <c r="S10" s="76"/>
      <c r="T10" s="76"/>
      <c r="U10" s="76"/>
      <c r="V10" s="76"/>
      <c r="W10" s="76"/>
      <c r="X10" s="76"/>
      <c r="Y10" s="76"/>
      <c r="Z10" s="76"/>
      <c r="AA10" s="76"/>
      <c r="AB10" s="76"/>
      <c r="AC10" s="76"/>
      <c r="AD10" s="76"/>
      <c r="AE10" s="76"/>
      <c r="AF10" s="76"/>
      <c r="AG10" s="76"/>
      <c r="AH10" s="76"/>
      <c r="AI10" s="76" t="str">
        <f ca="1">IFERROR(__xludf.DUMMYFUNCTION("""COMPUTED_VALUE"""),"=IF($AO$2=1;COUNTIF(Interface!$C$22:$C$27;$A10);0)")</f>
        <v>=IF($AO$2=1;COUNTIF(Interface!$C$22:$C$27;$A10);0)</v>
      </c>
      <c r="AJ10" s="76" t="str">
        <f ca="1">IFERROR(__xludf.DUMMYFUNCTION("""COMPUTED_VALUE"""),"=IF($AO$2=2;COUNTIF(Interface!$C$30:$C$35;$A10);0)")</f>
        <v>=IF($AO$2=2;COUNTIF(Interface!$C$30:$C$35;$A10);0)</v>
      </c>
      <c r="AK10" s="76"/>
      <c r="AL10" s="76"/>
      <c r="AM10" s="76" t="str">
        <f ca="1">IFERROR(__xludf.DUMMYFUNCTION("""COMPUTED_VALUE"""),"=COUNTIF(Interface!$O$18:$O$23;$A10)")</f>
        <v>=COUNTIF(Interface!$O$18:$O$23;$A10)</v>
      </c>
      <c r="AN10" s="76" t="str">
        <f ca="1">IFERROR(__xludf.DUMMYFUNCTION("""COMPUTED_VALUE"""),"=Image(""https://ddragon.leagueoflegends.com/cdn/12.22.1/img/item/6696.png"")")</f>
        <v>=Image("https://ddragon.leagueoflegends.com/cdn/12.22.1/img/item/6696.png")</v>
      </c>
      <c r="AO10" s="76" t="b">
        <f ca="1">IFERROR(__xludf.DUMMYFUNCTION("""COMPUTED_VALUE"""),TRUE)</f>
        <v>1</v>
      </c>
    </row>
    <row r="11" spans="1:41">
      <c r="A11" s="644" t="str">
        <f ca="1">IFERROR(__xludf.DUMMYFUNCTION("""COMPUTED_VALUE"""),"B. F. Sword")</f>
        <v>B. F. Sword</v>
      </c>
      <c r="B11" s="84" t="str">
        <f ca="1">IFERROR(__xludf.DUMMYFUNCTION("""COMPUTED_VALUE"""),"=1300")</f>
        <v>=1300</v>
      </c>
      <c r="C11" s="84"/>
      <c r="D11" s="84"/>
      <c r="E11" s="84"/>
      <c r="F11" s="84"/>
      <c r="G11" s="84" t="str">
        <f ca="1">IFERROR(__xludf.DUMMYFUNCTION("""COMPUTED_VALUE"""),"=40")</f>
        <v>=40</v>
      </c>
      <c r="H11" s="84"/>
      <c r="I11" s="84"/>
      <c r="J11" s="84"/>
      <c r="K11" s="84"/>
      <c r="L11" s="72"/>
      <c r="M11" s="72"/>
      <c r="N11" s="72"/>
      <c r="O11" s="72"/>
      <c r="P11" s="72"/>
      <c r="Q11" s="72"/>
      <c r="R11" s="72"/>
      <c r="S11" s="72"/>
      <c r="T11" s="72"/>
      <c r="U11" s="72"/>
      <c r="V11" s="72"/>
      <c r="W11" s="72"/>
      <c r="X11" s="72"/>
      <c r="Y11" s="72"/>
      <c r="Z11" s="72"/>
      <c r="AA11" s="72"/>
      <c r="AB11" s="72"/>
      <c r="AC11" s="72"/>
      <c r="AD11" s="72"/>
      <c r="AE11" s="72"/>
      <c r="AF11" s="72"/>
      <c r="AG11" s="72"/>
      <c r="AH11" s="72"/>
      <c r="AI11" s="72" t="str">
        <f ca="1">IFERROR(__xludf.DUMMYFUNCTION("""COMPUTED_VALUE"""),"=IF($AO$2=1;COUNTIF(Interface!$C$22:$C$27;$A11);0)")</f>
        <v>=IF($AO$2=1;COUNTIF(Interface!$C$22:$C$27;$A11);0)</v>
      </c>
      <c r="AJ11" s="72" t="str">
        <f ca="1">IFERROR(__xludf.DUMMYFUNCTION("""COMPUTED_VALUE"""),"=IF($AO$2=2;COUNTIF(Interface!$C$30:$C$35;$A11);0)")</f>
        <v>=IF($AO$2=2;COUNTIF(Interface!$C$30:$C$35;$A11);0)</v>
      </c>
      <c r="AK11" s="72"/>
      <c r="AL11" s="72"/>
      <c r="AM11" s="72" t="str">
        <f ca="1">IFERROR(__xludf.DUMMYFUNCTION("""COMPUTED_VALUE"""),"=COUNTIF(Interface!$O$18:$O$23;$A11)")</f>
        <v>=COUNTIF(Interface!$O$18:$O$23;$A11)</v>
      </c>
      <c r="AN11" s="72" t="str">
        <f ca="1">IFERROR(__xludf.DUMMYFUNCTION("""COMPUTED_VALUE"""),"=Image(""https://ddragon.leagueoflegends.com/cdn/12.22.1/img/item/1038.png"")")</f>
        <v>=Image("https://ddragon.leagueoflegends.com/cdn/12.22.1/img/item/1038.png")</v>
      </c>
      <c r="AO11" s="72" t="b">
        <f ca="1">IFERROR(__xludf.DUMMYFUNCTION("""COMPUTED_VALUE"""),FALSE)</f>
        <v>0</v>
      </c>
    </row>
    <row r="12" spans="1:41">
      <c r="A12" s="643" t="str">
        <f ca="1">IFERROR(__xludf.DUMMYFUNCTION("""COMPUTED_VALUE"""),"Bami's Cinder")</f>
        <v>Bami's Cinder</v>
      </c>
      <c r="B12" s="78" t="str">
        <f ca="1">IFERROR(__xludf.DUMMYFUNCTION("""COMPUTED_VALUE"""),"=1000")</f>
        <v>=1000</v>
      </c>
      <c r="C12" s="78" t="str">
        <f ca="1">IFERROR(__xludf.DUMMYFUNCTION("""COMPUTED_VALUE"""),"=300")</f>
        <v>=300</v>
      </c>
      <c r="D12" s="78"/>
      <c r="E12" s="78"/>
      <c r="F12" s="78"/>
      <c r="G12" s="78"/>
      <c r="H12" s="78"/>
      <c r="I12" s="78"/>
      <c r="J12" s="78"/>
      <c r="K12" s="78"/>
      <c r="L12" s="76"/>
      <c r="M12" s="76"/>
      <c r="N12" s="76"/>
      <c r="O12" s="76"/>
      <c r="P12" s="76"/>
      <c r="Q12" s="76"/>
      <c r="R12" s="76"/>
      <c r="S12" s="76"/>
      <c r="T12" s="76"/>
      <c r="U12" s="76"/>
      <c r="V12" s="76"/>
      <c r="W12" s="76"/>
      <c r="X12" s="76"/>
      <c r="Y12" s="76"/>
      <c r="Z12" s="76"/>
      <c r="AA12" s="76"/>
      <c r="AB12" s="76"/>
      <c r="AC12" s="76"/>
      <c r="AD12" s="76"/>
      <c r="AE12" s="76"/>
      <c r="AF12" s="76"/>
      <c r="AG12" s="76"/>
      <c r="AH12" s="76"/>
      <c r="AI12" s="76" t="str">
        <f ca="1">IFERROR(__xludf.DUMMYFUNCTION("""COMPUTED_VALUE"""),"=IF($AO$2=1;COUNTIF(Interface!$C$22:$C$27;$A12);0)")</f>
        <v>=IF($AO$2=1;COUNTIF(Interface!$C$22:$C$27;$A12);0)</v>
      </c>
      <c r="AJ12" s="76" t="str">
        <f ca="1">IFERROR(__xludf.DUMMYFUNCTION("""COMPUTED_VALUE"""),"=IF($AO$2=2;COUNTIF(Interface!$C$30:$C$35;$A12);0)")</f>
        <v>=IF($AO$2=2;COUNTIF(Interface!$C$30:$C$35;$A12);0)</v>
      </c>
      <c r="AK12" s="76"/>
      <c r="AL12" s="76"/>
      <c r="AM12" s="76" t="str">
        <f ca="1">IFERROR(__xludf.DUMMYFUNCTION("""COMPUTED_VALUE"""),"=COUNTIF(Interface!$O$18:$O$23;$A12)")</f>
        <v>=COUNTIF(Interface!$O$18:$O$23;$A12)</v>
      </c>
      <c r="AN12" s="76" t="str">
        <f ca="1">IFERROR(__xludf.DUMMYFUNCTION("""COMPUTED_VALUE"""),"=Image(""https://ddragon.leagueoflegends.com/cdn/12.22.1/img/item/6660.png"")")</f>
        <v>=Image("https://ddragon.leagueoflegends.com/cdn/12.22.1/img/item/6660.png")</v>
      </c>
      <c r="AO12" s="76" t="b">
        <f ca="1">IFERROR(__xludf.DUMMYFUNCTION("""COMPUTED_VALUE"""),FALSE)</f>
        <v>0</v>
      </c>
    </row>
    <row r="13" spans="1:41">
      <c r="A13" s="644" t="str">
        <f ca="1">IFERROR(__xludf.DUMMYFUNCTION("""COMPUTED_VALUE"""),"Bandleglass Mirror")</f>
        <v>Bandleglass Mirror</v>
      </c>
      <c r="B13" s="84" t="str">
        <f ca="1">IFERROR(__xludf.DUMMYFUNCTION("""COMPUTED_VALUE"""),"=950")</f>
        <v>=950</v>
      </c>
      <c r="C13" s="84"/>
      <c r="D13" s="84"/>
      <c r="E13" s="84"/>
      <c r="F13" s="84" t="str">
        <f ca="1">IFERROR(__xludf.DUMMYFUNCTION("""COMPUTED_VALUE"""),"=0,5")</f>
        <v>=0,5</v>
      </c>
      <c r="G13" s="84"/>
      <c r="H13" s="646" t="str">
        <f ca="1">IFERROR(__xludf.DUMMYFUNCTION("""COMPUTED_VALUE"""),"=20")</f>
        <v>=20</v>
      </c>
      <c r="I13" s="84"/>
      <c r="J13" s="84"/>
      <c r="K13" s="84"/>
      <c r="L13" s="72"/>
      <c r="M13" s="72" t="str">
        <f ca="1">IFERROR(__xludf.DUMMYFUNCTION("""COMPUTED_VALUE"""),"=10")</f>
        <v>=10</v>
      </c>
      <c r="N13" s="72"/>
      <c r="O13" s="72"/>
      <c r="P13" s="72"/>
      <c r="Q13" s="72"/>
      <c r="R13" s="72"/>
      <c r="S13" s="72"/>
      <c r="T13" s="72"/>
      <c r="U13" s="72"/>
      <c r="V13" s="72"/>
      <c r="W13" s="72"/>
      <c r="X13" s="72"/>
      <c r="Y13" s="72"/>
      <c r="Z13" s="72"/>
      <c r="AA13" s="72"/>
      <c r="AB13" s="72"/>
      <c r="AC13" s="72"/>
      <c r="AD13" s="72"/>
      <c r="AE13" s="72"/>
      <c r="AF13" s="72"/>
      <c r="AG13" s="72"/>
      <c r="AH13" s="72"/>
      <c r="AI13" s="72" t="str">
        <f ca="1">IFERROR(__xludf.DUMMYFUNCTION("""COMPUTED_VALUE"""),"=IF($AO$2=1;COUNTIF(Interface!$C$22:$C$27;$A13);0)")</f>
        <v>=IF($AO$2=1;COUNTIF(Interface!$C$22:$C$27;$A13);0)</v>
      </c>
      <c r="AJ13" s="72" t="str">
        <f ca="1">IFERROR(__xludf.DUMMYFUNCTION("""COMPUTED_VALUE"""),"=IF($AO$2=2;COUNTIF(Interface!$C$30:$C$35;$A13);0)")</f>
        <v>=IF($AO$2=2;COUNTIF(Interface!$C$30:$C$35;$A13);0)</v>
      </c>
      <c r="AK13" s="72"/>
      <c r="AL13" s="72"/>
      <c r="AM13" s="72" t="str">
        <f ca="1">IFERROR(__xludf.DUMMYFUNCTION("""COMPUTED_VALUE"""),"=COUNTIF(Interface!$O$18:$O$23;$A13)")</f>
        <v>=COUNTIF(Interface!$O$18:$O$23;$A13)</v>
      </c>
      <c r="AN13" s="72" t="str">
        <f ca="1">IFERROR(__xludf.DUMMYFUNCTION("""COMPUTED_VALUE"""),"=Image(""https://ddragon.leagueoflegends.com/cdn/12.22.1/img/item/4642.png"")")</f>
        <v>=Image("https://ddragon.leagueoflegends.com/cdn/12.22.1/img/item/4642.png")</v>
      </c>
      <c r="AO13" s="72" t="b">
        <f ca="1">IFERROR(__xludf.DUMMYFUNCTION("""COMPUTED_VALUE"""),FALSE)</f>
        <v>0</v>
      </c>
    </row>
    <row r="14" spans="1:41">
      <c r="A14" s="643" t="str">
        <f ca="1">IFERROR(__xludf.DUMMYFUNCTION("""COMPUTED_VALUE"""),"Banshee's Veil")</f>
        <v>Banshee's Veil</v>
      </c>
      <c r="B14" s="78" t="str">
        <f ca="1">IFERROR(__xludf.DUMMYFUNCTION("""COMPUTED_VALUE"""),"=2600")</f>
        <v>=2600</v>
      </c>
      <c r="C14" s="78"/>
      <c r="D14" s="78"/>
      <c r="E14" s="78"/>
      <c r="F14" s="78"/>
      <c r="G14" s="78"/>
      <c r="H14" s="645" t="str">
        <f ca="1">IFERROR(__xludf.DUMMYFUNCTION("""COMPUTED_VALUE"""),"=80")</f>
        <v>=80</v>
      </c>
      <c r="I14" s="78"/>
      <c r="J14" s="78" t="str">
        <f ca="1">IFERROR(__xludf.DUMMYFUNCTION("""COMPUTED_VALUE"""),"=45")</f>
        <v>=45</v>
      </c>
      <c r="K14" s="78"/>
      <c r="L14" s="76"/>
      <c r="M14" s="76" t="str">
        <f ca="1">IFERROR(__xludf.DUMMYFUNCTION("""COMPUTED_VALUE"""),"=10")</f>
        <v>=10</v>
      </c>
      <c r="N14" s="76"/>
      <c r="O14" s="76"/>
      <c r="P14" s="76"/>
      <c r="Q14" s="76"/>
      <c r="R14" s="76"/>
      <c r="S14" s="76"/>
      <c r="T14" s="76"/>
      <c r="U14" s="76"/>
      <c r="V14" s="76"/>
      <c r="W14" s="76"/>
      <c r="X14" s="76"/>
      <c r="Y14" s="76"/>
      <c r="Z14" s="76"/>
      <c r="AA14" s="76"/>
      <c r="AB14" s="76"/>
      <c r="AC14" s="76"/>
      <c r="AD14" s="76"/>
      <c r="AE14" s="76"/>
      <c r="AF14" s="76"/>
      <c r="AG14" s="76"/>
      <c r="AH14" s="76"/>
      <c r="AI14" s="76" t="str">
        <f ca="1">IFERROR(__xludf.DUMMYFUNCTION("""COMPUTED_VALUE"""),"=IF($AO$2=1;COUNTIF(Interface!$C$22:$C$27;$A14);0)")</f>
        <v>=IF($AO$2=1;COUNTIF(Interface!$C$22:$C$27;$A14);0)</v>
      </c>
      <c r="AJ14" s="76" t="str">
        <f ca="1">IFERROR(__xludf.DUMMYFUNCTION("""COMPUTED_VALUE"""),"=IF($AO$2=2;COUNTIF(Interface!$C$30:$C$35;$A14);0)")</f>
        <v>=IF($AO$2=2;COUNTIF(Interface!$C$30:$C$35;$A14);0)</v>
      </c>
      <c r="AK14" s="76"/>
      <c r="AL14" s="76"/>
      <c r="AM14" s="76" t="str">
        <f ca="1">IFERROR(__xludf.DUMMYFUNCTION("""COMPUTED_VALUE"""),"=COUNTIF(Interface!$O$18:$O$23;$A14)")</f>
        <v>=COUNTIF(Interface!$O$18:$O$23;$A14)</v>
      </c>
      <c r="AN14" s="76" t="str">
        <f ca="1">IFERROR(__xludf.DUMMYFUNCTION("""COMPUTED_VALUE"""),"=Image(""https://ddragon.leagueoflegends.com/cdn/12.22.1/img/item/3102.png"")")</f>
        <v>=Image("https://ddragon.leagueoflegends.com/cdn/12.22.1/img/item/3102.png")</v>
      </c>
      <c r="AO14" s="76" t="b">
        <f ca="1">IFERROR(__xludf.DUMMYFUNCTION("""COMPUTED_VALUE"""),TRUE)</f>
        <v>1</v>
      </c>
    </row>
    <row r="15" spans="1:41">
      <c r="A15" s="644" t="str">
        <f ca="1">IFERROR(__xludf.DUMMYFUNCTION("""COMPUTED_VALUE"""),"Berserker's Greaves")</f>
        <v>Berserker's Greaves</v>
      </c>
      <c r="B15" s="84" t="str">
        <f ca="1">IFERROR(__xludf.DUMMYFUNCTION("""COMPUTED_VALUE"""),"=1100")</f>
        <v>=1100</v>
      </c>
      <c r="C15" s="84"/>
      <c r="D15" s="84"/>
      <c r="E15" s="84"/>
      <c r="F15" s="84"/>
      <c r="G15" s="84"/>
      <c r="H15" s="646"/>
      <c r="I15" s="84"/>
      <c r="J15" s="84"/>
      <c r="K15" s="646" t="str">
        <f ca="1">IFERROR(__xludf.DUMMYFUNCTION("""COMPUTED_VALUE"""),"=35")</f>
        <v>=35</v>
      </c>
      <c r="L15" s="72"/>
      <c r="M15" s="72"/>
      <c r="N15" s="72"/>
      <c r="O15" s="72"/>
      <c r="P15" s="72"/>
      <c r="Q15" s="72" t="str">
        <f ca="1">IFERROR(__xludf.DUMMYFUNCTION("""COMPUTED_VALUE"""),"=45")</f>
        <v>=45</v>
      </c>
      <c r="R15" s="72"/>
      <c r="S15" s="72"/>
      <c r="T15" s="72"/>
      <c r="U15" s="72"/>
      <c r="V15" s="72"/>
      <c r="W15" s="72"/>
      <c r="X15" s="72"/>
      <c r="Y15" s="72"/>
      <c r="Z15" s="72"/>
      <c r="AA15" s="72"/>
      <c r="AB15" s="72"/>
      <c r="AC15" s="72"/>
      <c r="AD15" s="72"/>
      <c r="AE15" s="72"/>
      <c r="AF15" s="72"/>
      <c r="AG15" s="72"/>
      <c r="AH15" s="72"/>
      <c r="AI15" s="72" t="str">
        <f ca="1">IFERROR(__xludf.DUMMYFUNCTION("""COMPUTED_VALUE"""),"=IF($AO$2=1;COUNTIF(Interface!$C$22:$C$27;$A15);0)")</f>
        <v>=IF($AO$2=1;COUNTIF(Interface!$C$22:$C$27;$A15);0)</v>
      </c>
      <c r="AJ15" s="72" t="str">
        <f ca="1">IFERROR(__xludf.DUMMYFUNCTION("""COMPUTED_VALUE"""),"=IF($AO$2=2;COUNTIF(Interface!$C$30:$C$35;$A15);0)")</f>
        <v>=IF($AO$2=2;COUNTIF(Interface!$C$30:$C$35;$A15);0)</v>
      </c>
      <c r="AK15" s="72"/>
      <c r="AL15" s="72"/>
      <c r="AM15" s="72" t="str">
        <f ca="1">IFERROR(__xludf.DUMMYFUNCTION("""COMPUTED_VALUE"""),"=COUNTIF(Interface!$O$18:$O$23;$A15)")</f>
        <v>=COUNTIF(Interface!$O$18:$O$23;$A15)</v>
      </c>
      <c r="AN15" s="72" t="str">
        <f ca="1">IFERROR(__xludf.DUMMYFUNCTION("""COMPUTED_VALUE"""),"=Image(""https://ddragon.leagueoflegends.com/cdn/12.22.1/img/item/3006.png"")")</f>
        <v>=Image("https://ddragon.leagueoflegends.com/cdn/12.22.1/img/item/3006.png")</v>
      </c>
      <c r="AO15" s="72" t="b">
        <f ca="1">IFERROR(__xludf.DUMMYFUNCTION("""COMPUTED_VALUE"""),FALSE)</f>
        <v>0</v>
      </c>
    </row>
    <row r="16" spans="1:41">
      <c r="A16" s="643" t="str">
        <f ca="1">IFERROR(__xludf.DUMMYFUNCTION("""COMPUTED_VALUE"""),"Black Cleaver")</f>
        <v>Black Cleaver</v>
      </c>
      <c r="B16" s="78" t="str">
        <f ca="1">IFERROR(__xludf.DUMMYFUNCTION("""COMPUTED_VALUE"""),"=3100")</f>
        <v>=3100</v>
      </c>
      <c r="C16" s="78" t="str">
        <f ca="1">IFERROR(__xludf.DUMMYFUNCTION("""COMPUTED_VALUE"""),"=400")</f>
        <v>=400</v>
      </c>
      <c r="D16" s="78"/>
      <c r="E16" s="78"/>
      <c r="F16" s="78"/>
      <c r="G16" s="78" t="str">
        <f ca="1">IFERROR(__xludf.DUMMYFUNCTION("""COMPUTED_VALUE"""),"=50")</f>
        <v>=50</v>
      </c>
      <c r="H16" s="78"/>
      <c r="I16" s="78"/>
      <c r="J16" s="78"/>
      <c r="K16" s="78"/>
      <c r="L16" s="76"/>
      <c r="M16" s="76" t="str">
        <f ca="1">IFERROR(__xludf.DUMMYFUNCTION("""COMPUTED_VALUE"""),"=30")</f>
        <v>=30</v>
      </c>
      <c r="N16" s="76"/>
      <c r="O16" s="76"/>
      <c r="P16" s="76"/>
      <c r="Q16" s="76"/>
      <c r="R16" s="76"/>
      <c r="S16" s="76"/>
      <c r="T16" s="76"/>
      <c r="U16" s="76"/>
      <c r="V16" s="76"/>
      <c r="W16" s="76"/>
      <c r="X16" s="76"/>
      <c r="Y16" s="76"/>
      <c r="Z16" s="76"/>
      <c r="AA16" s="76"/>
      <c r="AB16" s="76"/>
      <c r="AC16" s="76"/>
      <c r="AD16" s="76"/>
      <c r="AE16" s="76"/>
      <c r="AF16" s="76"/>
      <c r="AG16" s="76" t="str">
        <f ca="1">IFERROR(__xludf.DUMMYFUNCTION("""COMPUTED_VALUE"""),"=18")</f>
        <v>=18</v>
      </c>
      <c r="AH16" s="76"/>
      <c r="AI16" s="76" t="str">
        <f ca="1">IFERROR(__xludf.DUMMYFUNCTION("""COMPUTED_VALUE"""),"=IF($AO$2=1;COUNTIF(Interface!$C$22:$C$27;$A16);0)")</f>
        <v>=IF($AO$2=1;COUNTIF(Interface!$C$22:$C$27;$A16);0)</v>
      </c>
      <c r="AJ16" s="76" t="str">
        <f ca="1">IFERROR(__xludf.DUMMYFUNCTION("""COMPUTED_VALUE"""),"=IF($AO$2=2;COUNTIF(Interface!$C$30:$C$35;$A16);0)")</f>
        <v>=IF($AO$2=2;COUNTIF(Interface!$C$30:$C$35;$A16);0)</v>
      </c>
      <c r="AK16" s="76"/>
      <c r="AL16" s="76"/>
      <c r="AM16" s="76" t="str">
        <f ca="1">IFERROR(__xludf.DUMMYFUNCTION("""COMPUTED_VALUE"""),"=COUNTIF(Interface!$O$18:$O$23;$A16)")</f>
        <v>=COUNTIF(Interface!$O$18:$O$23;$A16)</v>
      </c>
      <c r="AN16" s="76" t="str">
        <f ca="1">IFERROR(__xludf.DUMMYFUNCTION("""COMPUTED_VALUE"""),"=Image(""https://ddragon.leagueoflegends.com/cdn/12.22.1/img/item/3071.png"")")</f>
        <v>=Image("https://ddragon.leagueoflegends.com/cdn/12.22.1/img/item/3071.png")</v>
      </c>
      <c r="AO16" s="76" t="b">
        <f ca="1">IFERROR(__xludf.DUMMYFUNCTION("""COMPUTED_VALUE"""),TRUE)</f>
        <v>1</v>
      </c>
    </row>
    <row r="17" spans="1:41">
      <c r="A17" s="644" t="str">
        <f ca="1">IFERROR(__xludf.DUMMYFUNCTION("""COMPUTED_VALUE"""),"Black Mist Scythe")</f>
        <v>Black Mist Scythe</v>
      </c>
      <c r="B17" s="84" t="str">
        <f ca="1">IFERROR(__xludf.DUMMYFUNCTION("""COMPUTED_VALUE"""),"=400")</f>
        <v>=400</v>
      </c>
      <c r="C17" s="84" t="str">
        <f ca="1">IFERROR(__xludf.DUMMYFUNCTION("""COMPUTED_VALUE"""),"=75")</f>
        <v>=75</v>
      </c>
      <c r="D17" s="84"/>
      <c r="E17" s="84"/>
      <c r="F17" s="84" t="str">
        <f ca="1">IFERROR(__xludf.DUMMYFUNCTION("""COMPUTED_VALUE"""),"=1")</f>
        <v>=1</v>
      </c>
      <c r="G17" s="84" t="str">
        <f ca="1">IFERROR(__xludf.DUMMYFUNCTION("""COMPUTED_VALUE"""),"=20")</f>
        <v>=20</v>
      </c>
      <c r="H17" s="84"/>
      <c r="I17" s="84"/>
      <c r="J17" s="84"/>
      <c r="K17" s="646"/>
      <c r="L17" s="72"/>
      <c r="M17" s="72"/>
      <c r="N17" s="72"/>
      <c r="O17" s="72"/>
      <c r="P17" s="72"/>
      <c r="Q17" s="72"/>
      <c r="R17" s="72"/>
      <c r="S17" s="72"/>
      <c r="T17" s="72"/>
      <c r="U17" s="72"/>
      <c r="V17" s="72"/>
      <c r="W17" s="72"/>
      <c r="X17" s="72"/>
      <c r="Y17" s="72"/>
      <c r="Z17" s="72"/>
      <c r="AA17" s="72"/>
      <c r="AB17" s="72"/>
      <c r="AC17" s="72"/>
      <c r="AD17" s="72"/>
      <c r="AE17" s="72"/>
      <c r="AF17" s="72"/>
      <c r="AG17" s="72"/>
      <c r="AH17" s="72"/>
      <c r="AI17" s="72" t="str">
        <f ca="1">IFERROR(__xludf.DUMMYFUNCTION("""COMPUTED_VALUE"""),"=IF($AO$2=1;COUNTIF(Interface!$C$22:$C$27;$A17);0)")</f>
        <v>=IF($AO$2=1;COUNTIF(Interface!$C$22:$C$27;$A17);0)</v>
      </c>
      <c r="AJ17" s="72" t="str">
        <f ca="1">IFERROR(__xludf.DUMMYFUNCTION("""COMPUTED_VALUE"""),"=IF($AO$2=2;COUNTIF(Interface!$C$30:$C$35;$A17);0)")</f>
        <v>=IF($AO$2=2;COUNTIF(Interface!$C$30:$C$35;$A17);0)</v>
      </c>
      <c r="AK17" s="72"/>
      <c r="AL17" s="72"/>
      <c r="AM17" s="72" t="str">
        <f ca="1">IFERROR(__xludf.DUMMYFUNCTION("""COMPUTED_VALUE"""),"=COUNTIF(Interface!$O$18:$O$23;$A17)")</f>
        <v>=COUNTIF(Interface!$O$18:$O$23;$A17)</v>
      </c>
      <c r="AN17" s="72" t="str">
        <f ca="1">IFERROR(__xludf.DUMMYFUNCTION("""COMPUTED_VALUE"""),"=Image(""https://ddragon.leagueoflegends.com/cdn/12.22.1/img/item/3864.png"")")</f>
        <v>=Image("https://ddragon.leagueoflegends.com/cdn/12.22.1/img/item/3864.png")</v>
      </c>
      <c r="AO17" s="72" t="b">
        <f ca="1">IFERROR(__xludf.DUMMYFUNCTION("""COMPUTED_VALUE"""),TRUE)</f>
        <v>1</v>
      </c>
    </row>
    <row r="18" spans="1:41">
      <c r="A18" s="643" t="str">
        <f ca="1">IFERROR(__xludf.DUMMYFUNCTION("""COMPUTED_VALUE"""),"Blade of the Ruined King")</f>
        <v>Blade of the Ruined King</v>
      </c>
      <c r="B18" s="78" t="str">
        <f ca="1">IFERROR(__xludf.DUMMYFUNCTION("""COMPUTED_VALUE"""),"=3300")</f>
        <v>=3300</v>
      </c>
      <c r="C18" s="78"/>
      <c r="D18" s="78"/>
      <c r="E18" s="78"/>
      <c r="F18" s="78"/>
      <c r="G18" s="78" t="str">
        <f ca="1">IFERROR(__xludf.DUMMYFUNCTION("""COMPUTED_VALUE"""),"=40")</f>
        <v>=40</v>
      </c>
      <c r="H18" s="78"/>
      <c r="I18" s="78"/>
      <c r="J18" s="78"/>
      <c r="K18" s="78" t="str">
        <f ca="1">IFERROR(__xludf.DUMMYFUNCTION("""COMPUTED_VALUE"""),"=25")</f>
        <v>=25</v>
      </c>
      <c r="L18" s="76"/>
      <c r="M18" s="76"/>
      <c r="N18" s="76" t="str">
        <f ca="1">IFERROR(__xludf.DUMMYFUNCTION("""COMPUTED_VALUE"""),"=8")</f>
        <v>=8</v>
      </c>
      <c r="O18" s="76"/>
      <c r="P18" s="76"/>
      <c r="Q18" s="76"/>
      <c r="R18" s="76"/>
      <c r="S18" s="76"/>
      <c r="T18" s="76" t="str">
        <f ca="1">IFERROR(__xludf.DUMMYFUNCTION("""COMPUTED_VALUE"""),"=IF(Interface!$L$28;MAX(E_MHP*IF(VLOOKUP(Name;Champs!A2:AE200;31;False);0,06;0,045);15);MAX(E_CHPV*IF(VLOOKUP(Name;Champs!A2:AE200;31;False);0,12;0,09);15))")</f>
        <v>=IF(Interface!$L$28;MAX(E_MHP*IF(VLOOKUP(Name;Champs!A2:AE200;31;False);0,06;0,045);15);MAX(E_CHPV*IF(VLOOKUP(Name;Champs!A2:AE200;31;False);0,12;0,09);15))</v>
      </c>
      <c r="U18" s="76"/>
      <c r="V18" s="76"/>
      <c r="W18" s="76" t="str">
        <f ca="1">IFERROR(__xludf.DUMMYFUNCTION("""COMPUTED_VALUE"""),"=40 + IF(Self_Level &gt; 9; 63 * (Self_Level - 9) / 9)")</f>
        <v>=40 + IF(Self_Level &gt; 9; 63 * (Self_Level - 9) / 9)</v>
      </c>
      <c r="X18" s="76"/>
      <c r="Y18" s="76"/>
      <c r="Z18" s="76"/>
      <c r="AA18" s="76"/>
      <c r="AB18" s="76"/>
      <c r="AC18" s="76"/>
      <c r="AD18" s="76"/>
      <c r="AE18" s="76"/>
      <c r="AF18" s="76"/>
      <c r="AG18" s="76"/>
      <c r="AH18" s="76"/>
      <c r="AI18" s="76" t="str">
        <f ca="1">IFERROR(__xludf.DUMMYFUNCTION("""COMPUTED_VALUE"""),"=IF($AO$2=1;COUNTIF(Interface!$C$22:$C$27;$A18);0)")</f>
        <v>=IF($AO$2=1;COUNTIF(Interface!$C$22:$C$27;$A18);0)</v>
      </c>
      <c r="AJ18" s="76" t="str">
        <f ca="1">IFERROR(__xludf.DUMMYFUNCTION("""COMPUTED_VALUE"""),"=IF($AO$2=2;COUNTIF(Interface!$C$30:$C$35;$A18);0)")</f>
        <v>=IF($AO$2=2;COUNTIF(Interface!$C$30:$C$35;$A18);0)</v>
      </c>
      <c r="AK18" s="76"/>
      <c r="AL18" s="76"/>
      <c r="AM18" s="76" t="str">
        <f ca="1">IFERROR(__xludf.DUMMYFUNCTION("""COMPUTED_VALUE"""),"=COUNTIF(Interface!$O$18:$O$23;$A18)")</f>
        <v>=COUNTIF(Interface!$O$18:$O$23;$A18)</v>
      </c>
      <c r="AN18" s="76" t="str">
        <f ca="1">IFERROR(__xludf.DUMMYFUNCTION("""COMPUTED_VALUE"""),"=Image(""https://ddragon.leagueoflegends.com/cdn/12.22.1/img/item/3153.png"")")</f>
        <v>=Image("https://ddragon.leagueoflegends.com/cdn/12.22.1/img/item/3153.png")</v>
      </c>
      <c r="AO18" s="76" t="b">
        <f ca="1">IFERROR(__xludf.DUMMYFUNCTION("""COMPUTED_VALUE"""),TRUE)</f>
        <v>1</v>
      </c>
    </row>
    <row r="19" spans="1:41">
      <c r="A19" s="644" t="str">
        <f ca="1">IFERROR(__xludf.DUMMYFUNCTION("""COMPUTED_VALUE"""),"Blasting Wand")</f>
        <v>Blasting Wand</v>
      </c>
      <c r="B19" s="84" t="str">
        <f ca="1">IFERROR(__xludf.DUMMYFUNCTION("""COMPUTED_VALUE"""),"=850")</f>
        <v>=850</v>
      </c>
      <c r="C19" s="84"/>
      <c r="D19" s="84"/>
      <c r="E19" s="84"/>
      <c r="F19" s="84"/>
      <c r="G19" s="84"/>
      <c r="H19" s="84" t="str">
        <f ca="1">IFERROR(__xludf.DUMMYFUNCTION("""COMPUTED_VALUE"""),"=40")</f>
        <v>=40</v>
      </c>
      <c r="I19" s="84"/>
      <c r="J19" s="84"/>
      <c r="K19" s="84"/>
      <c r="L19" s="72"/>
      <c r="M19" s="72"/>
      <c r="N19" s="72"/>
      <c r="O19" s="72"/>
      <c r="P19" s="72"/>
      <c r="Q19" s="72"/>
      <c r="R19" s="72"/>
      <c r="S19" s="72"/>
      <c r="T19" s="72"/>
      <c r="U19" s="72"/>
      <c r="V19" s="72"/>
      <c r="W19" s="72"/>
      <c r="X19" s="72"/>
      <c r="Y19" s="72"/>
      <c r="Z19" s="72"/>
      <c r="AA19" s="72"/>
      <c r="AB19" s="72"/>
      <c r="AC19" s="72"/>
      <c r="AD19" s="72"/>
      <c r="AE19" s="72"/>
      <c r="AF19" s="72"/>
      <c r="AG19" s="72"/>
      <c r="AH19" s="72"/>
      <c r="AI19" s="72" t="str">
        <f ca="1">IFERROR(__xludf.DUMMYFUNCTION("""COMPUTED_VALUE"""),"=IF($AO$2=1;COUNTIF(Interface!$C$22:$C$27;$A19);0)")</f>
        <v>=IF($AO$2=1;COUNTIF(Interface!$C$22:$C$27;$A19);0)</v>
      </c>
      <c r="AJ19" s="72" t="str">
        <f ca="1">IFERROR(__xludf.DUMMYFUNCTION("""COMPUTED_VALUE"""),"=IF($AO$2=2;COUNTIF(Interface!$C$30:$C$35;$A19);0)")</f>
        <v>=IF($AO$2=2;COUNTIF(Interface!$C$30:$C$35;$A19);0)</v>
      </c>
      <c r="AK19" s="72"/>
      <c r="AL19" s="72"/>
      <c r="AM19" s="72" t="str">
        <f ca="1">IFERROR(__xludf.DUMMYFUNCTION("""COMPUTED_VALUE"""),"=COUNTIF(Interface!$O$18:$O$23;$A19)")</f>
        <v>=COUNTIF(Interface!$O$18:$O$23;$A19)</v>
      </c>
      <c r="AN19" s="72" t="str">
        <f ca="1">IFERROR(__xludf.DUMMYFUNCTION("""COMPUTED_VALUE"""),"=Image(""https://ddragon.leagueoflegends.com/cdn/12.22.1/img/item/1026.png"")")</f>
        <v>=Image("https://ddragon.leagueoflegends.com/cdn/12.22.1/img/item/1026.png")</v>
      </c>
      <c r="AO19" s="72" t="b">
        <f ca="1">IFERROR(__xludf.DUMMYFUNCTION("""COMPUTED_VALUE"""),FALSE)</f>
        <v>0</v>
      </c>
    </row>
    <row r="20" spans="1:41">
      <c r="A20" s="643" t="str">
        <f ca="1">IFERROR(__xludf.DUMMYFUNCTION("""COMPUTED_VALUE"""),"Blighting Jewel")</f>
        <v>Blighting Jewel</v>
      </c>
      <c r="B20" s="78" t="str">
        <f ca="1">IFERROR(__xludf.DUMMYFUNCTION("""COMPUTED_VALUE"""),"=1250")</f>
        <v>=1250</v>
      </c>
      <c r="C20" s="78"/>
      <c r="D20" s="78"/>
      <c r="E20" s="78"/>
      <c r="F20" s="78"/>
      <c r="G20" s="645"/>
      <c r="H20" s="78" t="str">
        <f ca="1">IFERROR(__xludf.DUMMYFUNCTION("""COMPUTED_VALUE"""),"=25")</f>
        <v>=25</v>
      </c>
      <c r="I20" s="645"/>
      <c r="J20" s="78"/>
      <c r="K20" s="78"/>
      <c r="L20" s="76"/>
      <c r="M20" s="76"/>
      <c r="N20" s="76"/>
      <c r="O20" s="76"/>
      <c r="P20" s="76"/>
      <c r="Q20" s="76"/>
      <c r="R20" s="76"/>
      <c r="S20" s="76"/>
      <c r="T20" s="76"/>
      <c r="U20" s="76"/>
      <c r="V20" s="76"/>
      <c r="W20" s="76"/>
      <c r="X20" s="76"/>
      <c r="Y20" s="76"/>
      <c r="Z20" s="76" t="str">
        <f ca="1">IFERROR(__xludf.DUMMYFUNCTION("""COMPUTED_VALUE"""),"=13")</f>
        <v>=13</v>
      </c>
      <c r="AA20" s="76"/>
      <c r="AB20" s="76"/>
      <c r="AC20" s="76"/>
      <c r="AD20" s="76"/>
      <c r="AE20" s="76"/>
      <c r="AF20" s="76"/>
      <c r="AG20" s="76"/>
      <c r="AH20" s="76"/>
      <c r="AI20" s="76" t="str">
        <f ca="1">IFERROR(__xludf.DUMMYFUNCTION("""COMPUTED_VALUE"""),"=IF($AO$2=1;COUNTIF(Interface!$C$22:$C$27;$A20);0)")</f>
        <v>=IF($AO$2=1;COUNTIF(Interface!$C$22:$C$27;$A20);0)</v>
      </c>
      <c r="AJ20" s="76" t="str">
        <f ca="1">IFERROR(__xludf.DUMMYFUNCTION("""COMPUTED_VALUE"""),"=IF($AO$2=2;COUNTIF(Interface!$C$30:$C$35;$A20);0)")</f>
        <v>=IF($AO$2=2;COUNTIF(Interface!$C$30:$C$35;$A20);0)</v>
      </c>
      <c r="AK20" s="76"/>
      <c r="AL20" s="76"/>
      <c r="AM20" s="76" t="str">
        <f ca="1">IFERROR(__xludf.DUMMYFUNCTION("""COMPUTED_VALUE"""),"=COUNTIF(Interface!$O$18:$O$23;$A20)")</f>
        <v>=COUNTIF(Interface!$O$18:$O$23;$A20)</v>
      </c>
      <c r="AN20" s="76" t="str">
        <f ca="1">IFERROR(__xludf.DUMMYFUNCTION("""COMPUTED_VALUE"""),"=Image(""https://ddragon.leagueoflegends.com/cdn/12.22.1/img/item/4630.png"")")</f>
        <v>=Image("https://ddragon.leagueoflegends.com/cdn/12.22.1/img/item/4630.png")</v>
      </c>
      <c r="AO20" s="76" t="b">
        <f ca="1">IFERROR(__xludf.DUMMYFUNCTION("""COMPUTED_VALUE"""),FALSE)</f>
        <v>0</v>
      </c>
    </row>
    <row r="21" spans="1:41">
      <c r="A21" s="644" t="str">
        <f ca="1">IFERROR(__xludf.DUMMYFUNCTION("""COMPUTED_VALUE"""),"Bloodthirster")</f>
        <v>Bloodthirster</v>
      </c>
      <c r="B21" s="84" t="str">
        <f ca="1">IFERROR(__xludf.DUMMYFUNCTION("""COMPUTED_VALUE"""),"=3400")</f>
        <v>=3400</v>
      </c>
      <c r="C21" s="84"/>
      <c r="D21" s="84"/>
      <c r="E21" s="84"/>
      <c r="F21" s="84"/>
      <c r="G21" s="646" t="str">
        <f ca="1">IFERROR(__xludf.DUMMYFUNCTION("""COMPUTED_VALUE"""),"=55 + IF(Self_CHPP &gt; 50; 10 + 30 * Sc_Lin; 0)")</f>
        <v>=55 + IF(Self_CHPP &gt; 50; 10 + 30 * Sc_Lin; 0)</v>
      </c>
      <c r="H21" s="84"/>
      <c r="I21" s="84"/>
      <c r="J21" s="646"/>
      <c r="K21" s="84"/>
      <c r="L21" s="72" t="str">
        <f ca="1">IFERROR(__xludf.DUMMYFUNCTION("""COMPUTED_VALUE"""),"=20")</f>
        <v>=20</v>
      </c>
      <c r="M21" s="72"/>
      <c r="N21" s="72" t="str">
        <f ca="1">IFERROR(__xludf.DUMMYFUNCTION("""COMPUTED_VALUE"""),"=18")</f>
        <v>=18</v>
      </c>
      <c r="O21" s="72"/>
      <c r="P21" s="72"/>
      <c r="Q21" s="72"/>
      <c r="R21" s="72"/>
      <c r="S21" s="72"/>
      <c r="T21" s="72"/>
      <c r="U21" s="72"/>
      <c r="V21" s="72"/>
      <c r="W21" s="72"/>
      <c r="X21" s="72"/>
      <c r="Y21" s="72"/>
      <c r="Z21" s="72"/>
      <c r="AA21" s="72"/>
      <c r="AB21" s="72"/>
      <c r="AC21" s="72"/>
      <c r="AD21" s="72"/>
      <c r="AE21" s="72"/>
      <c r="AF21" s="72"/>
      <c r="AG21" s="72"/>
      <c r="AH21" s="72"/>
      <c r="AI21" s="72" t="str">
        <f ca="1">IFERROR(__xludf.DUMMYFUNCTION("""COMPUTED_VALUE"""),"=IF($AO$2=1;COUNTIF(Interface!$C$22:$C$27;$A21);0)")</f>
        <v>=IF($AO$2=1;COUNTIF(Interface!$C$22:$C$27;$A21);0)</v>
      </c>
      <c r="AJ21" s="72" t="str">
        <f ca="1">IFERROR(__xludf.DUMMYFUNCTION("""COMPUTED_VALUE"""),"=IF($AO$2=2;COUNTIF(Interface!$C$30:$C$35;$A21);0)")</f>
        <v>=IF($AO$2=2;COUNTIF(Interface!$C$30:$C$35;$A21);0)</v>
      </c>
      <c r="AK21" s="72"/>
      <c r="AL21" s="72"/>
      <c r="AM21" s="72" t="str">
        <f ca="1">IFERROR(__xludf.DUMMYFUNCTION("""COMPUTED_VALUE"""),"=COUNTIF(Interface!$O$18:$O$23;$A21)")</f>
        <v>=COUNTIF(Interface!$O$18:$O$23;$A21)</v>
      </c>
      <c r="AN21" s="72" t="str">
        <f ca="1">IFERROR(__xludf.DUMMYFUNCTION("""COMPUTED_VALUE"""),"=Image(""https://ddragon.leagueoflegends.com/cdn/12.22.1/img/item/3072.png"")")</f>
        <v>=Image("https://ddragon.leagueoflegends.com/cdn/12.22.1/img/item/3072.png")</v>
      </c>
      <c r="AO21" s="72" t="b">
        <f ca="1">IFERROR(__xludf.DUMMYFUNCTION("""COMPUTED_VALUE"""),TRUE)</f>
        <v>1</v>
      </c>
    </row>
    <row r="22" spans="1:41">
      <c r="A22" s="643" t="str">
        <f ca="1">IFERROR(__xludf.DUMMYFUNCTION("""COMPUTED_VALUE"""),"Boots")</f>
        <v>Boots</v>
      </c>
      <c r="B22" s="78" t="str">
        <f ca="1">IFERROR(__xludf.DUMMYFUNCTION("""COMPUTED_VALUE"""),"=300")</f>
        <v>=300</v>
      </c>
      <c r="C22" s="78"/>
      <c r="D22" s="78"/>
      <c r="E22" s="78"/>
      <c r="F22" s="78"/>
      <c r="G22" s="645"/>
      <c r="H22" s="78"/>
      <c r="I22" s="645"/>
      <c r="J22" s="78"/>
      <c r="K22" s="645"/>
      <c r="L22" s="76"/>
      <c r="M22" s="76"/>
      <c r="N22" s="76"/>
      <c r="O22" s="76"/>
      <c r="P22" s="76"/>
      <c r="Q22" s="76" t="str">
        <f ca="1">IFERROR(__xludf.DUMMYFUNCTION("""COMPUTED_VALUE"""),"=25")</f>
        <v>=25</v>
      </c>
      <c r="R22" s="76"/>
      <c r="S22" s="76"/>
      <c r="T22" s="76"/>
      <c r="U22" s="76"/>
      <c r="V22" s="76"/>
      <c r="W22" s="76"/>
      <c r="X22" s="76"/>
      <c r="Y22" s="76"/>
      <c r="Z22" s="76"/>
      <c r="AA22" s="76"/>
      <c r="AB22" s="76"/>
      <c r="AC22" s="76"/>
      <c r="AD22" s="76"/>
      <c r="AE22" s="76"/>
      <c r="AF22" s="76"/>
      <c r="AG22" s="76"/>
      <c r="AH22" s="76"/>
      <c r="AI22" s="76" t="str">
        <f ca="1">IFERROR(__xludf.DUMMYFUNCTION("""COMPUTED_VALUE"""),"=IF($AO$2=1;COUNTIF(Interface!$C$22:$C$27;$A22);0)")</f>
        <v>=IF($AO$2=1;COUNTIF(Interface!$C$22:$C$27;$A22);0)</v>
      </c>
      <c r="AJ22" s="76" t="str">
        <f ca="1">IFERROR(__xludf.DUMMYFUNCTION("""COMPUTED_VALUE"""),"=IF($AO$2=2;COUNTIF(Interface!$C$30:$C$35;$A22);0)")</f>
        <v>=IF($AO$2=2;COUNTIF(Interface!$C$30:$C$35;$A22);0)</v>
      </c>
      <c r="AK22" s="76"/>
      <c r="AL22" s="76"/>
      <c r="AM22" s="76" t="str">
        <f ca="1">IFERROR(__xludf.DUMMYFUNCTION("""COMPUTED_VALUE"""),"=COUNTIF(Interface!$O$18:$O$23;$A22)")</f>
        <v>=COUNTIF(Interface!$O$18:$O$23;$A22)</v>
      </c>
      <c r="AN22" s="76" t="str">
        <f ca="1">IFERROR(__xludf.DUMMYFUNCTION("""COMPUTED_VALUE"""),"=Image(""https://ddragon.leagueoflegends.com/cdn/12.22.1/img/item/1001.png"")")</f>
        <v>=Image("https://ddragon.leagueoflegends.com/cdn/12.22.1/img/item/1001.png")</v>
      </c>
      <c r="AO22" s="76" t="b">
        <f ca="1">IFERROR(__xludf.DUMMYFUNCTION("""COMPUTED_VALUE"""),FALSE)</f>
        <v>0</v>
      </c>
    </row>
    <row r="23" spans="1:41">
      <c r="A23" s="644" t="str">
        <f ca="1">IFERROR(__xludf.DUMMYFUNCTION("""COMPUTED_VALUE"""),"Boots of Swiftness")</f>
        <v>Boots of Swiftness</v>
      </c>
      <c r="B23" s="84" t="str">
        <f ca="1">IFERROR(__xludf.DUMMYFUNCTION("""COMPUTED_VALUE"""),"=900")</f>
        <v>=900</v>
      </c>
      <c r="C23" s="84"/>
      <c r="D23" s="84"/>
      <c r="E23" s="84"/>
      <c r="F23" s="84"/>
      <c r="G23" s="84"/>
      <c r="H23" s="84"/>
      <c r="I23" s="84"/>
      <c r="J23" s="84"/>
      <c r="K23" s="84"/>
      <c r="L23" s="72"/>
      <c r="M23" s="72"/>
      <c r="N23" s="72"/>
      <c r="O23" s="72"/>
      <c r="P23" s="72"/>
      <c r="Q23" s="72" t="str">
        <f ca="1">IFERROR(__xludf.DUMMYFUNCTION("""COMPUTED_VALUE"""),"=60")</f>
        <v>=60</v>
      </c>
      <c r="R23" s="72"/>
      <c r="S23" s="72"/>
      <c r="T23" s="72"/>
      <c r="U23" s="72"/>
      <c r="V23" s="72"/>
      <c r="W23" s="72"/>
      <c r="X23" s="72"/>
      <c r="Y23" s="72"/>
      <c r="Z23" s="72"/>
      <c r="AA23" s="72"/>
      <c r="AB23" s="72"/>
      <c r="AC23" s="72"/>
      <c r="AD23" s="72"/>
      <c r="AE23" s="72"/>
      <c r="AF23" s="72"/>
      <c r="AG23" s="72"/>
      <c r="AH23" s="72"/>
      <c r="AI23" s="72" t="str">
        <f ca="1">IFERROR(__xludf.DUMMYFUNCTION("""COMPUTED_VALUE"""),"=IF($AO$2=1;COUNTIF(Interface!$C$22:$C$27;$A23);0)")</f>
        <v>=IF($AO$2=1;COUNTIF(Interface!$C$22:$C$27;$A23);0)</v>
      </c>
      <c r="AJ23" s="72" t="str">
        <f ca="1">IFERROR(__xludf.DUMMYFUNCTION("""COMPUTED_VALUE"""),"=IF($AO$2=2;COUNTIF(Interface!$C$30:$C$35;$A23);0)")</f>
        <v>=IF($AO$2=2;COUNTIF(Interface!$C$30:$C$35;$A23);0)</v>
      </c>
      <c r="AK23" s="72"/>
      <c r="AL23" s="72"/>
      <c r="AM23" s="72" t="str">
        <f ca="1">IFERROR(__xludf.DUMMYFUNCTION("""COMPUTED_VALUE"""),"=COUNTIF(Interface!$O$18:$O$23;$A23)")</f>
        <v>=COUNTIF(Interface!$O$18:$O$23;$A23)</v>
      </c>
      <c r="AN23" s="72" t="str">
        <f ca="1">IFERROR(__xludf.DUMMYFUNCTION("""COMPUTED_VALUE"""),"=Image(""https://ddragon.leagueoflegends.com/cdn/12.22.1/img/item/3009.png"")")</f>
        <v>=Image("https://ddragon.leagueoflegends.com/cdn/12.22.1/img/item/3009.png")</v>
      </c>
      <c r="AO23" s="72" t="b">
        <f ca="1">IFERROR(__xludf.DUMMYFUNCTION("""COMPUTED_VALUE"""),FALSE)</f>
        <v>0</v>
      </c>
    </row>
    <row r="24" spans="1:41">
      <c r="A24" s="643" t="str">
        <f ca="1">IFERROR(__xludf.DUMMYFUNCTION("""COMPUTED_VALUE"""),"Bramble Vest")</f>
        <v>Bramble Vest</v>
      </c>
      <c r="B24" s="78" t="str">
        <f ca="1">IFERROR(__xludf.DUMMYFUNCTION("""COMPUTED_VALUE"""),"=800")</f>
        <v>=800</v>
      </c>
      <c r="C24" s="78"/>
      <c r="D24" s="78"/>
      <c r="E24" s="78"/>
      <c r="F24" s="78"/>
      <c r="G24" s="78"/>
      <c r="H24" s="78"/>
      <c r="I24" s="78" t="str">
        <f ca="1">IFERROR(__xludf.DUMMYFUNCTION("""COMPUTED_VALUE"""),"=30")</f>
        <v>=30</v>
      </c>
      <c r="J24" s="78"/>
      <c r="K24" s="78"/>
      <c r="L24" s="76"/>
      <c r="M24" s="76"/>
      <c r="N24" s="76"/>
      <c r="O24" s="76"/>
      <c r="P24" s="76"/>
      <c r="Q24" s="76"/>
      <c r="R24" s="76"/>
      <c r="S24" s="76"/>
      <c r="T24" s="76"/>
      <c r="U24" s="76"/>
      <c r="V24" s="76"/>
      <c r="W24" s="76"/>
      <c r="X24" s="76"/>
      <c r="Y24" s="76"/>
      <c r="Z24" s="76"/>
      <c r="AA24" s="76"/>
      <c r="AB24" s="76"/>
      <c r="AC24" s="76"/>
      <c r="AD24" s="76"/>
      <c r="AE24" s="76"/>
      <c r="AF24" s="76"/>
      <c r="AG24" s="76"/>
      <c r="AH24" s="76"/>
      <c r="AI24" s="76" t="str">
        <f ca="1">IFERROR(__xludf.DUMMYFUNCTION("""COMPUTED_VALUE"""),"=IF($AO$2=1;COUNTIF(Interface!$C$22:$C$27;$A24);0)")</f>
        <v>=IF($AO$2=1;COUNTIF(Interface!$C$22:$C$27;$A24);0)</v>
      </c>
      <c r="AJ24" s="76" t="str">
        <f ca="1">IFERROR(__xludf.DUMMYFUNCTION("""COMPUTED_VALUE"""),"=IF($AO$2=2;COUNTIF(Interface!$C$30:$C$35;$A24);0)")</f>
        <v>=IF($AO$2=2;COUNTIF(Interface!$C$30:$C$35;$A24);0)</v>
      </c>
      <c r="AK24" s="76"/>
      <c r="AL24" s="76"/>
      <c r="AM24" s="76" t="str">
        <f ca="1">IFERROR(__xludf.DUMMYFUNCTION("""COMPUTED_VALUE"""),"=COUNTIF(Interface!$O$18:$O$23;$A24)")</f>
        <v>=COUNTIF(Interface!$O$18:$O$23;$A24)</v>
      </c>
      <c r="AN24" s="76" t="str">
        <f ca="1">IFERROR(__xludf.DUMMYFUNCTION("""COMPUTED_VALUE"""),"=Image(""https://ddragon.leagueoflegends.com/cdn/12.22.1/img/item/3076.png"")")</f>
        <v>=Image("https://ddragon.leagueoflegends.com/cdn/12.22.1/img/item/3076.png")</v>
      </c>
      <c r="AO24" s="76" t="b">
        <f ca="1">IFERROR(__xludf.DUMMYFUNCTION("""COMPUTED_VALUE"""),FALSE)</f>
        <v>0</v>
      </c>
    </row>
    <row r="25" spans="1:41">
      <c r="A25" s="644" t="str">
        <f ca="1">IFERROR(__xludf.DUMMYFUNCTION("""COMPUTED_VALUE"""),"Bulwark of the Mountain")</f>
        <v>Bulwark of the Mountain</v>
      </c>
      <c r="B25" s="84" t="str">
        <f ca="1">IFERROR(__xludf.DUMMYFUNCTION("""COMPUTED_VALUE"""),"=400")</f>
        <v>=400</v>
      </c>
      <c r="C25" s="84" t="str">
        <f ca="1">IFERROR(__xludf.DUMMYFUNCTION("""COMPUTED_VALUE"""),"=250")</f>
        <v>=250</v>
      </c>
      <c r="D25" s="84" t="str">
        <f ca="1">IFERROR(__xludf.DUMMYFUNCTION("""COMPUTED_VALUE"""),"=1")</f>
        <v>=1</v>
      </c>
      <c r="E25" s="84"/>
      <c r="F25" s="84"/>
      <c r="G25" s="646"/>
      <c r="H25" s="646" t="str">
        <f ca="1">IFERROR(__xludf.DUMMYFUNCTION("""COMPUTED_VALUE"""),"=20")</f>
        <v>=20</v>
      </c>
      <c r="I25" s="84"/>
      <c r="J25" s="84"/>
      <c r="K25" s="84"/>
      <c r="L25" s="72"/>
      <c r="M25" s="72"/>
      <c r="N25" s="72"/>
      <c r="O25" s="72"/>
      <c r="P25" s="72"/>
      <c r="Q25" s="72"/>
      <c r="R25" s="72"/>
      <c r="S25" s="72"/>
      <c r="T25" s="72"/>
      <c r="U25" s="72"/>
      <c r="V25" s="72"/>
      <c r="W25" s="72"/>
      <c r="X25" s="72"/>
      <c r="Y25" s="72"/>
      <c r="Z25" s="72"/>
      <c r="AA25" s="72"/>
      <c r="AB25" s="72"/>
      <c r="AC25" s="72"/>
      <c r="AD25" s="72"/>
      <c r="AE25" s="72"/>
      <c r="AF25" s="72"/>
      <c r="AG25" s="72"/>
      <c r="AH25" s="72"/>
      <c r="AI25" s="72" t="str">
        <f ca="1">IFERROR(__xludf.DUMMYFUNCTION("""COMPUTED_VALUE"""),"=IF($AO$2=1;COUNTIF(Interface!$C$22:$C$27;$A25);0)")</f>
        <v>=IF($AO$2=1;COUNTIF(Interface!$C$22:$C$27;$A25);0)</v>
      </c>
      <c r="AJ25" s="72" t="str">
        <f ca="1">IFERROR(__xludf.DUMMYFUNCTION("""COMPUTED_VALUE"""),"=IF($AO$2=2;COUNTIF(Interface!$C$30:$C$35;$A25);0)")</f>
        <v>=IF($AO$2=2;COUNTIF(Interface!$C$30:$C$35;$A25);0)</v>
      </c>
      <c r="AK25" s="72"/>
      <c r="AL25" s="72"/>
      <c r="AM25" s="72" t="str">
        <f ca="1">IFERROR(__xludf.DUMMYFUNCTION("""COMPUTED_VALUE"""),"=COUNTIF(Interface!$O$18:$O$23;$A25)")</f>
        <v>=COUNTIF(Interface!$O$18:$O$23;$A25)</v>
      </c>
      <c r="AN25" s="72" t="str">
        <f ca="1">IFERROR(__xludf.DUMMYFUNCTION("""COMPUTED_VALUE"""),"=Image(""https://ddragon.leagueoflegends.com/cdn/12.22.1/img/item/3860.png"")")</f>
        <v>=Image("https://ddragon.leagueoflegends.com/cdn/12.22.1/img/item/3860.png")</v>
      </c>
      <c r="AO25" s="72" t="b">
        <f ca="1">IFERROR(__xludf.DUMMYFUNCTION("""COMPUTED_VALUE"""),TRUE)</f>
        <v>1</v>
      </c>
    </row>
    <row r="26" spans="1:41">
      <c r="A26" s="643" t="str">
        <f ca="1">IFERROR(__xludf.DUMMYFUNCTION("""COMPUTED_VALUE"""),"Catalyst of Aeons")</f>
        <v>Catalyst of Aeons</v>
      </c>
      <c r="B26" s="78" t="str">
        <f ca="1">IFERROR(__xludf.DUMMYFUNCTION("""COMPUTED_VALUE"""),"=1300")</f>
        <v>=1300</v>
      </c>
      <c r="C26" s="78" t="str">
        <f ca="1">IFERROR(__xludf.DUMMYFUNCTION("""COMPUTED_VALUE"""),"=300")</f>
        <v>=300</v>
      </c>
      <c r="D26" s="78"/>
      <c r="E26" s="78" t="str">
        <f ca="1">IFERROR(__xludf.DUMMYFUNCTION("""COMPUTED_VALUE"""),"=300")</f>
        <v>=300</v>
      </c>
      <c r="F26" s="78"/>
      <c r="G26" s="78"/>
      <c r="H26" s="645"/>
      <c r="I26" s="78"/>
      <c r="J26" s="78"/>
      <c r="K26" s="78"/>
      <c r="L26" s="76"/>
      <c r="M26" s="76"/>
      <c r="N26" s="76"/>
      <c r="O26" s="76"/>
      <c r="P26" s="76"/>
      <c r="Q26" s="76"/>
      <c r="R26" s="76"/>
      <c r="S26" s="76"/>
      <c r="T26" s="76"/>
      <c r="U26" s="76"/>
      <c r="V26" s="76"/>
      <c r="W26" s="76"/>
      <c r="X26" s="76"/>
      <c r="Y26" s="76"/>
      <c r="Z26" s="76"/>
      <c r="AA26" s="76"/>
      <c r="AB26" s="76"/>
      <c r="AC26" s="76"/>
      <c r="AD26" s="76"/>
      <c r="AE26" s="76"/>
      <c r="AF26" s="76"/>
      <c r="AG26" s="76"/>
      <c r="AH26" s="76"/>
      <c r="AI26" s="76" t="str">
        <f ca="1">IFERROR(__xludf.DUMMYFUNCTION("""COMPUTED_VALUE"""),"=IF($AO$2=1;COUNTIF(Interface!$C$22:$C$27;$A26);0)")</f>
        <v>=IF($AO$2=1;COUNTIF(Interface!$C$22:$C$27;$A26);0)</v>
      </c>
      <c r="AJ26" s="76" t="str">
        <f ca="1">IFERROR(__xludf.DUMMYFUNCTION("""COMPUTED_VALUE"""),"=IF($AO$2=2;COUNTIF(Interface!$C$30:$C$35;$A26);0)")</f>
        <v>=IF($AO$2=2;COUNTIF(Interface!$C$30:$C$35;$A26);0)</v>
      </c>
      <c r="AK26" s="76"/>
      <c r="AL26" s="76"/>
      <c r="AM26" s="76" t="str">
        <f ca="1">IFERROR(__xludf.DUMMYFUNCTION("""COMPUTED_VALUE"""),"=COUNTIF(Interface!$O$18:$O$23;$A26)")</f>
        <v>=COUNTIF(Interface!$O$18:$O$23;$A26)</v>
      </c>
      <c r="AN26" s="76" t="str">
        <f ca="1">IFERROR(__xludf.DUMMYFUNCTION("""COMPUTED_VALUE"""),"=Image(""https://ddragon.leagueoflegends.com/cdn/12.22.1/img/item/3803.png"")")</f>
        <v>=Image("https://ddragon.leagueoflegends.com/cdn/12.22.1/img/item/3803.png")</v>
      </c>
      <c r="AO26" s="76" t="b">
        <f ca="1">IFERROR(__xludf.DUMMYFUNCTION("""COMPUTED_VALUE"""),FALSE)</f>
        <v>0</v>
      </c>
    </row>
    <row r="27" spans="1:41">
      <c r="A27" s="644" t="str">
        <f ca="1">IFERROR(__xludf.DUMMYFUNCTION("""COMPUTED_VALUE"""),"Caulfield's Warhammer")</f>
        <v>Caulfield's Warhammer</v>
      </c>
      <c r="B27" s="84" t="str">
        <f ca="1">IFERROR(__xludf.DUMMYFUNCTION("""COMPUTED_VALUE"""),"=1100")</f>
        <v>=1100</v>
      </c>
      <c r="C27" s="84"/>
      <c r="D27" s="84"/>
      <c r="E27" s="84"/>
      <c r="F27" s="84"/>
      <c r="G27" s="84" t="str">
        <f ca="1">IFERROR(__xludf.DUMMYFUNCTION("""COMPUTED_VALUE"""),"=25")</f>
        <v>=25</v>
      </c>
      <c r="H27" s="84"/>
      <c r="I27" s="84"/>
      <c r="J27" s="84"/>
      <c r="K27" s="646"/>
      <c r="L27" s="72"/>
      <c r="M27" s="72" t="str">
        <f ca="1">IFERROR(__xludf.DUMMYFUNCTION("""COMPUTED_VALUE"""),"=10")</f>
        <v>=10</v>
      </c>
      <c r="N27" s="72"/>
      <c r="O27" s="72"/>
      <c r="P27" s="72"/>
      <c r="Q27" s="72"/>
      <c r="R27" s="72"/>
      <c r="S27" s="72"/>
      <c r="T27" s="72"/>
      <c r="U27" s="72"/>
      <c r="V27" s="72"/>
      <c r="W27" s="72"/>
      <c r="X27" s="72"/>
      <c r="Y27" s="72"/>
      <c r="Z27" s="72"/>
      <c r="AA27" s="72"/>
      <c r="AB27" s="72"/>
      <c r="AC27" s="72"/>
      <c r="AD27" s="72"/>
      <c r="AE27" s="72"/>
      <c r="AF27" s="72"/>
      <c r="AG27" s="72"/>
      <c r="AH27" s="72"/>
      <c r="AI27" s="72" t="str">
        <f ca="1">IFERROR(__xludf.DUMMYFUNCTION("""COMPUTED_VALUE"""),"=IF($AO$2=1;COUNTIF(Interface!$C$22:$C$27;$A27);0)")</f>
        <v>=IF($AO$2=1;COUNTIF(Interface!$C$22:$C$27;$A27);0)</v>
      </c>
      <c r="AJ27" s="72" t="str">
        <f ca="1">IFERROR(__xludf.DUMMYFUNCTION("""COMPUTED_VALUE"""),"=IF($AO$2=2;COUNTIF(Interface!$C$30:$C$35;$A27);0)")</f>
        <v>=IF($AO$2=2;COUNTIF(Interface!$C$30:$C$35;$A27);0)</v>
      </c>
      <c r="AK27" s="72"/>
      <c r="AL27" s="72"/>
      <c r="AM27" s="72" t="str">
        <f ca="1">IFERROR(__xludf.DUMMYFUNCTION("""COMPUTED_VALUE"""),"=COUNTIF(Interface!$O$18:$O$23;$A27)")</f>
        <v>=COUNTIF(Interface!$O$18:$O$23;$A27)</v>
      </c>
      <c r="AN27" s="72" t="str">
        <f ca="1">IFERROR(__xludf.DUMMYFUNCTION("""COMPUTED_VALUE"""),"=Image(""https://ddragon.leagueoflegends.com/cdn/12.22.1/img/item/3133.png"")")</f>
        <v>=Image("https://ddragon.leagueoflegends.com/cdn/12.22.1/img/item/3133.png")</v>
      </c>
      <c r="AO27" s="72" t="b">
        <f ca="1">IFERROR(__xludf.DUMMYFUNCTION("""COMPUTED_VALUE"""),FALSE)</f>
        <v>0</v>
      </c>
    </row>
    <row r="28" spans="1:41">
      <c r="A28" s="643" t="str">
        <f ca="1">IFERROR(__xludf.DUMMYFUNCTION("""COMPUTED_VALUE"""),"Chain Vest")</f>
        <v>Chain Vest</v>
      </c>
      <c r="B28" s="78" t="str">
        <f ca="1">IFERROR(__xludf.DUMMYFUNCTION("""COMPUTED_VALUE"""),"=800")</f>
        <v>=800</v>
      </c>
      <c r="C28" s="78"/>
      <c r="D28" s="78"/>
      <c r="E28" s="78"/>
      <c r="F28" s="78"/>
      <c r="G28" s="645"/>
      <c r="H28" s="645"/>
      <c r="I28" s="78" t="str">
        <f ca="1">IFERROR(__xludf.DUMMYFUNCTION("""COMPUTED_VALUE"""),"=40")</f>
        <v>=40</v>
      </c>
      <c r="J28" s="645"/>
      <c r="K28" s="78"/>
      <c r="L28" s="76"/>
      <c r="M28" s="76"/>
      <c r="N28" s="76"/>
      <c r="O28" s="76"/>
      <c r="P28" s="76"/>
      <c r="Q28" s="76"/>
      <c r="R28" s="76"/>
      <c r="S28" s="76"/>
      <c r="T28" s="76"/>
      <c r="U28" s="76"/>
      <c r="V28" s="76"/>
      <c r="W28" s="76"/>
      <c r="X28" s="76"/>
      <c r="Y28" s="76"/>
      <c r="Z28" s="76"/>
      <c r="AA28" s="76"/>
      <c r="AB28" s="76"/>
      <c r="AC28" s="76"/>
      <c r="AD28" s="76"/>
      <c r="AE28" s="76"/>
      <c r="AF28" s="76"/>
      <c r="AG28" s="76"/>
      <c r="AH28" s="76"/>
      <c r="AI28" s="76" t="str">
        <f ca="1">IFERROR(__xludf.DUMMYFUNCTION("""COMPUTED_VALUE"""),"=IF($AO$2=1;COUNTIF(Interface!$C$22:$C$27;$A28);0)")</f>
        <v>=IF($AO$2=1;COUNTIF(Interface!$C$22:$C$27;$A28);0)</v>
      </c>
      <c r="AJ28" s="76" t="str">
        <f ca="1">IFERROR(__xludf.DUMMYFUNCTION("""COMPUTED_VALUE"""),"=IF($AO$2=2;COUNTIF(Interface!$C$30:$C$35;$A28);0)")</f>
        <v>=IF($AO$2=2;COUNTIF(Interface!$C$30:$C$35;$A28);0)</v>
      </c>
      <c r="AK28" s="76"/>
      <c r="AL28" s="76"/>
      <c r="AM28" s="76" t="str">
        <f ca="1">IFERROR(__xludf.DUMMYFUNCTION("""COMPUTED_VALUE"""),"=COUNTIF(Interface!$O$18:$O$23;$A28)")</f>
        <v>=COUNTIF(Interface!$O$18:$O$23;$A28)</v>
      </c>
      <c r="AN28" s="76" t="str">
        <f ca="1">IFERROR(__xludf.DUMMYFUNCTION("""COMPUTED_VALUE"""),"=Image(""https://ddragon.leagueoflegends.com/cdn/12.22.1/img/item/1031.png"")")</f>
        <v>=Image("https://ddragon.leagueoflegends.com/cdn/12.22.1/img/item/1031.png")</v>
      </c>
      <c r="AO28" s="76" t="b">
        <f ca="1">IFERROR(__xludf.DUMMYFUNCTION("""COMPUTED_VALUE"""),FALSE)</f>
        <v>0</v>
      </c>
    </row>
    <row r="29" spans="1:41">
      <c r="A29" s="644" t="str">
        <f ca="1">IFERROR(__xludf.DUMMYFUNCTION("""COMPUTED_VALUE"""),"Chalice of Blessing")</f>
        <v>Chalice of Blessing</v>
      </c>
      <c r="B29" s="84" t="str">
        <f ca="1">IFERROR(__xludf.DUMMYFUNCTION("""COMPUTED_VALUE"""),"=900")</f>
        <v>=900</v>
      </c>
      <c r="C29" s="84" t="str">
        <f ca="1">IFERROR(__xludf.DUMMYFUNCTION("""COMPUTED_VALUE"""),"=200")</f>
        <v>=200</v>
      </c>
      <c r="D29" s="84" t="str">
        <f ca="1">IFERROR(__xludf.DUMMYFUNCTION("""COMPUTED_VALUE"""),"=IT_MPR")</f>
        <v>=IT_MPR</v>
      </c>
      <c r="E29" s="84"/>
      <c r="F29" s="84" t="str">
        <f ca="1">IFERROR(__xludf.DUMMYFUNCTION("""COMPUTED_VALUE"""),"=0,5")</f>
        <v>=0,5</v>
      </c>
      <c r="G29" s="646"/>
      <c r="H29" s="84"/>
      <c r="I29" s="646"/>
      <c r="J29" s="84"/>
      <c r="K29" s="84"/>
      <c r="L29" s="72"/>
      <c r="M29" s="72"/>
      <c r="N29" s="72"/>
      <c r="O29" s="72"/>
      <c r="P29" s="72"/>
      <c r="Q29" s="72"/>
      <c r="R29" s="72"/>
      <c r="S29" s="72"/>
      <c r="T29" s="72"/>
      <c r="U29" s="72"/>
      <c r="V29" s="72"/>
      <c r="W29" s="72"/>
      <c r="X29" s="72"/>
      <c r="Y29" s="72"/>
      <c r="Z29" s="72"/>
      <c r="AA29" s="72"/>
      <c r="AB29" s="72"/>
      <c r="AC29" s="72"/>
      <c r="AD29" s="72"/>
      <c r="AE29" s="72"/>
      <c r="AF29" s="72"/>
      <c r="AG29" s="72"/>
      <c r="AH29" s="72"/>
      <c r="AI29" s="72" t="str">
        <f ca="1">IFERROR(__xludf.DUMMYFUNCTION("""COMPUTED_VALUE"""),"=IF($AO$2=1;COUNTIF(Interface!$C$22:$C$27;$A29);0)")</f>
        <v>=IF($AO$2=1;COUNTIF(Interface!$C$22:$C$27;$A29);0)</v>
      </c>
      <c r="AJ29" s="72" t="str">
        <f ca="1">IFERROR(__xludf.DUMMYFUNCTION("""COMPUTED_VALUE"""),"=IF($AO$2=2;COUNTIF(Interface!$C$30:$C$35;$A29);0)")</f>
        <v>=IF($AO$2=2;COUNTIF(Interface!$C$30:$C$35;$A29);0)</v>
      </c>
      <c r="AK29" s="72"/>
      <c r="AL29" s="72"/>
      <c r="AM29" s="72" t="str">
        <f ca="1">IFERROR(__xludf.DUMMYFUNCTION("""COMPUTED_VALUE"""),"=COUNTIF(Interface!$O$18:$O$23;$A29)")</f>
        <v>=COUNTIF(Interface!$O$18:$O$23;$A29)</v>
      </c>
      <c r="AN29" s="72"/>
      <c r="AO29" s="72" t="b">
        <f ca="1">IFERROR(__xludf.DUMMYFUNCTION("""COMPUTED_VALUE"""),FALSE)</f>
        <v>0</v>
      </c>
    </row>
    <row r="30" spans="1:41">
      <c r="A30" s="643" t="str">
        <f ca="1">IFERROR(__xludf.DUMMYFUNCTION("""COMPUTED_VALUE"""),"Chempunk Chainsword")</f>
        <v>Chempunk Chainsword</v>
      </c>
      <c r="B30" s="78" t="str">
        <f ca="1">IFERROR(__xludf.DUMMYFUNCTION("""COMPUTED_VALUE"""),"=2800")</f>
        <v>=2800</v>
      </c>
      <c r="C30" s="78" t="str">
        <f ca="1">IFERROR(__xludf.DUMMYFUNCTION("""COMPUTED_VALUE"""),"=250")</f>
        <v>=250</v>
      </c>
      <c r="D30" s="78"/>
      <c r="E30" s="78"/>
      <c r="F30" s="78"/>
      <c r="G30" s="78" t="str">
        <f ca="1">IFERROR(__xludf.DUMMYFUNCTION("""COMPUTED_VALUE"""),"=50")</f>
        <v>=50</v>
      </c>
      <c r="H30" s="645"/>
      <c r="I30" s="78"/>
      <c r="J30" s="645"/>
      <c r="K30" s="78"/>
      <c r="L30" s="76"/>
      <c r="M30" s="76" t="str">
        <f ca="1">IFERROR(__xludf.DUMMYFUNCTION("""COMPUTED_VALUE"""),"=25")</f>
        <v>=25</v>
      </c>
      <c r="N30" s="76"/>
      <c r="O30" s="76"/>
      <c r="P30" s="76"/>
      <c r="Q30" s="76"/>
      <c r="R30" s="76"/>
      <c r="S30" s="76"/>
      <c r="T30" s="76"/>
      <c r="U30" s="76"/>
      <c r="V30" s="76"/>
      <c r="W30" s="76"/>
      <c r="X30" s="76"/>
      <c r="Y30" s="76"/>
      <c r="Z30" s="76"/>
      <c r="AA30" s="76"/>
      <c r="AB30" s="76"/>
      <c r="AC30" s="76"/>
      <c r="AD30" s="76"/>
      <c r="AE30" s="76"/>
      <c r="AF30" s="76"/>
      <c r="AG30" s="76"/>
      <c r="AH30" s="76"/>
      <c r="AI30" s="76" t="str">
        <f ca="1">IFERROR(__xludf.DUMMYFUNCTION("""COMPUTED_VALUE"""),"=IF($AO$2=1;COUNTIF(Interface!$C$22:$C$27;$A30);0)")</f>
        <v>=IF($AO$2=1;COUNTIF(Interface!$C$22:$C$27;$A30);0)</v>
      </c>
      <c r="AJ30" s="76" t="str">
        <f ca="1">IFERROR(__xludf.DUMMYFUNCTION("""COMPUTED_VALUE"""),"=IF($AO$2=2;COUNTIF(Interface!$C$30:$C$35;$A30);0)")</f>
        <v>=IF($AO$2=2;COUNTIF(Interface!$C$30:$C$35;$A30);0)</v>
      </c>
      <c r="AK30" s="76"/>
      <c r="AL30" s="76"/>
      <c r="AM30" s="76" t="str">
        <f ca="1">IFERROR(__xludf.DUMMYFUNCTION("""COMPUTED_VALUE"""),"=COUNTIF(Interface!$O$18:$O$23;$A30)")</f>
        <v>=COUNTIF(Interface!$O$18:$O$23;$A30)</v>
      </c>
      <c r="AN30" s="76" t="str">
        <f ca="1">IFERROR(__xludf.DUMMYFUNCTION("""COMPUTED_VALUE"""),"=Image(""https://ddragon.leagueoflegends.com/cdn/12.22.1/img/item/6609.png"")")</f>
        <v>=Image("https://ddragon.leagueoflegends.com/cdn/12.22.1/img/item/6609.png")</v>
      </c>
      <c r="AO30" s="76" t="b">
        <f ca="1">IFERROR(__xludf.DUMMYFUNCTION("""COMPUTED_VALUE"""),TRUE)</f>
        <v>1</v>
      </c>
    </row>
    <row r="31" spans="1:41">
      <c r="A31" s="644" t="str">
        <f ca="1">IFERROR(__xludf.DUMMYFUNCTION("""COMPUTED_VALUE"""),"Chemtech Putrifier")</f>
        <v>Chemtech Putrifier</v>
      </c>
      <c r="B31" s="84" t="str">
        <f ca="1">IFERROR(__xludf.DUMMYFUNCTION("""COMPUTED_VALUE"""),"=2100")</f>
        <v>=2100</v>
      </c>
      <c r="C31" s="84"/>
      <c r="D31" s="84"/>
      <c r="E31" s="84"/>
      <c r="F31" s="84" t="str">
        <f ca="1">IFERROR(__xludf.DUMMYFUNCTION("""COMPUTED_VALUE"""),"=0,75")</f>
        <v>=0,75</v>
      </c>
      <c r="G31" s="84"/>
      <c r="H31" s="84" t="str">
        <f ca="1">IFERROR(__xludf.DUMMYFUNCTION("""COMPUTED_VALUE"""),"=35")</f>
        <v>=35</v>
      </c>
      <c r="I31" s="84"/>
      <c r="J31" s="84"/>
      <c r="K31" s="84"/>
      <c r="L31" s="72"/>
      <c r="M31" s="72" t="str">
        <f ca="1">IFERROR(__xludf.DUMMYFUNCTION("""COMPUTED_VALUE"""),"=15")</f>
        <v>=15</v>
      </c>
      <c r="N31" s="72"/>
      <c r="O31" s="72"/>
      <c r="P31" s="72"/>
      <c r="Q31" s="72"/>
      <c r="R31" s="72"/>
      <c r="S31" s="72" t="str">
        <f ca="1">IFERROR(__xludf.DUMMYFUNCTION("""COMPUTED_VALUE"""),"=10")</f>
        <v>=10</v>
      </c>
      <c r="T31" s="72"/>
      <c r="U31" s="72"/>
      <c r="V31" s="72"/>
      <c r="W31" s="72"/>
      <c r="X31" s="72"/>
      <c r="Y31" s="72"/>
      <c r="Z31" s="72"/>
      <c r="AA31" s="72"/>
      <c r="AB31" s="72"/>
      <c r="AC31" s="72"/>
      <c r="AD31" s="72"/>
      <c r="AE31" s="72"/>
      <c r="AF31" s="72"/>
      <c r="AG31" s="72"/>
      <c r="AH31" s="72"/>
      <c r="AI31" s="72" t="str">
        <f ca="1">IFERROR(__xludf.DUMMYFUNCTION("""COMPUTED_VALUE"""),"=IF($AO$2=1;COUNTIF(Interface!$C$22:$C$27;$A31);0)")</f>
        <v>=IF($AO$2=1;COUNTIF(Interface!$C$22:$C$27;$A31);0)</v>
      </c>
      <c r="AJ31" s="72" t="str">
        <f ca="1">IFERROR(__xludf.DUMMYFUNCTION("""COMPUTED_VALUE"""),"=IF($AO$2=2;COUNTIF(Interface!$C$30:$C$35;$A31);0)")</f>
        <v>=IF($AO$2=2;COUNTIF(Interface!$C$30:$C$35;$A31);0)</v>
      </c>
      <c r="AK31" s="72"/>
      <c r="AL31" s="72"/>
      <c r="AM31" s="72" t="str">
        <f ca="1">IFERROR(__xludf.DUMMYFUNCTION("""COMPUTED_VALUE"""),"=COUNTIF(Interface!$O$18:$O$23;$A31)")</f>
        <v>=COUNTIF(Interface!$O$18:$O$23;$A31)</v>
      </c>
      <c r="AN31" s="72" t="str">
        <f ca="1">IFERROR(__xludf.DUMMYFUNCTION("""COMPUTED_VALUE"""),"=Image(""https://ddragon.leagueoflegends.com/cdn/12.22.1/img/item/3011.png"")")</f>
        <v>=Image("https://ddragon.leagueoflegends.com/cdn/12.22.1/img/item/3011.png")</v>
      </c>
      <c r="AO31" s="72" t="b">
        <f ca="1">IFERROR(__xludf.DUMMYFUNCTION("""COMPUTED_VALUE"""),TRUE)</f>
        <v>1</v>
      </c>
    </row>
    <row r="32" spans="1:41">
      <c r="A32" s="643" t="str">
        <f ca="1">IFERROR(__xludf.DUMMYFUNCTION("""COMPUTED_VALUE"""),"Cloak of Agility")</f>
        <v>Cloak of Agility</v>
      </c>
      <c r="B32" s="78" t="str">
        <f ca="1">IFERROR(__xludf.DUMMYFUNCTION("""COMPUTED_VALUE"""),"=600")</f>
        <v>=600</v>
      </c>
      <c r="C32" s="78"/>
      <c r="D32" s="78"/>
      <c r="E32" s="78"/>
      <c r="F32" s="78"/>
      <c r="G32" s="78"/>
      <c r="H32" s="78"/>
      <c r="I32" s="78"/>
      <c r="J32" s="78"/>
      <c r="K32" s="78"/>
      <c r="L32" s="76" t="str">
        <f ca="1">IFERROR(__xludf.DUMMYFUNCTION("""COMPUTED_VALUE"""),"=15")</f>
        <v>=15</v>
      </c>
      <c r="M32" s="76"/>
      <c r="N32" s="76"/>
      <c r="O32" s="76"/>
      <c r="P32" s="76"/>
      <c r="Q32" s="76"/>
      <c r="R32" s="76"/>
      <c r="S32" s="76"/>
      <c r="T32" s="76"/>
      <c r="U32" s="76"/>
      <c r="V32" s="76"/>
      <c r="W32" s="76"/>
      <c r="X32" s="76"/>
      <c r="Y32" s="76"/>
      <c r="Z32" s="76"/>
      <c r="AA32" s="76"/>
      <c r="AB32" s="76"/>
      <c r="AC32" s="76"/>
      <c r="AD32" s="76"/>
      <c r="AE32" s="76"/>
      <c r="AF32" s="76"/>
      <c r="AG32" s="76"/>
      <c r="AH32" s="76"/>
      <c r="AI32" s="76" t="str">
        <f ca="1">IFERROR(__xludf.DUMMYFUNCTION("""COMPUTED_VALUE"""),"=IF($AO$2=1;COUNTIF(Interface!$C$22:$C$27;$A32);0)")</f>
        <v>=IF($AO$2=1;COUNTIF(Interface!$C$22:$C$27;$A32);0)</v>
      </c>
      <c r="AJ32" s="76" t="str">
        <f ca="1">IFERROR(__xludf.DUMMYFUNCTION("""COMPUTED_VALUE"""),"=IF($AO$2=2;COUNTIF(Interface!$C$30:$C$35;$A32);0)")</f>
        <v>=IF($AO$2=2;COUNTIF(Interface!$C$30:$C$35;$A32);0)</v>
      </c>
      <c r="AK32" s="76"/>
      <c r="AL32" s="76"/>
      <c r="AM32" s="76" t="str">
        <f ca="1">IFERROR(__xludf.DUMMYFUNCTION("""COMPUTED_VALUE"""),"=COUNTIF(Interface!$O$18:$O$23;$A32)")</f>
        <v>=COUNTIF(Interface!$O$18:$O$23;$A32)</v>
      </c>
      <c r="AN32" s="76" t="str">
        <f ca="1">IFERROR(__xludf.DUMMYFUNCTION("""COMPUTED_VALUE"""),"=Image(""https://ddragon.leagueoflegends.com/cdn/12.22.1/img/item/1018.png"")")</f>
        <v>=Image("https://ddragon.leagueoflegends.com/cdn/12.22.1/img/item/1018.png")</v>
      </c>
      <c r="AO32" s="76" t="b">
        <f ca="1">IFERROR(__xludf.DUMMYFUNCTION("""COMPUTED_VALUE"""),FALSE)</f>
        <v>0</v>
      </c>
    </row>
    <row r="33" spans="1:41">
      <c r="A33" s="644" t="str">
        <f ca="1">IFERROR(__xludf.DUMMYFUNCTION("""COMPUTED_VALUE"""),"Cloth Armor")</f>
        <v>Cloth Armor</v>
      </c>
      <c r="B33" s="84" t="str">
        <f ca="1">IFERROR(__xludf.DUMMYFUNCTION("""COMPUTED_VALUE"""),"=300")</f>
        <v>=300</v>
      </c>
      <c r="C33" s="84"/>
      <c r="D33" s="84"/>
      <c r="E33" s="84"/>
      <c r="F33" s="84"/>
      <c r="G33" s="84"/>
      <c r="H33" s="84"/>
      <c r="I33" s="84" t="str">
        <f ca="1">IFERROR(__xludf.DUMMYFUNCTION("""COMPUTED_VALUE"""),"=15")</f>
        <v>=15</v>
      </c>
      <c r="J33" s="84"/>
      <c r="K33" s="84"/>
      <c r="L33" s="72"/>
      <c r="M33" s="72"/>
      <c r="N33" s="72"/>
      <c r="O33" s="72"/>
      <c r="P33" s="72"/>
      <c r="Q33" s="72"/>
      <c r="R33" s="72"/>
      <c r="S33" s="72"/>
      <c r="T33" s="72"/>
      <c r="U33" s="72"/>
      <c r="V33" s="72"/>
      <c r="W33" s="72"/>
      <c r="X33" s="72"/>
      <c r="Y33" s="72"/>
      <c r="Z33" s="72"/>
      <c r="AA33" s="72"/>
      <c r="AB33" s="72"/>
      <c r="AC33" s="72"/>
      <c r="AD33" s="72"/>
      <c r="AE33" s="72"/>
      <c r="AF33" s="72"/>
      <c r="AG33" s="72"/>
      <c r="AH33" s="72"/>
      <c r="AI33" s="72" t="str">
        <f ca="1">IFERROR(__xludf.DUMMYFUNCTION("""COMPUTED_VALUE"""),"=IF($AO$2=1;COUNTIF(Interface!$C$22:$C$27;$A33);0)")</f>
        <v>=IF($AO$2=1;COUNTIF(Interface!$C$22:$C$27;$A33);0)</v>
      </c>
      <c r="AJ33" s="72" t="str">
        <f ca="1">IFERROR(__xludf.DUMMYFUNCTION("""COMPUTED_VALUE"""),"=IF($AO$2=2;COUNTIF(Interface!$C$30:$C$35;$A33);0)")</f>
        <v>=IF($AO$2=2;COUNTIF(Interface!$C$30:$C$35;$A33);0)</v>
      </c>
      <c r="AK33" s="72"/>
      <c r="AL33" s="72"/>
      <c r="AM33" s="72" t="str">
        <f ca="1">IFERROR(__xludf.DUMMYFUNCTION("""COMPUTED_VALUE"""),"=COUNTIF(Interface!$O$18:$O$23;$A33)")</f>
        <v>=COUNTIF(Interface!$O$18:$O$23;$A33)</v>
      </c>
      <c r="AN33" s="72" t="str">
        <f ca="1">IFERROR(__xludf.DUMMYFUNCTION("""COMPUTED_VALUE"""),"=Image(""https://ddragon.leagueoflegends.com/cdn/12.22.1/img/item/1029.png"")")</f>
        <v>=Image("https://ddragon.leagueoflegends.com/cdn/12.22.1/img/item/1029.png")</v>
      </c>
      <c r="AO33" s="72" t="b">
        <f ca="1">IFERROR(__xludf.DUMMYFUNCTION("""COMPUTED_VALUE"""),FALSE)</f>
        <v>0</v>
      </c>
    </row>
    <row r="34" spans="1:41">
      <c r="A34" s="643" t="str">
        <f ca="1">IFERROR(__xludf.DUMMYFUNCTION("""COMPUTED_VALUE"""),"Cosmic Drive")</f>
        <v>Cosmic Drive</v>
      </c>
      <c r="B34" s="78" t="str">
        <f ca="1">IFERROR(__xludf.DUMMYFUNCTION("""COMPUTED_VALUE"""),"=3000")</f>
        <v>=3000</v>
      </c>
      <c r="C34" s="78"/>
      <c r="D34" s="78"/>
      <c r="E34" s="78"/>
      <c r="F34" s="78"/>
      <c r="G34" s="78"/>
      <c r="H34" s="78" t="str">
        <f ca="1">IFERROR(__xludf.DUMMYFUNCTION("""COMPUTED_VALUE"""),"=100")</f>
        <v>=100</v>
      </c>
      <c r="I34" s="78"/>
      <c r="J34" s="78"/>
      <c r="K34" s="645"/>
      <c r="L34" s="76"/>
      <c r="M34" s="76" t="str">
        <f ca="1">IFERROR(__xludf.DUMMYFUNCTION("""COMPUTED_VALUE"""),"=30")</f>
        <v>=30</v>
      </c>
      <c r="N34" s="76"/>
      <c r="O34" s="76"/>
      <c r="P34" s="76"/>
      <c r="Q34" s="76"/>
      <c r="R34" s="76" t="str">
        <f ca="1">IFERROR(__xludf.DUMMYFUNCTION("""COMPUTED_VALUE"""),"=IF(Steroid_Items; 20; 0)")</f>
        <v>=IF(Steroid_Items; 20; 0)</v>
      </c>
      <c r="S34" s="76"/>
      <c r="T34" s="76"/>
      <c r="U34" s="76"/>
      <c r="V34" s="76"/>
      <c r="W34" s="76"/>
      <c r="X34" s="76"/>
      <c r="Y34" s="76"/>
      <c r="Z34" s="76"/>
      <c r="AA34" s="76"/>
      <c r="AB34" s="76"/>
      <c r="AC34" s="76"/>
      <c r="AD34" s="76"/>
      <c r="AE34" s="76"/>
      <c r="AF34" s="76"/>
      <c r="AG34" s="76"/>
      <c r="AH34" s="76"/>
      <c r="AI34" s="76" t="str">
        <f ca="1">IFERROR(__xludf.DUMMYFUNCTION("""COMPUTED_VALUE"""),"=IF($AO$2=1;COUNTIF(Interface!$C$22:$C$27;$A34);0)")</f>
        <v>=IF($AO$2=1;COUNTIF(Interface!$C$22:$C$27;$A34);0)</v>
      </c>
      <c r="AJ34" s="76" t="str">
        <f ca="1">IFERROR(__xludf.DUMMYFUNCTION("""COMPUTED_VALUE"""),"=IF($AO$2=2;COUNTIF(Interface!$C$30:$C$35;$A34);0)")</f>
        <v>=IF($AO$2=2;COUNTIF(Interface!$C$30:$C$35;$A34);0)</v>
      </c>
      <c r="AK34" s="76"/>
      <c r="AL34" s="76"/>
      <c r="AM34" s="76" t="str">
        <f ca="1">IFERROR(__xludf.DUMMYFUNCTION("""COMPUTED_VALUE"""),"=COUNTIF(Interface!$O$18:$O$23;$A34)")</f>
        <v>=COUNTIF(Interface!$O$18:$O$23;$A34)</v>
      </c>
      <c r="AN34" s="76" t="str">
        <f ca="1">IFERROR(__xludf.DUMMYFUNCTION("""COMPUTED_VALUE"""),"=Image(""https://ddragon.leagueoflegends.com/cdn/12.22.1/img/item/4629.png"")")</f>
        <v>=Image("https://ddragon.leagueoflegends.com/cdn/12.22.1/img/item/4629.png")</v>
      </c>
      <c r="AO34" s="76" t="b">
        <f ca="1">IFERROR(__xludf.DUMMYFUNCTION("""COMPUTED_VALUE"""),TRUE)</f>
        <v>1</v>
      </c>
    </row>
    <row r="35" spans="1:41">
      <c r="A35" s="644" t="str">
        <f ca="1">IFERROR(__xludf.DUMMYFUNCTION("""COMPUTED_VALUE"""),"Crystalline Bracer")</f>
        <v>Crystalline Bracer</v>
      </c>
      <c r="B35" s="84" t="str">
        <f ca="1">IFERROR(__xludf.DUMMYFUNCTION("""COMPUTED_VALUE"""),"=800")</f>
        <v>=800</v>
      </c>
      <c r="C35" s="84" t="str">
        <f ca="1">IFERROR(__xludf.DUMMYFUNCTION("""COMPUTED_VALUE"""),"=200")</f>
        <v>=200</v>
      </c>
      <c r="D35" s="84" t="str">
        <f ca="1">IFERROR(__xludf.DUMMYFUNCTION("""COMPUTED_VALUE"""),"=1")</f>
        <v>=1</v>
      </c>
      <c r="E35" s="84"/>
      <c r="F35" s="84"/>
      <c r="G35" s="646"/>
      <c r="H35" s="84"/>
      <c r="I35" s="84"/>
      <c r="J35" s="84"/>
      <c r="K35" s="84"/>
      <c r="L35" s="72"/>
      <c r="M35" s="72"/>
      <c r="N35" s="72"/>
      <c r="O35" s="72"/>
      <c r="P35" s="72"/>
      <c r="Q35" s="72"/>
      <c r="R35" s="72"/>
      <c r="S35" s="72"/>
      <c r="T35" s="72"/>
      <c r="U35" s="72"/>
      <c r="V35" s="72"/>
      <c r="W35" s="72"/>
      <c r="X35" s="72"/>
      <c r="Y35" s="72"/>
      <c r="Z35" s="72"/>
      <c r="AA35" s="72"/>
      <c r="AB35" s="72"/>
      <c r="AC35" s="72"/>
      <c r="AD35" s="72"/>
      <c r="AE35" s="72"/>
      <c r="AF35" s="72"/>
      <c r="AG35" s="72"/>
      <c r="AH35" s="72"/>
      <c r="AI35" s="72" t="str">
        <f ca="1">IFERROR(__xludf.DUMMYFUNCTION("""COMPUTED_VALUE"""),"=IF($AO$2=1;COUNTIF(Interface!$C$22:$C$27;$A35);0)")</f>
        <v>=IF($AO$2=1;COUNTIF(Interface!$C$22:$C$27;$A35);0)</v>
      </c>
      <c r="AJ35" s="72" t="str">
        <f ca="1">IFERROR(__xludf.DUMMYFUNCTION("""COMPUTED_VALUE"""),"=IF($AO$2=2;COUNTIF(Interface!$C$30:$C$35;$A35);0)")</f>
        <v>=IF($AO$2=2;COUNTIF(Interface!$C$30:$C$35;$A35);0)</v>
      </c>
      <c r="AK35" s="72"/>
      <c r="AL35" s="72"/>
      <c r="AM35" s="72" t="str">
        <f ca="1">IFERROR(__xludf.DUMMYFUNCTION("""COMPUTED_VALUE"""),"=COUNTIF(Interface!$O$18:$O$23;$A35)")</f>
        <v>=COUNTIF(Interface!$O$18:$O$23;$A35)</v>
      </c>
      <c r="AN35" s="72" t="str">
        <f ca="1">IFERROR(__xludf.DUMMYFUNCTION("""COMPUTED_VALUE"""),"=Image(""https://ddragon.leagueoflegends.com/cdn/12.22.1/img/item/3801.png"")")</f>
        <v>=Image("https://ddragon.leagueoflegends.com/cdn/12.22.1/img/item/3801.png")</v>
      </c>
      <c r="AO35" s="72" t="b">
        <f ca="1">IFERROR(__xludf.DUMMYFUNCTION("""COMPUTED_VALUE"""),FALSE)</f>
        <v>0</v>
      </c>
    </row>
    <row r="36" spans="1:41">
      <c r="A36" s="643" t="str">
        <f ca="1">IFERROR(__xludf.DUMMYFUNCTION("""COMPUTED_VALUE"""),"Cull")</f>
        <v>Cull</v>
      </c>
      <c r="B36" s="78" t="str">
        <f ca="1">IFERROR(__xludf.DUMMYFUNCTION("""COMPUTED_VALUE"""),"=450")</f>
        <v>=450</v>
      </c>
      <c r="C36" s="78"/>
      <c r="D36" s="78"/>
      <c r="E36" s="78"/>
      <c r="F36" s="78"/>
      <c r="G36" s="645" t="str">
        <f ca="1">IFERROR(__xludf.DUMMYFUNCTION("""COMPUTED_VALUE"""),"=7")</f>
        <v>=7</v>
      </c>
      <c r="H36" s="78"/>
      <c r="I36" s="645"/>
      <c r="J36" s="78"/>
      <c r="K36" s="78"/>
      <c r="L36" s="76"/>
      <c r="M36" s="76"/>
      <c r="N36" s="76"/>
      <c r="O36" s="76"/>
      <c r="P36" s="76"/>
      <c r="Q36" s="76"/>
      <c r="R36" s="76"/>
      <c r="S36" s="76"/>
      <c r="T36" s="76"/>
      <c r="U36" s="76"/>
      <c r="V36" s="76"/>
      <c r="W36" s="76"/>
      <c r="X36" s="76"/>
      <c r="Y36" s="76"/>
      <c r="Z36" s="76"/>
      <c r="AA36" s="76"/>
      <c r="AB36" s="76"/>
      <c r="AC36" s="76"/>
      <c r="AD36" s="76"/>
      <c r="AE36" s="76"/>
      <c r="AF36" s="76"/>
      <c r="AG36" s="76"/>
      <c r="AH36" s="76"/>
      <c r="AI36" s="76" t="str">
        <f ca="1">IFERROR(__xludf.DUMMYFUNCTION("""COMPUTED_VALUE"""),"=IF($AO$2=1;COUNTIF(Interface!$C$22:$C$27;$A36);0)")</f>
        <v>=IF($AO$2=1;COUNTIF(Interface!$C$22:$C$27;$A36);0)</v>
      </c>
      <c r="AJ36" s="76" t="str">
        <f ca="1">IFERROR(__xludf.DUMMYFUNCTION("""COMPUTED_VALUE"""),"=IF($AO$2=2;COUNTIF(Interface!$C$30:$C$35;$A36);0)")</f>
        <v>=IF($AO$2=2;COUNTIF(Interface!$C$30:$C$35;$A36);0)</v>
      </c>
      <c r="AK36" s="76"/>
      <c r="AL36" s="76"/>
      <c r="AM36" s="76" t="str">
        <f ca="1">IFERROR(__xludf.DUMMYFUNCTION("""COMPUTED_VALUE"""),"=COUNTIF(Interface!$O$18:$O$23;$A36)")</f>
        <v>=COUNTIF(Interface!$O$18:$O$23;$A36)</v>
      </c>
      <c r="AN36" s="76" t="str">
        <f ca="1">IFERROR(__xludf.DUMMYFUNCTION("""COMPUTED_VALUE"""),"=Image(""https://ddragon.leagueoflegends.com/cdn/12.22.1/img/item/1083.png"")")</f>
        <v>=Image("https://ddragon.leagueoflegends.com/cdn/12.22.1/img/item/1083.png")</v>
      </c>
      <c r="AO36" s="76" t="b">
        <f ca="1">IFERROR(__xludf.DUMMYFUNCTION("""COMPUTED_VALUE"""),FALSE)</f>
        <v>0</v>
      </c>
    </row>
    <row r="37" spans="1:41">
      <c r="A37" s="644" t="str">
        <f ca="1">IFERROR(__xludf.DUMMYFUNCTION("""COMPUTED_VALUE"""),"Dagger")</f>
        <v>Dagger</v>
      </c>
      <c r="B37" s="84" t="str">
        <f ca="1">IFERROR(__xludf.DUMMYFUNCTION("""COMPUTED_VALUE"""),"=300")</f>
        <v>=300</v>
      </c>
      <c r="C37" s="84"/>
      <c r="D37" s="84"/>
      <c r="E37" s="84"/>
      <c r="F37" s="84"/>
      <c r="G37" s="84"/>
      <c r="H37" s="84"/>
      <c r="I37" s="84"/>
      <c r="J37" s="84"/>
      <c r="K37" s="84" t="str">
        <f ca="1">IFERROR(__xludf.DUMMYFUNCTION("""COMPUTED_VALUE"""),"=12")</f>
        <v>=12</v>
      </c>
      <c r="L37" s="72"/>
      <c r="M37" s="72"/>
      <c r="N37" s="72"/>
      <c r="O37" s="72"/>
      <c r="P37" s="72"/>
      <c r="Q37" s="72"/>
      <c r="R37" s="72"/>
      <c r="S37" s="72"/>
      <c r="T37" s="72"/>
      <c r="U37" s="72"/>
      <c r="V37" s="72"/>
      <c r="W37" s="72"/>
      <c r="X37" s="72"/>
      <c r="Y37" s="72"/>
      <c r="Z37" s="72"/>
      <c r="AA37" s="72"/>
      <c r="AB37" s="72"/>
      <c r="AC37" s="72"/>
      <c r="AD37" s="72"/>
      <c r="AE37" s="72"/>
      <c r="AF37" s="72"/>
      <c r="AG37" s="72"/>
      <c r="AH37" s="72"/>
      <c r="AI37" s="72" t="str">
        <f ca="1">IFERROR(__xludf.DUMMYFUNCTION("""COMPUTED_VALUE"""),"=IF($AO$2=1;COUNTIF(Interface!$C$22:$C$27;$A37);0)")</f>
        <v>=IF($AO$2=1;COUNTIF(Interface!$C$22:$C$27;$A37);0)</v>
      </c>
      <c r="AJ37" s="72" t="str">
        <f ca="1">IFERROR(__xludf.DUMMYFUNCTION("""COMPUTED_VALUE"""),"=IF($AO$2=2;COUNTIF(Interface!$C$30:$C$35;$A37);0)")</f>
        <v>=IF($AO$2=2;COUNTIF(Interface!$C$30:$C$35;$A37);0)</v>
      </c>
      <c r="AK37" s="72"/>
      <c r="AL37" s="72"/>
      <c r="AM37" s="72" t="str">
        <f ca="1">IFERROR(__xludf.DUMMYFUNCTION("""COMPUTED_VALUE"""),"=COUNTIF(Interface!$O$18:$O$23;$A37)")</f>
        <v>=COUNTIF(Interface!$O$18:$O$23;$A37)</v>
      </c>
      <c r="AN37" s="72" t="str">
        <f ca="1">IFERROR(__xludf.DUMMYFUNCTION("""COMPUTED_VALUE"""),"=Image(""https://ddragon.leagueoflegends.com/cdn/12.22.1/img/item/1042.png"")")</f>
        <v>=Image("https://ddragon.leagueoflegends.com/cdn/12.22.1/img/item/1042.png")</v>
      </c>
      <c r="AO37" s="72" t="b">
        <f ca="1">IFERROR(__xludf.DUMMYFUNCTION("""COMPUTED_VALUE"""),FALSE)</f>
        <v>0</v>
      </c>
    </row>
    <row r="38" spans="1:41">
      <c r="A38" s="643" t="str">
        <f ca="1">IFERROR(__xludf.DUMMYFUNCTION("""COMPUTED_VALUE"""),"Dark Seal")</f>
        <v>Dark Seal</v>
      </c>
      <c r="B38" s="78" t="str">
        <f ca="1">IFERROR(__xludf.DUMMYFUNCTION("""COMPUTED_VALUE"""),"=350")</f>
        <v>=350</v>
      </c>
      <c r="C38" s="78" t="str">
        <f ca="1">IFERROR(__xludf.DUMMYFUNCTION("""COMPUTED_VALUE"""),"=40")</f>
        <v>=40</v>
      </c>
      <c r="D38" s="78"/>
      <c r="E38" s="78"/>
      <c r="F38" s="78"/>
      <c r="G38" s="78"/>
      <c r="H38" s="78" t="str">
        <f ca="1">IFERROR(__xludf.DUMMYFUNCTION("""COMPUTED_VALUE"""),"=15")</f>
        <v>=15</v>
      </c>
      <c r="I38" s="78"/>
      <c r="J38" s="78"/>
      <c r="K38" s="645"/>
      <c r="L38" s="76"/>
      <c r="M38" s="76"/>
      <c r="N38" s="76"/>
      <c r="O38" s="76"/>
      <c r="P38" s="76"/>
      <c r="Q38" s="76"/>
      <c r="R38" s="76"/>
      <c r="S38" s="76"/>
      <c r="T38" s="76"/>
      <c r="U38" s="76"/>
      <c r="V38" s="76"/>
      <c r="W38" s="76"/>
      <c r="X38" s="76"/>
      <c r="Y38" s="76"/>
      <c r="Z38" s="76"/>
      <c r="AA38" s="76"/>
      <c r="AB38" s="76"/>
      <c r="AC38" s="76"/>
      <c r="AD38" s="76"/>
      <c r="AE38" s="76"/>
      <c r="AF38" s="76"/>
      <c r="AG38" s="76"/>
      <c r="AH38" s="76"/>
      <c r="AI38" s="76" t="str">
        <f ca="1">IFERROR(__xludf.DUMMYFUNCTION("""COMPUTED_VALUE"""),"=IF($AO$2=1;COUNTIF(Interface!$C$22:$C$27;$A38);0)")</f>
        <v>=IF($AO$2=1;COUNTIF(Interface!$C$22:$C$27;$A38);0)</v>
      </c>
      <c r="AJ38" s="76" t="str">
        <f ca="1">IFERROR(__xludf.DUMMYFUNCTION("""COMPUTED_VALUE"""),"=IF($AO$2=2;COUNTIF(Interface!$C$30:$C$35;$A38);0)")</f>
        <v>=IF($AO$2=2;COUNTIF(Interface!$C$30:$C$35;$A38);0)</v>
      </c>
      <c r="AK38" s="76"/>
      <c r="AL38" s="76"/>
      <c r="AM38" s="76" t="str">
        <f ca="1">IFERROR(__xludf.DUMMYFUNCTION("""COMPUTED_VALUE"""),"=COUNTIF(Interface!$O$18:$O$23;$A38)")</f>
        <v>=COUNTIF(Interface!$O$18:$O$23;$A38)</v>
      </c>
      <c r="AN38" s="76" t="str">
        <f ca="1">IFERROR(__xludf.DUMMYFUNCTION("""COMPUTED_VALUE"""),"=Image(""https://ddragon.leagueoflegends.com/cdn/12.22.1/img/item/1082.png"")")</f>
        <v>=Image("https://ddragon.leagueoflegends.com/cdn/12.22.1/img/item/1082.png")</v>
      </c>
      <c r="AO38" s="76" t="b">
        <f ca="1">IFERROR(__xludf.DUMMYFUNCTION("""COMPUTED_VALUE"""),FALSE)</f>
        <v>0</v>
      </c>
    </row>
    <row r="39" spans="1:41">
      <c r="A39" s="644" t="str">
        <f ca="1">IFERROR(__xludf.DUMMYFUNCTION("""COMPUTED_VALUE"""),"Dead Man's Plate")</f>
        <v>Dead Man's Plate</v>
      </c>
      <c r="B39" s="84" t="str">
        <f ca="1">IFERROR(__xludf.DUMMYFUNCTION("""COMPUTED_VALUE"""),"=2900")</f>
        <v>=2900</v>
      </c>
      <c r="C39" s="84" t="str">
        <f ca="1">IFERROR(__xludf.DUMMYFUNCTION("""COMPUTED_VALUE"""),"=300")</f>
        <v>=300</v>
      </c>
      <c r="D39" s="84"/>
      <c r="E39" s="84"/>
      <c r="F39" s="84"/>
      <c r="G39" s="84"/>
      <c r="H39" s="84"/>
      <c r="I39" s="84" t="str">
        <f ca="1">IFERROR(__xludf.DUMMYFUNCTION("""COMPUTED_VALUE"""),"=45")</f>
        <v>=45</v>
      </c>
      <c r="J39" s="84"/>
      <c r="K39" s="84"/>
      <c r="L39" s="72"/>
      <c r="M39" s="72"/>
      <c r="N39" s="72"/>
      <c r="O39" s="72"/>
      <c r="P39" s="72"/>
      <c r="Q39" s="72"/>
      <c r="R39" s="72" t="str">
        <f ca="1">IFERROR(__xludf.DUMMYFUNCTION("""COMPUTED_VALUE"""),"=5")</f>
        <v>=5</v>
      </c>
      <c r="S39" s="72"/>
      <c r="T39" s="72"/>
      <c r="U39" s="72"/>
      <c r="V39" s="72"/>
      <c r="W39" s="72"/>
      <c r="X39" s="72"/>
      <c r="Y39" s="72"/>
      <c r="Z39" s="72"/>
      <c r="AA39" s="72"/>
      <c r="AB39" s="72"/>
      <c r="AC39" s="72"/>
      <c r="AD39" s="72"/>
      <c r="AE39" s="72" t="str">
        <f ca="1">IFERROR(__xludf.DUMMYFUNCTION("""COMPUTED_VALUE"""),"=Self_BaAD + 40")</f>
        <v>=Self_BaAD + 40</v>
      </c>
      <c r="AF39" s="72"/>
      <c r="AG39" s="72"/>
      <c r="AH39" s="72"/>
      <c r="AI39" s="72" t="str">
        <f ca="1">IFERROR(__xludf.DUMMYFUNCTION("""COMPUTED_VALUE"""),"=IF($AO$2=1;COUNTIF(Interface!$C$22:$C$27;$A39);0)")</f>
        <v>=IF($AO$2=1;COUNTIF(Interface!$C$22:$C$27;$A39);0)</v>
      </c>
      <c r="AJ39" s="72" t="str">
        <f ca="1">IFERROR(__xludf.DUMMYFUNCTION("""COMPUTED_VALUE"""),"=IF($AO$2=2;COUNTIF(Interface!$C$30:$C$35;$A39);0)")</f>
        <v>=IF($AO$2=2;COUNTIF(Interface!$C$30:$C$35;$A39);0)</v>
      </c>
      <c r="AK39" s="72"/>
      <c r="AL39" s="72"/>
      <c r="AM39" s="72" t="str">
        <f ca="1">IFERROR(__xludf.DUMMYFUNCTION("""COMPUTED_VALUE"""),"=COUNTIF(Interface!$O$18:$O$23;$A39)")</f>
        <v>=COUNTIF(Interface!$O$18:$O$23;$A39)</v>
      </c>
      <c r="AN39" s="72" t="str">
        <f ca="1">IFERROR(__xludf.DUMMYFUNCTION("""COMPUTED_VALUE"""),"=Image(""https://ddragon.leagueoflegends.com/cdn/12.22.1/img/item/3742.png"")")</f>
        <v>=Image("https://ddragon.leagueoflegends.com/cdn/12.22.1/img/item/3742.png")</v>
      </c>
      <c r="AO39" s="72" t="b">
        <f ca="1">IFERROR(__xludf.DUMMYFUNCTION("""COMPUTED_VALUE"""),TRUE)</f>
        <v>1</v>
      </c>
    </row>
    <row r="40" spans="1:41">
      <c r="A40" s="643" t="str">
        <f ca="1">IFERROR(__xludf.DUMMYFUNCTION("""COMPUTED_VALUE"""),"Death's Dance")</f>
        <v>Death's Dance</v>
      </c>
      <c r="B40" s="78" t="str">
        <f ca="1">IFERROR(__xludf.DUMMYFUNCTION("""COMPUTED_VALUE"""),"=3300")</f>
        <v>=3300</v>
      </c>
      <c r="C40" s="78"/>
      <c r="D40" s="78"/>
      <c r="E40" s="78"/>
      <c r="F40" s="78"/>
      <c r="G40" s="645" t="str">
        <f ca="1">IFERROR(__xludf.DUMMYFUNCTION("""COMPUTED_VALUE"""),"=55")</f>
        <v>=55</v>
      </c>
      <c r="H40" s="78"/>
      <c r="I40" s="78" t="str">
        <f ca="1">IFERROR(__xludf.DUMMYFUNCTION("""COMPUTED_VALUE"""),"=45")</f>
        <v>=45</v>
      </c>
      <c r="J40" s="78"/>
      <c r="K40" s="78"/>
      <c r="L40" s="76"/>
      <c r="M40" s="76" t="str">
        <f ca="1">IFERROR(__xludf.DUMMYFUNCTION("""COMPUTED_VALUE"""),"=15")</f>
        <v>=15</v>
      </c>
      <c r="N40" s="76"/>
      <c r="O40" s="76"/>
      <c r="P40" s="76"/>
      <c r="Q40" s="76"/>
      <c r="R40" s="76"/>
      <c r="S40" s="76"/>
      <c r="T40" s="76"/>
      <c r="U40" s="76"/>
      <c r="V40" s="76"/>
      <c r="W40" s="76"/>
      <c r="X40" s="76"/>
      <c r="Y40" s="76"/>
      <c r="Z40" s="76"/>
      <c r="AA40" s="76"/>
      <c r="AB40" s="76"/>
      <c r="AC40" s="76"/>
      <c r="AD40" s="76"/>
      <c r="AE40" s="76"/>
      <c r="AF40" s="76"/>
      <c r="AG40" s="76"/>
      <c r="AH40" s="76"/>
      <c r="AI40" s="76" t="str">
        <f ca="1">IFERROR(__xludf.DUMMYFUNCTION("""COMPUTED_VALUE"""),"=IF($AO$2=1;COUNTIF(Interface!$C$22:$C$27;$A40);0)")</f>
        <v>=IF($AO$2=1;COUNTIF(Interface!$C$22:$C$27;$A40);0)</v>
      </c>
      <c r="AJ40" s="76" t="str">
        <f ca="1">IFERROR(__xludf.DUMMYFUNCTION("""COMPUTED_VALUE"""),"=IF($AO$2=2;COUNTIF(Interface!$C$30:$C$35;$A40);0)")</f>
        <v>=IF($AO$2=2;COUNTIF(Interface!$C$30:$C$35;$A40);0)</v>
      </c>
      <c r="AK40" s="76"/>
      <c r="AL40" s="76"/>
      <c r="AM40" s="76" t="str">
        <f ca="1">IFERROR(__xludf.DUMMYFUNCTION("""COMPUTED_VALUE"""),"=COUNTIF(Interface!$O$18:$O$23;$A40)")</f>
        <v>=COUNTIF(Interface!$O$18:$O$23;$A40)</v>
      </c>
      <c r="AN40" s="76" t="str">
        <f ca="1">IFERROR(__xludf.DUMMYFUNCTION("""COMPUTED_VALUE"""),"=Image(""https://ddragon.leagueoflegends.com/cdn/12.22.1/img/item/6333.png"")")</f>
        <v>=Image("https://ddragon.leagueoflegends.com/cdn/12.22.1/img/item/6333.png")</v>
      </c>
      <c r="AO40" s="76" t="b">
        <f ca="1">IFERROR(__xludf.DUMMYFUNCTION("""COMPUTED_VALUE"""),TRUE)</f>
        <v>1</v>
      </c>
    </row>
    <row r="41" spans="1:41">
      <c r="A41" s="644" t="str">
        <f ca="1">IFERROR(__xludf.DUMMYFUNCTION("""COMPUTED_VALUE"""),"Demonic Embrace")</f>
        <v>Demonic Embrace</v>
      </c>
      <c r="B41" s="84" t="str">
        <f ca="1">IFERROR(__xludf.DUMMYFUNCTION("""COMPUTED_VALUE"""),"=3000")</f>
        <v>=3000</v>
      </c>
      <c r="C41" s="84" t="str">
        <f ca="1">IFERROR(__xludf.DUMMYFUNCTION("""COMPUTED_VALUE"""),"=350")</f>
        <v>=350</v>
      </c>
      <c r="D41" s="84"/>
      <c r="E41" s="84"/>
      <c r="F41" s="84"/>
      <c r="G41" s="646"/>
      <c r="H41" s="84" t="str">
        <f ca="1">IFERROR(__xludf.DUMMYFUNCTION("""COMPUTED_VALUE"""),"=75")</f>
        <v>=75</v>
      </c>
      <c r="I41" s="646"/>
      <c r="J41" s="84"/>
      <c r="K41" s="84"/>
      <c r="L41" s="72"/>
      <c r="M41" s="72"/>
      <c r="N41" s="72"/>
      <c r="O41" s="72"/>
      <c r="P41" s="72"/>
      <c r="Q41" s="72"/>
      <c r="R41" s="72"/>
      <c r="S41" s="72"/>
      <c r="T41" s="72"/>
      <c r="U41" s="72"/>
      <c r="V41" s="72"/>
      <c r="W41" s="72" t="str">
        <f ca="1">IFERROR(__xludf.DUMMYFUNCTION("""COMPUTED_VALUE"""),"=IF(VLOOKUP(Name;Champs!A2:AE200;31;False); 0,064; 0,04) * E_MHP ")</f>
        <v xml:space="preserve">=IF(VLOOKUP(Name;Champs!A2:AE200;31;False); 0,064; 0,04) * E_MHP </v>
      </c>
      <c r="X41" s="72"/>
      <c r="Y41" s="72"/>
      <c r="Z41" s="72"/>
      <c r="AA41" s="72"/>
      <c r="AB41" s="72"/>
      <c r="AC41" s="72"/>
      <c r="AD41" s="72"/>
      <c r="AE41" s="72"/>
      <c r="AF41" s="72"/>
      <c r="AG41" s="72"/>
      <c r="AH41" s="72"/>
      <c r="AI41" s="72" t="str">
        <f ca="1">IFERROR(__xludf.DUMMYFUNCTION("""COMPUTED_VALUE"""),"=IF($AO$2=1;COUNTIF(Interface!$C$22:$C$27;$A41);0)")</f>
        <v>=IF($AO$2=1;COUNTIF(Interface!$C$22:$C$27;$A41);0)</v>
      </c>
      <c r="AJ41" s="72" t="str">
        <f ca="1">IFERROR(__xludf.DUMMYFUNCTION("""COMPUTED_VALUE"""),"=IF($AO$2=2;COUNTIF(Interface!$C$30:$C$35;$A41);0)")</f>
        <v>=IF($AO$2=2;COUNTIF(Interface!$C$30:$C$35;$A41);0)</v>
      </c>
      <c r="AK41" s="72"/>
      <c r="AL41" s="72"/>
      <c r="AM41" s="72" t="str">
        <f ca="1">IFERROR(__xludf.DUMMYFUNCTION("""COMPUTED_VALUE"""),"=COUNTIF(Interface!$O$18:$O$23;$A41)")</f>
        <v>=COUNTIF(Interface!$O$18:$O$23;$A41)</v>
      </c>
      <c r="AN41" s="72" t="str">
        <f ca="1">IFERROR(__xludf.DUMMYFUNCTION("""COMPUTED_VALUE"""),"=Image(""https://ddragon.leagueoflegends.com/cdn/12.22.1/img/item/4637.png"")")</f>
        <v>=Image("https://ddragon.leagueoflegends.com/cdn/12.22.1/img/item/4637.png")</v>
      </c>
      <c r="AO41" s="72" t="b">
        <f ca="1">IFERROR(__xludf.DUMMYFUNCTION("""COMPUTED_VALUE"""),TRUE)</f>
        <v>1</v>
      </c>
    </row>
    <row r="42" spans="1:41">
      <c r="A42" s="643" t="str">
        <f ca="1">IFERROR(__xludf.DUMMYFUNCTION("""COMPUTED_VALUE"""),"Doran's Blade")</f>
        <v>Doran's Blade</v>
      </c>
      <c r="B42" s="78" t="str">
        <f ca="1">IFERROR(__xludf.DUMMYFUNCTION("""COMPUTED_VALUE"""),"=450")</f>
        <v>=450</v>
      </c>
      <c r="C42" s="78" t="str">
        <f ca="1">IFERROR(__xludf.DUMMYFUNCTION("""COMPUTED_VALUE"""),"=80")</f>
        <v>=80</v>
      </c>
      <c r="D42" s="78"/>
      <c r="E42" s="78"/>
      <c r="F42" s="78"/>
      <c r="G42" s="78" t="str">
        <f ca="1">IFERROR(__xludf.DUMMYFUNCTION("""COMPUTED_VALUE"""),"=8")</f>
        <v>=8</v>
      </c>
      <c r="H42" s="645"/>
      <c r="I42" s="78"/>
      <c r="J42" s="78"/>
      <c r="K42" s="78"/>
      <c r="L42" s="76"/>
      <c r="M42" s="76"/>
      <c r="N42" s="76" t="str">
        <f ca="1">IFERROR(__xludf.DUMMYFUNCTION("""COMPUTED_VALUE"""),"=2,5")</f>
        <v>=2,5</v>
      </c>
      <c r="O42" s="76"/>
      <c r="P42" s="76"/>
      <c r="Q42" s="76"/>
      <c r="R42" s="76"/>
      <c r="S42" s="76"/>
      <c r="T42" s="76"/>
      <c r="U42" s="76"/>
      <c r="V42" s="76"/>
      <c r="W42" s="76"/>
      <c r="X42" s="76"/>
      <c r="Y42" s="76"/>
      <c r="Z42" s="76"/>
      <c r="AA42" s="76"/>
      <c r="AB42" s="76" t="str">
        <f ca="1">IFERROR(__xludf.DUMMYFUNCTION("""COMPUTED_VALUE"""),"=2,5")</f>
        <v>=2,5</v>
      </c>
      <c r="AC42" s="76"/>
      <c r="AD42" s="76"/>
      <c r="AE42" s="76"/>
      <c r="AF42" s="76"/>
      <c r="AG42" s="76"/>
      <c r="AH42" s="76"/>
      <c r="AI42" s="76" t="str">
        <f ca="1">IFERROR(__xludf.DUMMYFUNCTION("""COMPUTED_VALUE"""),"=IF($AO$2=1;COUNTIF(Interface!$C$22:$C$27;$A42);0)")</f>
        <v>=IF($AO$2=1;COUNTIF(Interface!$C$22:$C$27;$A42);0)</v>
      </c>
      <c r="AJ42" s="76" t="str">
        <f ca="1">IFERROR(__xludf.DUMMYFUNCTION("""COMPUTED_VALUE"""),"=IF($AO$2=2;COUNTIF(Interface!$C$30:$C$35;$A42);0)")</f>
        <v>=IF($AO$2=2;COUNTIF(Interface!$C$30:$C$35;$A42);0)</v>
      </c>
      <c r="AK42" s="76"/>
      <c r="AL42" s="76"/>
      <c r="AM42" s="76" t="str">
        <f ca="1">IFERROR(__xludf.DUMMYFUNCTION("""COMPUTED_VALUE"""),"=COUNTIF(Interface!$O$18:$O$23;$A42)")</f>
        <v>=COUNTIF(Interface!$O$18:$O$23;$A42)</v>
      </c>
      <c r="AN42" s="76" t="str">
        <f ca="1">IFERROR(__xludf.DUMMYFUNCTION("""COMPUTED_VALUE"""),"=Image(""https://ddragon.leagueoflegends.com/cdn/12.22.1/img/item/1055.png"")")</f>
        <v>=Image("https://ddragon.leagueoflegends.com/cdn/12.22.1/img/item/1055.png")</v>
      </c>
      <c r="AO42" s="76" t="b">
        <f ca="1">IFERROR(__xludf.DUMMYFUNCTION("""COMPUTED_VALUE"""),FALSE)</f>
        <v>0</v>
      </c>
    </row>
    <row r="43" spans="1:41">
      <c r="A43" s="644" t="str">
        <f ca="1">IFERROR(__xludf.DUMMYFUNCTION("""COMPUTED_VALUE"""),"Doran's Ring")</f>
        <v>Doran's Ring</v>
      </c>
      <c r="B43" s="84" t="str">
        <f ca="1">IFERROR(__xludf.DUMMYFUNCTION("""COMPUTED_VALUE"""),"=400")</f>
        <v>=400</v>
      </c>
      <c r="C43" s="84" t="str">
        <f ca="1">IFERROR(__xludf.DUMMYFUNCTION("""COMPUTED_VALUE"""),"=70")</f>
        <v>=70</v>
      </c>
      <c r="D43" s="84"/>
      <c r="E43" s="84"/>
      <c r="F43" s="84"/>
      <c r="G43" s="84"/>
      <c r="H43" s="84" t="str">
        <f ca="1">IFERROR(__xludf.DUMMYFUNCTION("""COMPUTED_VALUE"""),"=15")</f>
        <v>=15</v>
      </c>
      <c r="I43" s="84"/>
      <c r="J43" s="84"/>
      <c r="K43" s="84"/>
      <c r="L43" s="72"/>
      <c r="M43" s="72"/>
      <c r="N43" s="72"/>
      <c r="O43" s="72"/>
      <c r="P43" s="72"/>
      <c r="Q43" s="72"/>
      <c r="R43" s="72"/>
      <c r="S43" s="72"/>
      <c r="T43" s="72"/>
      <c r="U43" s="72"/>
      <c r="V43" s="72"/>
      <c r="W43" s="72"/>
      <c r="X43" s="72"/>
      <c r="Y43" s="72"/>
      <c r="Z43" s="72"/>
      <c r="AA43" s="72"/>
      <c r="AB43" s="72"/>
      <c r="AC43" s="72"/>
      <c r="AD43" s="72"/>
      <c r="AE43" s="72"/>
      <c r="AF43" s="72"/>
      <c r="AG43" s="72"/>
      <c r="AH43" s="72"/>
      <c r="AI43" s="72" t="str">
        <f ca="1">IFERROR(__xludf.DUMMYFUNCTION("""COMPUTED_VALUE"""),"=IF($AO$2=1;COUNTIF(Interface!$C$22:$C$27;$A43);0)")</f>
        <v>=IF($AO$2=1;COUNTIF(Interface!$C$22:$C$27;$A43);0)</v>
      </c>
      <c r="AJ43" s="72" t="str">
        <f ca="1">IFERROR(__xludf.DUMMYFUNCTION("""COMPUTED_VALUE"""),"=IF($AO$2=2;COUNTIF(Interface!$C$30:$C$35;$A43);0)")</f>
        <v>=IF($AO$2=2;COUNTIF(Interface!$C$30:$C$35;$A43);0)</v>
      </c>
      <c r="AK43" s="72"/>
      <c r="AL43" s="72"/>
      <c r="AM43" s="72" t="str">
        <f ca="1">IFERROR(__xludf.DUMMYFUNCTION("""COMPUTED_VALUE"""),"=COUNTIF(Interface!$O$18:$O$23;$A43)")</f>
        <v>=COUNTIF(Interface!$O$18:$O$23;$A43)</v>
      </c>
      <c r="AN43" s="72" t="str">
        <f ca="1">IFERROR(__xludf.DUMMYFUNCTION("""COMPUTED_VALUE"""),"=Image(""https://ddragon.leagueoflegends.com/cdn/12.22.1/img/item/1056.png"")")</f>
        <v>=Image("https://ddragon.leagueoflegends.com/cdn/12.22.1/img/item/1056.png")</v>
      </c>
      <c r="AO43" s="72" t="b">
        <f ca="1">IFERROR(__xludf.DUMMYFUNCTION("""COMPUTED_VALUE"""),FALSE)</f>
        <v>0</v>
      </c>
    </row>
    <row r="44" spans="1:41">
      <c r="A44" s="643" t="str">
        <f ca="1">IFERROR(__xludf.DUMMYFUNCTION("""COMPUTED_VALUE"""),"Doran's Shield")</f>
        <v>Doran's Shield</v>
      </c>
      <c r="B44" s="78" t="str">
        <f ca="1">IFERROR(__xludf.DUMMYFUNCTION("""COMPUTED_VALUE"""),"=450")</f>
        <v>=450</v>
      </c>
      <c r="C44" s="78" t="str">
        <f ca="1">IFERROR(__xludf.DUMMYFUNCTION("""COMPUTED_VALUE"""),"=80")</f>
        <v>=80</v>
      </c>
      <c r="D44" s="78"/>
      <c r="E44" s="78"/>
      <c r="F44" s="78"/>
      <c r="G44" s="78"/>
      <c r="H44" s="78"/>
      <c r="I44" s="78"/>
      <c r="J44" s="78"/>
      <c r="K44" s="78"/>
      <c r="L44" s="76"/>
      <c r="M44" s="76"/>
      <c r="N44" s="76"/>
      <c r="O44" s="76"/>
      <c r="P44" s="76"/>
      <c r="Q44" s="76"/>
      <c r="R44" s="76"/>
      <c r="S44" s="76"/>
      <c r="T44" s="76"/>
      <c r="U44" s="76"/>
      <c r="V44" s="76"/>
      <c r="W44" s="76"/>
      <c r="X44" s="76"/>
      <c r="Y44" s="76"/>
      <c r="Z44" s="76"/>
      <c r="AA44" s="76"/>
      <c r="AB44" s="76"/>
      <c r="AC44" s="76"/>
      <c r="AD44" s="76"/>
      <c r="AE44" s="76"/>
      <c r="AF44" s="76"/>
      <c r="AG44" s="76"/>
      <c r="AH44" s="76"/>
      <c r="AI44" s="76" t="str">
        <f ca="1">IFERROR(__xludf.DUMMYFUNCTION("""COMPUTED_VALUE"""),"=IF($AO$2=1;COUNTIF(Interface!$C$22:$C$27;$A44);0)")</f>
        <v>=IF($AO$2=1;COUNTIF(Interface!$C$22:$C$27;$A44);0)</v>
      </c>
      <c r="AJ44" s="76" t="str">
        <f ca="1">IFERROR(__xludf.DUMMYFUNCTION("""COMPUTED_VALUE"""),"=IF($AO$2=2;COUNTIF(Interface!$C$30:$C$35;$A44);0)")</f>
        <v>=IF($AO$2=2;COUNTIF(Interface!$C$30:$C$35;$A44);0)</v>
      </c>
      <c r="AK44" s="76"/>
      <c r="AL44" s="76"/>
      <c r="AM44" s="76" t="str">
        <f ca="1">IFERROR(__xludf.DUMMYFUNCTION("""COMPUTED_VALUE"""),"=COUNTIF(Interface!$O$18:$O$23;$A44)")</f>
        <v>=COUNTIF(Interface!$O$18:$O$23;$A44)</v>
      </c>
      <c r="AN44" s="76" t="str">
        <f ca="1">IFERROR(__xludf.DUMMYFUNCTION("""COMPUTED_VALUE"""),"=Image(""https://ddragon.leagueoflegends.com/cdn/12.22.1/img/item/1054.png"")")</f>
        <v>=Image("https://ddragon.leagueoflegends.com/cdn/12.22.1/img/item/1054.png")</v>
      </c>
      <c r="AO44" s="76" t="b">
        <f ca="1">IFERROR(__xludf.DUMMYFUNCTION("""COMPUTED_VALUE"""),FALSE)</f>
        <v>0</v>
      </c>
    </row>
    <row r="45" spans="1:41">
      <c r="A45" s="644" t="str">
        <f ca="1">IFERROR(__xludf.DUMMYFUNCTION("""COMPUTED_VALUE"""),"Edge of Night")</f>
        <v>Edge of Night</v>
      </c>
      <c r="B45" s="84" t="str">
        <f ca="1">IFERROR(__xludf.DUMMYFUNCTION("""COMPUTED_VALUE"""),"=2900")</f>
        <v>=2900</v>
      </c>
      <c r="C45" s="84" t="str">
        <f ca="1">IFERROR(__xludf.DUMMYFUNCTION("""COMPUTED_VALUE"""),"=325")</f>
        <v>=325</v>
      </c>
      <c r="D45" s="84"/>
      <c r="E45" s="84"/>
      <c r="F45" s="84"/>
      <c r="G45" s="646" t="str">
        <f ca="1">IFERROR(__xludf.DUMMYFUNCTION("""COMPUTED_VALUE"""),"=50")</f>
        <v>=50</v>
      </c>
      <c r="H45" s="84"/>
      <c r="I45" s="84"/>
      <c r="J45" s="84"/>
      <c r="K45" s="84"/>
      <c r="L45" s="72"/>
      <c r="M45" s="72"/>
      <c r="N45" s="72"/>
      <c r="O45" s="72" t="str">
        <f ca="1">IFERROR(__xludf.DUMMYFUNCTION("""COMPUTED_VALUE"""),"=10")</f>
        <v>=10</v>
      </c>
      <c r="P45" s="72"/>
      <c r="Q45" s="72"/>
      <c r="R45" s="72"/>
      <c r="S45" s="72"/>
      <c r="T45" s="72"/>
      <c r="U45" s="72"/>
      <c r="V45" s="72"/>
      <c r="W45" s="72"/>
      <c r="X45" s="72"/>
      <c r="Y45" s="72"/>
      <c r="Z45" s="72"/>
      <c r="AA45" s="72"/>
      <c r="AB45" s="72"/>
      <c r="AC45" s="72"/>
      <c r="AD45" s="72"/>
      <c r="AE45" s="72"/>
      <c r="AF45" s="72"/>
      <c r="AG45" s="72"/>
      <c r="AH45" s="72"/>
      <c r="AI45" s="72" t="str">
        <f ca="1">IFERROR(__xludf.DUMMYFUNCTION("""COMPUTED_VALUE"""),"=IF($AO$2=1;COUNTIF(Interface!$C$22:$C$27;$A45);0)")</f>
        <v>=IF($AO$2=1;COUNTIF(Interface!$C$22:$C$27;$A45);0)</v>
      </c>
      <c r="AJ45" s="72" t="str">
        <f ca="1">IFERROR(__xludf.DUMMYFUNCTION("""COMPUTED_VALUE"""),"=IF($AO$2=2;COUNTIF(Interface!$C$30:$C$35;$A45);0)")</f>
        <v>=IF($AO$2=2;COUNTIF(Interface!$C$30:$C$35;$A45);0)</v>
      </c>
      <c r="AK45" s="72"/>
      <c r="AL45" s="72"/>
      <c r="AM45" s="72" t="str">
        <f ca="1">IFERROR(__xludf.DUMMYFUNCTION("""COMPUTED_VALUE"""),"=COUNTIF(Interface!$O$18:$O$23;$A45)")</f>
        <v>=COUNTIF(Interface!$O$18:$O$23;$A45)</v>
      </c>
      <c r="AN45" s="72" t="str">
        <f ca="1">IFERROR(__xludf.DUMMYFUNCTION("""COMPUTED_VALUE"""),"=Image(""https://ddragon.leagueoflegends.com/cdn/12.22.1/img/item/3814.png"")")</f>
        <v>=Image("https://ddragon.leagueoflegends.com/cdn/12.22.1/img/item/3814.png")</v>
      </c>
      <c r="AO45" s="72" t="b">
        <f ca="1">IFERROR(__xludf.DUMMYFUNCTION("""COMPUTED_VALUE"""),TRUE)</f>
        <v>1</v>
      </c>
    </row>
    <row r="46" spans="1:41">
      <c r="A46" s="643" t="str">
        <f ca="1">IFERROR(__xludf.DUMMYFUNCTION("""COMPUTED_VALUE"""),"Essence Reaver")</f>
        <v>Essence Reaver</v>
      </c>
      <c r="B46" s="78" t="str">
        <f ca="1">IFERROR(__xludf.DUMMYFUNCTION("""COMPUTED_VALUE"""),"=2900")</f>
        <v>=2900</v>
      </c>
      <c r="C46" s="78"/>
      <c r="D46" s="78"/>
      <c r="E46" s="78"/>
      <c r="F46" s="78"/>
      <c r="G46" s="78" t="str">
        <f ca="1">IFERROR(__xludf.DUMMYFUNCTION("""COMPUTED_VALUE"""),"=55")</f>
        <v>=55</v>
      </c>
      <c r="H46" s="645"/>
      <c r="I46" s="78"/>
      <c r="J46" s="78"/>
      <c r="K46" s="78"/>
      <c r="L46" s="76" t="str">
        <f ca="1">IFERROR(__xludf.DUMMYFUNCTION("""COMPUTED_VALUE"""),"=20")</f>
        <v>=20</v>
      </c>
      <c r="M46" s="76" t="str">
        <f ca="1">IFERROR(__xludf.DUMMYFUNCTION("""COMPUTED_VALUE"""),"=20")</f>
        <v>=20</v>
      </c>
      <c r="N46" s="76"/>
      <c r="O46" s="76"/>
      <c r="P46" s="76"/>
      <c r="Q46" s="76"/>
      <c r="R46" s="76"/>
      <c r="S46" s="76"/>
      <c r="T46" s="76"/>
      <c r="U46" s="76"/>
      <c r="V46" s="76"/>
      <c r="W46" s="76"/>
      <c r="X46" s="76" t="str">
        <f ca="1">IFERROR(__xludf.DUMMYFUNCTION("""COMPUTED_VALUE"""),"=(Self_BaAD+0,4*Self_BoAD)*MOD_Phys")</f>
        <v>=(Self_BaAD+0,4*Self_BoAD)*MOD_Phys</v>
      </c>
      <c r="Y46" s="76"/>
      <c r="Z46" s="76"/>
      <c r="AA46" s="76"/>
      <c r="AB46" s="76"/>
      <c r="AC46" s="76"/>
      <c r="AD46" s="76"/>
      <c r="AE46" s="76"/>
      <c r="AF46" s="76"/>
      <c r="AG46" s="76"/>
      <c r="AH46" s="76"/>
      <c r="AI46" s="76" t="str">
        <f ca="1">IFERROR(__xludf.DUMMYFUNCTION("""COMPUTED_VALUE"""),"=IF($AO$2=1;COUNTIF(Interface!$C$22:$C$27;$A46);0)")</f>
        <v>=IF($AO$2=1;COUNTIF(Interface!$C$22:$C$27;$A46);0)</v>
      </c>
      <c r="AJ46" s="76" t="str">
        <f ca="1">IFERROR(__xludf.DUMMYFUNCTION("""COMPUTED_VALUE"""),"=IF($AO$2=2;COUNTIF(Interface!$C$30:$C$35;$A46);0)")</f>
        <v>=IF($AO$2=2;COUNTIF(Interface!$C$30:$C$35;$A46);0)</v>
      </c>
      <c r="AK46" s="76"/>
      <c r="AL46" s="76"/>
      <c r="AM46" s="76" t="str">
        <f ca="1">IFERROR(__xludf.DUMMYFUNCTION("""COMPUTED_VALUE"""),"=COUNTIF(Interface!$O$18:$O$23;$A46)")</f>
        <v>=COUNTIF(Interface!$O$18:$O$23;$A46)</v>
      </c>
      <c r="AN46" s="76" t="str">
        <f ca="1">IFERROR(__xludf.DUMMYFUNCTION("""COMPUTED_VALUE"""),"=Image(""https://ddragon.leagueoflegends.com/cdn/12.22.1/img/item/3508.png"")")</f>
        <v>=Image("https://ddragon.leagueoflegends.com/cdn/12.22.1/img/item/3508.png")</v>
      </c>
      <c r="AO46" s="76" t="b">
        <f ca="1">IFERROR(__xludf.DUMMYFUNCTION("""COMPUTED_VALUE"""),TRUE)</f>
        <v>1</v>
      </c>
    </row>
    <row r="47" spans="1:41">
      <c r="A47" s="644" t="str">
        <f ca="1">IFERROR(__xludf.DUMMYFUNCTION("""COMPUTED_VALUE"""),"Executioner's Calling")</f>
        <v>Executioner's Calling</v>
      </c>
      <c r="B47" s="84" t="str">
        <f ca="1">IFERROR(__xludf.DUMMYFUNCTION("""COMPUTED_VALUE"""),"=800")</f>
        <v>=800</v>
      </c>
      <c r="C47" s="84"/>
      <c r="D47" s="84"/>
      <c r="E47" s="84"/>
      <c r="F47" s="84"/>
      <c r="G47" s="84" t="str">
        <f ca="1">IFERROR(__xludf.DUMMYFUNCTION("""COMPUTED_VALUE"""),"=15")</f>
        <v>=15</v>
      </c>
      <c r="H47" s="84"/>
      <c r="I47" s="84"/>
      <c r="J47" s="646"/>
      <c r="K47" s="84"/>
      <c r="L47" s="72"/>
      <c r="M47" s="72"/>
      <c r="N47" s="72"/>
      <c r="O47" s="72"/>
      <c r="P47" s="72"/>
      <c r="Q47" s="72"/>
      <c r="R47" s="72"/>
      <c r="S47" s="72"/>
      <c r="T47" s="72"/>
      <c r="U47" s="72"/>
      <c r="V47" s="72"/>
      <c r="W47" s="72"/>
      <c r="X47" s="72"/>
      <c r="Y47" s="72"/>
      <c r="Z47" s="72"/>
      <c r="AA47" s="72"/>
      <c r="AB47" s="72"/>
      <c r="AC47" s="72"/>
      <c r="AD47" s="72"/>
      <c r="AE47" s="72"/>
      <c r="AF47" s="72"/>
      <c r="AG47" s="72"/>
      <c r="AH47" s="72"/>
      <c r="AI47" s="72" t="str">
        <f ca="1">IFERROR(__xludf.DUMMYFUNCTION("""COMPUTED_VALUE"""),"=IF($AO$2=1;COUNTIF(Interface!$C$22:$C$27;$A47);0)")</f>
        <v>=IF($AO$2=1;COUNTIF(Interface!$C$22:$C$27;$A47);0)</v>
      </c>
      <c r="AJ47" s="72" t="str">
        <f ca="1">IFERROR(__xludf.DUMMYFUNCTION("""COMPUTED_VALUE"""),"=IF($AO$2=2;COUNTIF(Interface!$C$30:$C$35;$A47);0)")</f>
        <v>=IF($AO$2=2;COUNTIF(Interface!$C$30:$C$35;$A47);0)</v>
      </c>
      <c r="AK47" s="72"/>
      <c r="AL47" s="72"/>
      <c r="AM47" s="72" t="str">
        <f ca="1">IFERROR(__xludf.DUMMYFUNCTION("""COMPUTED_VALUE"""),"=COUNTIF(Interface!$O$18:$O$23;$A47)")</f>
        <v>=COUNTIF(Interface!$O$18:$O$23;$A47)</v>
      </c>
      <c r="AN47" s="72" t="str">
        <f ca="1">IFERROR(__xludf.DUMMYFUNCTION("""COMPUTED_VALUE"""),"=Image(""https://ddragon.leagueoflegends.com/cdn/12.22.1/img/item/3123.png"")")</f>
        <v>=Image("https://ddragon.leagueoflegends.com/cdn/12.22.1/img/item/3123.png")</v>
      </c>
      <c r="AO47" s="72" t="b">
        <f ca="1">IFERROR(__xludf.DUMMYFUNCTION("""COMPUTED_VALUE"""),FALSE)</f>
        <v>0</v>
      </c>
    </row>
    <row r="48" spans="1:41">
      <c r="A48" s="643" t="str">
        <f ca="1">IFERROR(__xludf.DUMMYFUNCTION("""COMPUTED_VALUE"""),"Faerie Charm")</f>
        <v>Faerie Charm</v>
      </c>
      <c r="B48" s="78" t="str">
        <f ca="1">IFERROR(__xludf.DUMMYFUNCTION("""COMPUTED_VALUE"""),"=250")</f>
        <v>=250</v>
      </c>
      <c r="C48" s="78"/>
      <c r="D48" s="78"/>
      <c r="E48" s="78"/>
      <c r="F48" s="78" t="str">
        <f ca="1">IFERROR(__xludf.DUMMYFUNCTION("""COMPUTED_VALUE"""),"=0,5")</f>
        <v>=0,5</v>
      </c>
      <c r="G48" s="78"/>
      <c r="H48" s="78"/>
      <c r="I48" s="78"/>
      <c r="J48" s="645"/>
      <c r="K48" s="78"/>
      <c r="L48" s="76"/>
      <c r="M48" s="76"/>
      <c r="N48" s="76"/>
      <c r="O48" s="76"/>
      <c r="P48" s="76"/>
      <c r="Q48" s="76"/>
      <c r="R48" s="76"/>
      <c r="S48" s="76"/>
      <c r="T48" s="76"/>
      <c r="U48" s="76"/>
      <c r="V48" s="76"/>
      <c r="W48" s="76"/>
      <c r="X48" s="76"/>
      <c r="Y48" s="76"/>
      <c r="Z48" s="76"/>
      <c r="AA48" s="76"/>
      <c r="AB48" s="76"/>
      <c r="AC48" s="76"/>
      <c r="AD48" s="76"/>
      <c r="AE48" s="76"/>
      <c r="AF48" s="76"/>
      <c r="AG48" s="76"/>
      <c r="AH48" s="76"/>
      <c r="AI48" s="76" t="str">
        <f ca="1">IFERROR(__xludf.DUMMYFUNCTION("""COMPUTED_VALUE"""),"=IF($AO$2=1;COUNTIF(Interface!$C$22:$C$27;$A48);0)")</f>
        <v>=IF($AO$2=1;COUNTIF(Interface!$C$22:$C$27;$A48);0)</v>
      </c>
      <c r="AJ48" s="76" t="str">
        <f ca="1">IFERROR(__xludf.DUMMYFUNCTION("""COMPUTED_VALUE"""),"=IF($AO$2=2;COUNTIF(Interface!$C$30:$C$35;$A48);0)")</f>
        <v>=IF($AO$2=2;COUNTIF(Interface!$C$30:$C$35;$A48);0)</v>
      </c>
      <c r="AK48" s="76"/>
      <c r="AL48" s="76"/>
      <c r="AM48" s="76" t="str">
        <f ca="1">IFERROR(__xludf.DUMMYFUNCTION("""COMPUTED_VALUE"""),"=COUNTIF(Interface!$O$18:$O$23;$A48)")</f>
        <v>=COUNTIF(Interface!$O$18:$O$23;$A48)</v>
      </c>
      <c r="AN48" s="76" t="str">
        <f ca="1">IFERROR(__xludf.DUMMYFUNCTION("""COMPUTED_VALUE"""),"=Image(""https://ddragon.leagueoflegends.com/cdn/12.22.1/img/item/1004.png"")")</f>
        <v>=Image("https://ddragon.leagueoflegends.com/cdn/12.22.1/img/item/1004.png")</v>
      </c>
      <c r="AO48" s="76" t="b">
        <f ca="1">IFERROR(__xludf.DUMMYFUNCTION("""COMPUTED_VALUE"""),FALSE)</f>
        <v>0</v>
      </c>
    </row>
    <row r="49" spans="1:41">
      <c r="A49" s="644" t="str">
        <f ca="1">IFERROR(__xludf.DUMMYFUNCTION("""COMPUTED_VALUE"""),"Fiendish Codex")</f>
        <v>Fiendish Codex</v>
      </c>
      <c r="B49" s="84" t="str">
        <f ca="1">IFERROR(__xludf.DUMMYFUNCTION("""COMPUTED_VALUE"""),"=900")</f>
        <v>=900</v>
      </c>
      <c r="C49" s="84"/>
      <c r="D49" s="84"/>
      <c r="E49" s="84"/>
      <c r="F49" s="84"/>
      <c r="G49" s="84"/>
      <c r="H49" s="646" t="str">
        <f ca="1">IFERROR(__xludf.DUMMYFUNCTION("""COMPUTED_VALUE"""),"=35")</f>
        <v>=35</v>
      </c>
      <c r="I49" s="84"/>
      <c r="J49" s="84"/>
      <c r="K49" s="84"/>
      <c r="L49" s="72"/>
      <c r="M49" s="72" t="str">
        <f ca="1">IFERROR(__xludf.DUMMYFUNCTION("""COMPUTED_VALUE"""),"=10")</f>
        <v>=10</v>
      </c>
      <c r="N49" s="72"/>
      <c r="O49" s="72"/>
      <c r="P49" s="72"/>
      <c r="Q49" s="72"/>
      <c r="R49" s="72"/>
      <c r="S49" s="72"/>
      <c r="T49" s="72"/>
      <c r="U49" s="72"/>
      <c r="V49" s="72"/>
      <c r="W49" s="72"/>
      <c r="X49" s="72"/>
      <c r="Y49" s="72"/>
      <c r="Z49" s="72"/>
      <c r="AA49" s="72"/>
      <c r="AB49" s="72"/>
      <c r="AC49" s="72"/>
      <c r="AD49" s="72"/>
      <c r="AE49" s="72"/>
      <c r="AF49" s="72"/>
      <c r="AG49" s="72"/>
      <c r="AH49" s="72"/>
      <c r="AI49" s="72" t="str">
        <f ca="1">IFERROR(__xludf.DUMMYFUNCTION("""COMPUTED_VALUE"""),"=IF($AO$2=1;COUNTIF(Interface!$C$22:$C$27;$A49);0)")</f>
        <v>=IF($AO$2=1;COUNTIF(Interface!$C$22:$C$27;$A49);0)</v>
      </c>
      <c r="AJ49" s="72" t="str">
        <f ca="1">IFERROR(__xludf.DUMMYFUNCTION("""COMPUTED_VALUE"""),"=IF($AO$2=2;COUNTIF(Interface!$C$30:$C$35;$A49);0)")</f>
        <v>=IF($AO$2=2;COUNTIF(Interface!$C$30:$C$35;$A49);0)</v>
      </c>
      <c r="AK49" s="72"/>
      <c r="AL49" s="72"/>
      <c r="AM49" s="72" t="str">
        <f ca="1">IFERROR(__xludf.DUMMYFUNCTION("""COMPUTED_VALUE"""),"=COUNTIF(Interface!$O$18:$O$23;$A49)")</f>
        <v>=COUNTIF(Interface!$O$18:$O$23;$A49)</v>
      </c>
      <c r="AN49" s="72" t="str">
        <f ca="1">IFERROR(__xludf.DUMMYFUNCTION("""COMPUTED_VALUE"""),"=Image(""https://ddragon.leagueoflegends.com/cdn/12.22.1/img/item/3108.png"")")</f>
        <v>=Image("https://ddragon.leagueoflegends.com/cdn/12.22.1/img/item/3108.png")</v>
      </c>
      <c r="AO49" s="72" t="b">
        <f ca="1">IFERROR(__xludf.DUMMYFUNCTION("""COMPUTED_VALUE"""),FALSE)</f>
        <v>0</v>
      </c>
    </row>
    <row r="50" spans="1:41">
      <c r="A50" s="643" t="str">
        <f ca="1">IFERROR(__xludf.DUMMYFUNCTION("""COMPUTED_VALUE"""),"Fimbulwinter")</f>
        <v>Fimbulwinter</v>
      </c>
      <c r="B50" s="78" t="str">
        <f ca="1">IFERROR(__xludf.DUMMYFUNCTION("""COMPUTED_VALUE"""),"=2600")</f>
        <v>=2600</v>
      </c>
      <c r="C50" s="78" t="str">
        <f ca="1">IFERROR(__xludf.DUMMYFUNCTION("""COMPUTED_VALUE"""),"=400")</f>
        <v>=400</v>
      </c>
      <c r="D50" s="78"/>
      <c r="E50" s="78" t="str">
        <f ca="1">IFERROR(__xludf.DUMMYFUNCTION("""COMPUTED_VALUE"""),"=860")</f>
        <v>=860</v>
      </c>
      <c r="F50" s="78"/>
      <c r="G50" s="645"/>
      <c r="H50" s="78"/>
      <c r="I50" s="78"/>
      <c r="J50" s="78"/>
      <c r="K50" s="78"/>
      <c r="L50" s="76"/>
      <c r="M50" s="76" t="str">
        <f ca="1">IFERROR(__xludf.DUMMYFUNCTION("""COMPUTED_VALUE"""),"=15")</f>
        <v>=15</v>
      </c>
      <c r="N50" s="76"/>
      <c r="O50" s="76"/>
      <c r="P50" s="76"/>
      <c r="Q50" s="76"/>
      <c r="R50" s="76"/>
      <c r="S50" s="76"/>
      <c r="T50" s="76"/>
      <c r="U50" s="76"/>
      <c r="V50" s="76"/>
      <c r="W50" s="76"/>
      <c r="X50" s="76"/>
      <c r="Y50" s="76"/>
      <c r="Z50" s="76"/>
      <c r="AA50" s="76"/>
      <c r="AB50" s="76"/>
      <c r="AC50" s="76"/>
      <c r="AD50" s="76"/>
      <c r="AE50" s="76"/>
      <c r="AF50" s="76"/>
      <c r="AG50" s="76"/>
      <c r="AH50" s="76" t="str">
        <f ca="1">IFERROR(__xludf.DUMMYFUNCTION("""COMPUTED_VALUE"""),"=100 + 80 * Sc_Lin + 0,045 * Self_MP * 0,5")</f>
        <v>=100 + 80 * Sc_Lin + 0,045 * Self_MP * 0,5</v>
      </c>
      <c r="AI50" s="76" t="str">
        <f ca="1">IFERROR(__xludf.DUMMYFUNCTION("""COMPUTED_VALUE"""),"=IF($AO$2=1;COUNTIF(Interface!$C$22:$C$27;$A50);0)")</f>
        <v>=IF($AO$2=1;COUNTIF(Interface!$C$22:$C$27;$A50);0)</v>
      </c>
      <c r="AJ50" s="76" t="str">
        <f ca="1">IFERROR(__xludf.DUMMYFUNCTION("""COMPUTED_VALUE"""),"=IF($AO$2=2;COUNTIF(Interface!$C$30:$C$35;$A50);0)")</f>
        <v>=IF($AO$2=2;COUNTIF(Interface!$C$30:$C$35;$A50);0)</v>
      </c>
      <c r="AK50" s="76"/>
      <c r="AL50" s="76"/>
      <c r="AM50" s="76" t="str">
        <f ca="1">IFERROR(__xludf.DUMMYFUNCTION("""COMPUTED_VALUE"""),"=COUNTIF(Interface!$O$18:$O$23;$A50)")</f>
        <v>=COUNTIF(Interface!$O$18:$O$23;$A50)</v>
      </c>
      <c r="AN50" s="76" t="str">
        <f ca="1">IFERROR(__xludf.DUMMYFUNCTION("""COMPUTED_VALUE"""),"=Image(""https://ddragon.leagueoflegends.com/cdn/12.22.1/img/item/3121.png"")")</f>
        <v>=Image("https://ddragon.leagueoflegends.com/cdn/12.22.1/img/item/3121.png")</v>
      </c>
      <c r="AO50" s="76" t="b">
        <f ca="1">IFERROR(__xludf.DUMMYFUNCTION("""COMPUTED_VALUE"""),TRUE)</f>
        <v>1</v>
      </c>
    </row>
    <row r="51" spans="1:41">
      <c r="A51" s="644" t="str">
        <f ca="1">IFERROR(__xludf.DUMMYFUNCTION("""COMPUTED_VALUE"""),"Forbidden Idol")</f>
        <v>Forbidden Idol</v>
      </c>
      <c r="B51" s="84" t="str">
        <f ca="1">IFERROR(__xludf.DUMMYFUNCTION("""COMPUTED_VALUE"""),"=800")</f>
        <v>=800</v>
      </c>
      <c r="C51" s="84"/>
      <c r="D51" s="84"/>
      <c r="E51" s="84"/>
      <c r="F51" s="84" t="str">
        <f ca="1">IFERROR(__xludf.DUMMYFUNCTION("""COMPUTED_VALUE"""),"=0,5")</f>
        <v>=0,5</v>
      </c>
      <c r="G51" s="84"/>
      <c r="H51" s="84"/>
      <c r="I51" s="84"/>
      <c r="J51" s="84"/>
      <c r="K51" s="84"/>
      <c r="L51" s="72"/>
      <c r="M51" s="72"/>
      <c r="N51" s="72"/>
      <c r="O51" s="72"/>
      <c r="P51" s="72"/>
      <c r="Q51" s="72"/>
      <c r="R51" s="72"/>
      <c r="S51" s="72" t="str">
        <f ca="1">IFERROR(__xludf.DUMMYFUNCTION("""COMPUTED_VALUE"""),"=8")</f>
        <v>=8</v>
      </c>
      <c r="T51" s="72"/>
      <c r="U51" s="72"/>
      <c r="V51" s="72"/>
      <c r="W51" s="72"/>
      <c r="X51" s="72"/>
      <c r="Y51" s="72"/>
      <c r="Z51" s="72"/>
      <c r="AA51" s="72"/>
      <c r="AB51" s="72"/>
      <c r="AC51" s="72"/>
      <c r="AD51" s="72"/>
      <c r="AE51" s="72"/>
      <c r="AF51" s="72"/>
      <c r="AG51" s="72"/>
      <c r="AH51" s="72"/>
      <c r="AI51" s="72" t="str">
        <f ca="1">IFERROR(__xludf.DUMMYFUNCTION("""COMPUTED_VALUE"""),"=IF($AO$2=1;COUNTIF(Interface!$C$22:$C$27;$A51);0)")</f>
        <v>=IF($AO$2=1;COUNTIF(Interface!$C$22:$C$27;$A51);0)</v>
      </c>
      <c r="AJ51" s="72" t="str">
        <f ca="1">IFERROR(__xludf.DUMMYFUNCTION("""COMPUTED_VALUE"""),"=IF($AO$2=2;COUNTIF(Interface!$C$30:$C$35;$A51);0)")</f>
        <v>=IF($AO$2=2;COUNTIF(Interface!$C$30:$C$35;$A51);0)</v>
      </c>
      <c r="AK51" s="72"/>
      <c r="AL51" s="72"/>
      <c r="AM51" s="72" t="str">
        <f ca="1">IFERROR(__xludf.DUMMYFUNCTION("""COMPUTED_VALUE"""),"=COUNTIF(Interface!$O$18:$O$23;$A51)")</f>
        <v>=COUNTIF(Interface!$O$18:$O$23;$A51)</v>
      </c>
      <c r="AN51" s="72" t="str">
        <f ca="1">IFERROR(__xludf.DUMMYFUNCTION("""COMPUTED_VALUE"""),"=Image(""https://ddragon.leagueoflegends.com/cdn/12.22.1/img/item/3114.png"")")</f>
        <v>=Image("https://ddragon.leagueoflegends.com/cdn/12.22.1/img/item/3114.png")</v>
      </c>
      <c r="AO51" s="72" t="b">
        <f ca="1">IFERROR(__xludf.DUMMYFUNCTION("""COMPUTED_VALUE"""),FALSE)</f>
        <v>0</v>
      </c>
    </row>
    <row r="52" spans="1:41">
      <c r="A52" s="643" t="str">
        <f ca="1">IFERROR(__xludf.DUMMYFUNCTION("""COMPUTED_VALUE"""),"Force of Nature")</f>
        <v>Force of Nature</v>
      </c>
      <c r="B52" s="78" t="str">
        <f ca="1">IFERROR(__xludf.DUMMYFUNCTION("""COMPUTED_VALUE"""),"=2800")</f>
        <v>=2800</v>
      </c>
      <c r="C52" s="78" t="str">
        <f ca="1">IFERROR(__xludf.DUMMYFUNCTION("""COMPUTED_VALUE"""),"=400")</f>
        <v>=400</v>
      </c>
      <c r="D52" s="78"/>
      <c r="E52" s="78"/>
      <c r="F52" s="78"/>
      <c r="G52" s="645"/>
      <c r="H52" s="78"/>
      <c r="I52" s="78"/>
      <c r="J52" s="78" t="str">
        <f ca="1">IFERROR(__xludf.DUMMYFUNCTION("""COMPUTED_VALUE"""),"=60 + IF(Steroid_Items; 30)")</f>
        <v>=60 + IF(Steroid_Items; 30)</v>
      </c>
      <c r="K52" s="78"/>
      <c r="L52" s="76"/>
      <c r="M52" s="76"/>
      <c r="N52" s="76"/>
      <c r="O52" s="76"/>
      <c r="P52" s="76"/>
      <c r="Q52" s="76"/>
      <c r="R52" s="76" t="str">
        <f ca="1">IFERROR(__xludf.DUMMYFUNCTION("""COMPUTED_VALUE"""),"=5 + IF(Steroid_Items; 10; 0)")</f>
        <v>=5 + IF(Steroid_Items; 10; 0)</v>
      </c>
      <c r="S52" s="76"/>
      <c r="T52" s="76"/>
      <c r="U52" s="76"/>
      <c r="V52" s="76"/>
      <c r="W52" s="76"/>
      <c r="X52" s="76"/>
      <c r="Y52" s="76"/>
      <c r="Z52" s="76"/>
      <c r="AA52" s="76"/>
      <c r="AB52" s="76"/>
      <c r="AC52" s="76"/>
      <c r="AD52" s="76"/>
      <c r="AE52" s="76"/>
      <c r="AF52" s="76"/>
      <c r="AG52" s="76"/>
      <c r="AH52" s="76"/>
      <c r="AI52" s="76" t="str">
        <f ca="1">IFERROR(__xludf.DUMMYFUNCTION("""COMPUTED_VALUE"""),"=IF($AO$2=1;COUNTIF(Interface!$C$22:$C$27;$A52);0)")</f>
        <v>=IF($AO$2=1;COUNTIF(Interface!$C$22:$C$27;$A52);0)</v>
      </c>
      <c r="AJ52" s="76" t="str">
        <f ca="1">IFERROR(__xludf.DUMMYFUNCTION("""COMPUTED_VALUE"""),"=IF($AO$2=2;COUNTIF(Interface!$C$30:$C$35;$A52);0)")</f>
        <v>=IF($AO$2=2;COUNTIF(Interface!$C$30:$C$35;$A52);0)</v>
      </c>
      <c r="AK52" s="76"/>
      <c r="AL52" s="76"/>
      <c r="AM52" s="76" t="str">
        <f ca="1">IFERROR(__xludf.DUMMYFUNCTION("""COMPUTED_VALUE"""),"=COUNTIF(Interface!$O$18:$O$23;$A52)")</f>
        <v>=COUNTIF(Interface!$O$18:$O$23;$A52)</v>
      </c>
      <c r="AN52" s="76" t="str">
        <f ca="1">IFERROR(__xludf.DUMMYFUNCTION("""COMPUTED_VALUE"""),"=Image(""https://ddragon.leagueoflegends.com/cdn/12.22.1/img/item/4401.png"")")</f>
        <v>=Image("https://ddragon.leagueoflegends.com/cdn/12.22.1/img/item/4401.png")</v>
      </c>
      <c r="AO52" s="76" t="b">
        <f ca="1">IFERROR(__xludf.DUMMYFUNCTION("""COMPUTED_VALUE"""),TRUE)</f>
        <v>1</v>
      </c>
    </row>
    <row r="53" spans="1:41">
      <c r="A53" s="644" t="str">
        <f ca="1">IFERROR(__xludf.DUMMYFUNCTION("""COMPUTED_VALUE"""),"Frostfang")</f>
        <v>Frostfang</v>
      </c>
      <c r="B53" s="84" t="str">
        <f ca="1">IFERROR(__xludf.DUMMYFUNCTION("""COMPUTED_VALUE"""),"=400")</f>
        <v>=400</v>
      </c>
      <c r="C53" s="84" t="str">
        <f ca="1">IFERROR(__xludf.DUMMYFUNCTION("""COMPUTED_VALUE"""),"=70")</f>
        <v>=70</v>
      </c>
      <c r="D53" s="84"/>
      <c r="E53" s="84"/>
      <c r="F53" s="84" t="str">
        <f ca="1">IFERROR(__xludf.DUMMYFUNCTION("""COMPUTED_VALUE"""),"=0,5")</f>
        <v>=0,5</v>
      </c>
      <c r="G53" s="84"/>
      <c r="H53" s="646" t="str">
        <f ca="1">IFERROR(__xludf.DUMMYFUNCTION("""COMPUTED_VALUE"""),"=15")</f>
        <v>=15</v>
      </c>
      <c r="I53" s="84"/>
      <c r="J53" s="84"/>
      <c r="K53" s="84"/>
      <c r="L53" s="72"/>
      <c r="M53" s="72"/>
      <c r="N53" s="72"/>
      <c r="O53" s="72"/>
      <c r="P53" s="72"/>
      <c r="Q53" s="72"/>
      <c r="R53" s="72"/>
      <c r="S53" s="72"/>
      <c r="T53" s="72"/>
      <c r="U53" s="72"/>
      <c r="V53" s="72"/>
      <c r="W53" s="72"/>
      <c r="X53" s="72"/>
      <c r="Y53" s="72"/>
      <c r="Z53" s="72"/>
      <c r="AA53" s="72"/>
      <c r="AB53" s="72"/>
      <c r="AC53" s="72"/>
      <c r="AD53" s="72"/>
      <c r="AE53" s="72"/>
      <c r="AF53" s="72"/>
      <c r="AG53" s="72"/>
      <c r="AH53" s="72"/>
      <c r="AI53" s="72" t="str">
        <f ca="1">IFERROR(__xludf.DUMMYFUNCTION("""COMPUTED_VALUE"""),"=IF($AO$2=1;COUNTIF(Interface!$C$22:$C$27;$A53);0)")</f>
        <v>=IF($AO$2=1;COUNTIF(Interface!$C$22:$C$27;$A53);0)</v>
      </c>
      <c r="AJ53" s="72" t="str">
        <f ca="1">IFERROR(__xludf.DUMMYFUNCTION("""COMPUTED_VALUE"""),"=IF($AO$2=2;COUNTIF(Interface!$C$30:$C$35;$A53);0)")</f>
        <v>=IF($AO$2=2;COUNTIF(Interface!$C$30:$C$35;$A53);0)</v>
      </c>
      <c r="AK53" s="72"/>
      <c r="AL53" s="72"/>
      <c r="AM53" s="72" t="str">
        <f ca="1">IFERROR(__xludf.DUMMYFUNCTION("""COMPUTED_VALUE"""),"=COUNTIF(Interface!$O$18:$O$23;$A53)")</f>
        <v>=COUNTIF(Interface!$O$18:$O$23;$A53)</v>
      </c>
      <c r="AN53" s="72" t="str">
        <f ca="1">IFERROR(__xludf.DUMMYFUNCTION("""COMPUTED_VALUE"""),"=Image(""https://ddragon.leagueoflegends.com/cdn/12.22.1/img/item/3851.png"")")</f>
        <v>=Image("https://ddragon.leagueoflegends.com/cdn/12.22.1/img/item/3851.png")</v>
      </c>
      <c r="AO53" s="72" t="b">
        <f ca="1">IFERROR(__xludf.DUMMYFUNCTION("""COMPUTED_VALUE"""),FALSE)</f>
        <v>0</v>
      </c>
    </row>
    <row r="54" spans="1:41">
      <c r="A54" s="643" t="str">
        <f ca="1">IFERROR(__xludf.DUMMYFUNCTION("""COMPUTED_VALUE"""),"Frozen Heart")</f>
        <v>Frozen Heart</v>
      </c>
      <c r="B54" s="78" t="str">
        <f ca="1">IFERROR(__xludf.DUMMYFUNCTION("""COMPUTED_VALUE"""),"=2700")</f>
        <v>=2700</v>
      </c>
      <c r="C54" s="78"/>
      <c r="D54" s="78"/>
      <c r="E54" s="78" t="str">
        <f ca="1">IFERROR(__xludf.DUMMYFUNCTION("""COMPUTED_VALUE"""),"=400")</f>
        <v>=400</v>
      </c>
      <c r="F54" s="78"/>
      <c r="G54" s="645"/>
      <c r="H54" s="645"/>
      <c r="I54" s="645" t="str">
        <f ca="1">IFERROR(__xludf.DUMMYFUNCTION("""COMPUTED_VALUE"""),"=90")</f>
        <v>=90</v>
      </c>
      <c r="J54" s="78"/>
      <c r="K54" s="78"/>
      <c r="L54" s="76"/>
      <c r="M54" s="76" t="str">
        <f ca="1">IFERROR(__xludf.DUMMYFUNCTION("""COMPUTED_VALUE"""),"=20")</f>
        <v>=20</v>
      </c>
      <c r="N54" s="76"/>
      <c r="O54" s="76"/>
      <c r="P54" s="76"/>
      <c r="Q54" s="76"/>
      <c r="R54" s="76"/>
      <c r="S54" s="76"/>
      <c r="T54" s="76"/>
      <c r="U54" s="76"/>
      <c r="V54" s="76"/>
      <c r="W54" s="76"/>
      <c r="X54" s="76"/>
      <c r="Y54" s="76"/>
      <c r="Z54" s="76"/>
      <c r="AA54" s="76"/>
      <c r="AB54" s="76"/>
      <c r="AC54" s="76"/>
      <c r="AD54" s="76"/>
      <c r="AE54" s="76"/>
      <c r="AF54" s="76"/>
      <c r="AG54" s="76"/>
      <c r="AH54" s="76"/>
      <c r="AI54" s="76" t="str">
        <f ca="1">IFERROR(__xludf.DUMMYFUNCTION("""COMPUTED_VALUE"""),"=IF($AO$2=1;COUNTIF(Interface!$C$22:$C$27;$A54);0)")</f>
        <v>=IF($AO$2=1;COUNTIF(Interface!$C$22:$C$27;$A54);0)</v>
      </c>
      <c r="AJ54" s="76" t="str">
        <f ca="1">IFERROR(__xludf.DUMMYFUNCTION("""COMPUTED_VALUE"""),"=IF($AO$2=2;COUNTIF(Interface!$C$30:$C$35;$A54);0)")</f>
        <v>=IF($AO$2=2;COUNTIF(Interface!$C$30:$C$35;$A54);0)</v>
      </c>
      <c r="AK54" s="76"/>
      <c r="AL54" s="76"/>
      <c r="AM54" s="76" t="str">
        <f ca="1">IFERROR(__xludf.DUMMYFUNCTION("""COMPUTED_VALUE"""),"=COUNTIF(Interface!$O$18:$O$23;$A54)")</f>
        <v>=COUNTIF(Interface!$O$18:$O$23;$A54)</v>
      </c>
      <c r="AN54" s="76" t="str">
        <f ca="1">IFERROR(__xludf.DUMMYFUNCTION("""COMPUTED_VALUE"""),"=Image(""https://ddragon.leagueoflegends.com/cdn/12.22.1/img/item/3110.png"")")</f>
        <v>=Image("https://ddragon.leagueoflegends.com/cdn/12.22.1/img/item/3110.png")</v>
      </c>
      <c r="AO54" s="76" t="b">
        <f ca="1">IFERROR(__xludf.DUMMYFUNCTION("""COMPUTED_VALUE"""),TRUE)</f>
        <v>1</v>
      </c>
    </row>
    <row r="55" spans="1:41">
      <c r="A55" s="644" t="str">
        <f ca="1">IFERROR(__xludf.DUMMYFUNCTION("""COMPUTED_VALUE"""),"Gargoyle Stoneplate")</f>
        <v>Gargoyle Stoneplate</v>
      </c>
      <c r="B55" s="84" t="str">
        <f ca="1">IFERROR(__xludf.DUMMYFUNCTION("""COMPUTED_VALUE"""),"=3200")</f>
        <v>=3200</v>
      </c>
      <c r="C55" s="84"/>
      <c r="D55" s="84"/>
      <c r="E55" s="84"/>
      <c r="F55" s="84"/>
      <c r="G55" s="84"/>
      <c r="H55" s="646"/>
      <c r="I55" s="646" t="str">
        <f ca="1">IFERROR(__xludf.DUMMYFUNCTION("""COMPUTED_VALUE"""),"=60")</f>
        <v>=60</v>
      </c>
      <c r="J55" s="84" t="str">
        <f ca="1">IFERROR(__xludf.DUMMYFUNCTION("""COMPUTED_VALUE"""),"=60")</f>
        <v>=60</v>
      </c>
      <c r="K55" s="84"/>
      <c r="L55" s="72"/>
      <c r="M55" s="72" t="str">
        <f ca="1">IFERROR(__xludf.DUMMYFUNCTION("""COMPUTED_VALUE"""),"=15")</f>
        <v>=15</v>
      </c>
      <c r="N55" s="72"/>
      <c r="O55" s="72"/>
      <c r="P55" s="72"/>
      <c r="Q55" s="72"/>
      <c r="R55" s="72"/>
      <c r="S55" s="72"/>
      <c r="T55" s="72"/>
      <c r="U55" s="72"/>
      <c r="V55" s="72"/>
      <c r="W55" s="72"/>
      <c r="X55" s="72"/>
      <c r="Y55" s="72"/>
      <c r="Z55" s="72"/>
      <c r="AA55" s="72"/>
      <c r="AB55" s="72"/>
      <c r="AC55" s="72"/>
      <c r="AD55" s="72"/>
      <c r="AE55" s="72"/>
      <c r="AF55" s="72"/>
      <c r="AG55" s="72"/>
      <c r="AH55" s="72" t="str">
        <f ca="1">IFERROR(__xludf.DUMMYFUNCTION("""COMPUTED_VALUE"""),"=(100 + Self_BoHP * 0,9)*MOD_SelfHeal")</f>
        <v>=(100 + Self_BoHP * 0,9)*MOD_SelfHeal</v>
      </c>
      <c r="AI55" s="72" t="str">
        <f ca="1">IFERROR(__xludf.DUMMYFUNCTION("""COMPUTED_VALUE"""),"=IF($AO$2=1;COUNTIF(Interface!$C$22:$C$27;$A55);0)")</f>
        <v>=IF($AO$2=1;COUNTIF(Interface!$C$22:$C$27;$A55);0)</v>
      </c>
      <c r="AJ55" s="72" t="str">
        <f ca="1">IFERROR(__xludf.DUMMYFUNCTION("""COMPUTED_VALUE"""),"=IF($AO$2=2;COUNTIF(Interface!$C$30:$C$35;$A55);0)")</f>
        <v>=IF($AO$2=2;COUNTIF(Interface!$C$30:$C$35;$A55);0)</v>
      </c>
      <c r="AK55" s="72"/>
      <c r="AL55" s="72"/>
      <c r="AM55" s="72" t="str">
        <f ca="1">IFERROR(__xludf.DUMMYFUNCTION("""COMPUTED_VALUE"""),"=COUNTIF(Interface!$O$18:$O$23;$A55)")</f>
        <v>=COUNTIF(Interface!$O$18:$O$23;$A55)</v>
      </c>
      <c r="AN55" s="72" t="str">
        <f ca="1">IFERROR(__xludf.DUMMYFUNCTION("""COMPUTED_VALUE"""),"=Image(""https://ddragon.leagueoflegends.com/cdn/12.22.1/img/item/3193.png"")")</f>
        <v>=Image("https://ddragon.leagueoflegends.com/cdn/12.22.1/img/item/3193.png")</v>
      </c>
      <c r="AO55" s="72" t="b">
        <f ca="1">IFERROR(__xludf.DUMMYFUNCTION("""COMPUTED_VALUE"""),TRUE)</f>
        <v>1</v>
      </c>
    </row>
    <row r="56" spans="1:41">
      <c r="A56" s="643" t="str">
        <f ca="1">IFERROR(__xludf.DUMMYFUNCTION("""COMPUTED_VALUE"""),"Giant's Belt")</f>
        <v>Giant's Belt</v>
      </c>
      <c r="B56" s="78" t="str">
        <f ca="1">IFERROR(__xludf.DUMMYFUNCTION("""COMPUTED_VALUE"""),"=900")</f>
        <v>=900</v>
      </c>
      <c r="C56" s="78" t="str">
        <f ca="1">IFERROR(__xludf.DUMMYFUNCTION("""COMPUTED_VALUE"""),"=350")</f>
        <v>=350</v>
      </c>
      <c r="D56" s="78"/>
      <c r="E56" s="78"/>
      <c r="F56" s="78"/>
      <c r="G56" s="78"/>
      <c r="H56" s="78"/>
      <c r="I56" s="78"/>
      <c r="J56" s="78"/>
      <c r="K56" s="78"/>
      <c r="L56" s="76"/>
      <c r="M56" s="76"/>
      <c r="N56" s="76"/>
      <c r="O56" s="76"/>
      <c r="P56" s="76"/>
      <c r="Q56" s="76"/>
      <c r="R56" s="76"/>
      <c r="S56" s="76"/>
      <c r="T56" s="76"/>
      <c r="U56" s="76"/>
      <c r="V56" s="76"/>
      <c r="W56" s="76"/>
      <c r="X56" s="76"/>
      <c r="Y56" s="76"/>
      <c r="Z56" s="76"/>
      <c r="AA56" s="76"/>
      <c r="AB56" s="76"/>
      <c r="AC56" s="76"/>
      <c r="AD56" s="76"/>
      <c r="AE56" s="76"/>
      <c r="AF56" s="76"/>
      <c r="AG56" s="76"/>
      <c r="AH56" s="76"/>
      <c r="AI56" s="76" t="str">
        <f ca="1">IFERROR(__xludf.DUMMYFUNCTION("""COMPUTED_VALUE"""),"=IF($AO$2=1;COUNTIF(Interface!$C$22:$C$27;$A56);0)")</f>
        <v>=IF($AO$2=1;COUNTIF(Interface!$C$22:$C$27;$A56);0)</v>
      </c>
      <c r="AJ56" s="76" t="str">
        <f ca="1">IFERROR(__xludf.DUMMYFUNCTION("""COMPUTED_VALUE"""),"=IF($AO$2=2;COUNTIF(Interface!$C$30:$C$35;$A56);0)")</f>
        <v>=IF($AO$2=2;COUNTIF(Interface!$C$30:$C$35;$A56);0)</v>
      </c>
      <c r="AK56" s="76"/>
      <c r="AL56" s="76"/>
      <c r="AM56" s="76" t="str">
        <f ca="1">IFERROR(__xludf.DUMMYFUNCTION("""COMPUTED_VALUE"""),"=COUNTIF(Interface!$O$18:$O$23;$A56)")</f>
        <v>=COUNTIF(Interface!$O$18:$O$23;$A56)</v>
      </c>
      <c r="AN56" s="76" t="str">
        <f ca="1">IFERROR(__xludf.DUMMYFUNCTION("""COMPUTED_VALUE"""),"=Image(""https://ddragon.leagueoflegends.com/cdn/12.22.1/img/item/1011.png"")")</f>
        <v>=Image("https://ddragon.leagueoflegends.com/cdn/12.22.1/img/item/1011.png")</v>
      </c>
      <c r="AO56" s="76" t="b">
        <f ca="1">IFERROR(__xludf.DUMMYFUNCTION("""COMPUTED_VALUE"""),FALSE)</f>
        <v>0</v>
      </c>
    </row>
    <row r="57" spans="1:41">
      <c r="A57" s="644" t="str">
        <f ca="1">IFERROR(__xludf.DUMMYFUNCTION("""COMPUTED_VALUE"""),"Glacial Buckler")</f>
        <v>Glacial Buckler</v>
      </c>
      <c r="B57" s="84" t="str">
        <f ca="1">IFERROR(__xludf.DUMMYFUNCTION("""COMPUTED_VALUE"""),"=900")</f>
        <v>=900</v>
      </c>
      <c r="C57" s="84"/>
      <c r="D57" s="84"/>
      <c r="E57" s="84" t="str">
        <f ca="1">IFERROR(__xludf.DUMMYFUNCTION("""COMPUTED_VALUE"""),"=250")</f>
        <v>=250</v>
      </c>
      <c r="F57" s="84"/>
      <c r="G57" s="84"/>
      <c r="H57" s="646"/>
      <c r="I57" s="84" t="str">
        <f ca="1">IFERROR(__xludf.DUMMYFUNCTION("""COMPUTED_VALUE"""),"=20")</f>
        <v>=20</v>
      </c>
      <c r="J57" s="84"/>
      <c r="K57" s="84"/>
      <c r="L57" s="72"/>
      <c r="M57" s="72" t="str">
        <f ca="1">IFERROR(__xludf.DUMMYFUNCTION("""COMPUTED_VALUE"""),"=10")</f>
        <v>=10</v>
      </c>
      <c r="N57" s="72"/>
      <c r="O57" s="72"/>
      <c r="P57" s="72"/>
      <c r="Q57" s="72"/>
      <c r="R57" s="72"/>
      <c r="S57" s="72"/>
      <c r="T57" s="72"/>
      <c r="U57" s="72"/>
      <c r="V57" s="72"/>
      <c r="W57" s="72"/>
      <c r="X57" s="72"/>
      <c r="Y57" s="72"/>
      <c r="Z57" s="72"/>
      <c r="AA57" s="72"/>
      <c r="AB57" s="72"/>
      <c r="AC57" s="72"/>
      <c r="AD57" s="72"/>
      <c r="AE57" s="72"/>
      <c r="AF57" s="72"/>
      <c r="AG57" s="72"/>
      <c r="AH57" s="72"/>
      <c r="AI57" s="72" t="str">
        <f ca="1">IFERROR(__xludf.DUMMYFUNCTION("""COMPUTED_VALUE"""),"=IF($AO$2=1;COUNTIF(Interface!$C$22:$C$27;$A57);0)")</f>
        <v>=IF($AO$2=1;COUNTIF(Interface!$C$22:$C$27;$A57);0)</v>
      </c>
      <c r="AJ57" s="72" t="str">
        <f ca="1">IFERROR(__xludf.DUMMYFUNCTION("""COMPUTED_VALUE"""),"=IF($AO$2=2;COUNTIF(Interface!$C$30:$C$35;$A57);0)")</f>
        <v>=IF($AO$2=2;COUNTIF(Interface!$C$30:$C$35;$A57);0)</v>
      </c>
      <c r="AK57" s="72"/>
      <c r="AL57" s="72"/>
      <c r="AM57" s="72" t="str">
        <f ca="1">IFERROR(__xludf.DUMMYFUNCTION("""COMPUTED_VALUE"""),"=COUNTIF(Interface!$O$18:$O$23;$A57)")</f>
        <v>=COUNTIF(Interface!$O$18:$O$23;$A57)</v>
      </c>
      <c r="AN57" s="72" t="str">
        <f ca="1">IFERROR(__xludf.DUMMYFUNCTION("""COMPUTED_VALUE"""),"=Image(""https://ddragon.leagueoflegends.com/cdn/12.22.1/img/item/3024.png"")")</f>
        <v>=Image("https://ddragon.leagueoflegends.com/cdn/12.22.1/img/item/3024.png")</v>
      </c>
      <c r="AO57" s="72" t="b">
        <f ca="1">IFERROR(__xludf.DUMMYFUNCTION("""COMPUTED_VALUE"""),FALSE)</f>
        <v>0</v>
      </c>
    </row>
    <row r="58" spans="1:41">
      <c r="A58" s="643" t="str">
        <f ca="1">IFERROR(__xludf.DUMMYFUNCTION("""COMPUTED_VALUE"""),"Guardian Angel")</f>
        <v>Guardian Angel</v>
      </c>
      <c r="B58" s="78" t="str">
        <f ca="1">IFERROR(__xludf.DUMMYFUNCTION("""COMPUTED_VALUE"""),"=3000")</f>
        <v>=3000</v>
      </c>
      <c r="C58" s="78"/>
      <c r="D58" s="78"/>
      <c r="E58" s="78"/>
      <c r="F58" s="78"/>
      <c r="G58" s="78" t="str">
        <f ca="1">IFERROR(__xludf.DUMMYFUNCTION("""COMPUTED_VALUE"""),"=45")</f>
        <v>=45</v>
      </c>
      <c r="H58" s="78"/>
      <c r="I58" s="78" t="str">
        <f ca="1">IFERROR(__xludf.DUMMYFUNCTION("""COMPUTED_VALUE"""),"=40")</f>
        <v>=40</v>
      </c>
      <c r="J58" s="78"/>
      <c r="K58" s="78"/>
      <c r="L58" s="76"/>
      <c r="M58" s="76"/>
      <c r="N58" s="76"/>
      <c r="O58" s="76"/>
      <c r="P58" s="76"/>
      <c r="Q58" s="76"/>
      <c r="R58" s="76"/>
      <c r="S58" s="76"/>
      <c r="T58" s="76"/>
      <c r="U58" s="76"/>
      <c r="V58" s="76"/>
      <c r="W58" s="76"/>
      <c r="X58" s="76"/>
      <c r="Y58" s="76"/>
      <c r="Z58" s="76"/>
      <c r="AA58" s="76"/>
      <c r="AB58" s="76"/>
      <c r="AC58" s="76"/>
      <c r="AD58" s="76"/>
      <c r="AE58" s="76"/>
      <c r="AF58" s="76"/>
      <c r="AG58" s="76"/>
      <c r="AH58" s="76"/>
      <c r="AI58" s="76" t="str">
        <f ca="1">IFERROR(__xludf.DUMMYFUNCTION("""COMPUTED_VALUE"""),"=IF($AO$2=1;COUNTIF(Interface!$C$22:$C$27;$A58);0)")</f>
        <v>=IF($AO$2=1;COUNTIF(Interface!$C$22:$C$27;$A58);0)</v>
      </c>
      <c r="AJ58" s="76" t="str">
        <f ca="1">IFERROR(__xludf.DUMMYFUNCTION("""COMPUTED_VALUE"""),"=IF($AO$2=2;COUNTIF(Interface!$C$30:$C$35;$A58);0)")</f>
        <v>=IF($AO$2=2;COUNTIF(Interface!$C$30:$C$35;$A58);0)</v>
      </c>
      <c r="AK58" s="76"/>
      <c r="AL58" s="76"/>
      <c r="AM58" s="76" t="str">
        <f ca="1">IFERROR(__xludf.DUMMYFUNCTION("""COMPUTED_VALUE"""),"=COUNTIF(Interface!$O$18:$O$23;$A58)")</f>
        <v>=COUNTIF(Interface!$O$18:$O$23;$A58)</v>
      </c>
      <c r="AN58" s="76" t="str">
        <f ca="1">IFERROR(__xludf.DUMMYFUNCTION("""COMPUTED_VALUE"""),"=Image(""https://ddragon.leagueoflegends.com/cdn/12.22.1/img/item/3026.png"")")</f>
        <v>=Image("https://ddragon.leagueoflegends.com/cdn/12.22.1/img/item/3026.png")</v>
      </c>
      <c r="AO58" s="76" t="b">
        <f ca="1">IFERROR(__xludf.DUMMYFUNCTION("""COMPUTED_VALUE"""),TRUE)</f>
        <v>1</v>
      </c>
    </row>
    <row r="59" spans="1:41">
      <c r="A59" s="644" t="str">
        <f ca="1">IFERROR(__xludf.DUMMYFUNCTION("""COMPUTED_VALUE"""),"Harrowing Cresent")</f>
        <v>Harrowing Cresent</v>
      </c>
      <c r="B59" s="84" t="str">
        <f ca="1">IFERROR(__xludf.DUMMYFUNCTION("""COMPUTED_VALUE"""),"=400")</f>
        <v>=400</v>
      </c>
      <c r="C59" s="84" t="str">
        <f ca="1">IFERROR(__xludf.DUMMYFUNCTION("""COMPUTED_VALUE"""),"=70")</f>
        <v>=70</v>
      </c>
      <c r="D59" s="84"/>
      <c r="E59" s="84"/>
      <c r="F59" s="84" t="str">
        <f ca="1">IFERROR(__xludf.DUMMYFUNCTION("""COMPUTED_VALUE"""),"=0,5")</f>
        <v>=0,5</v>
      </c>
      <c r="G59" s="84" t="str">
        <f ca="1">IFERROR(__xludf.DUMMYFUNCTION("""COMPUTED_VALUE"""),"=10")</f>
        <v>=10</v>
      </c>
      <c r="H59" s="84"/>
      <c r="I59" s="84"/>
      <c r="J59" s="646"/>
      <c r="K59" s="84"/>
      <c r="L59" s="72"/>
      <c r="M59" s="72"/>
      <c r="N59" s="72"/>
      <c r="O59" s="72"/>
      <c r="P59" s="72"/>
      <c r="Q59" s="72"/>
      <c r="R59" s="72"/>
      <c r="S59" s="72"/>
      <c r="T59" s="72"/>
      <c r="U59" s="72"/>
      <c r="V59" s="72"/>
      <c r="W59" s="72"/>
      <c r="X59" s="72"/>
      <c r="Y59" s="72"/>
      <c r="Z59" s="72"/>
      <c r="AA59" s="72"/>
      <c r="AB59" s="72"/>
      <c r="AC59" s="72"/>
      <c r="AD59" s="72"/>
      <c r="AE59" s="72"/>
      <c r="AF59" s="72"/>
      <c r="AG59" s="72"/>
      <c r="AH59" s="72"/>
      <c r="AI59" s="72" t="str">
        <f ca="1">IFERROR(__xludf.DUMMYFUNCTION("""COMPUTED_VALUE"""),"=IF($AO$2=1;COUNTIF(Interface!$C$22:$C$27;$A59);0)")</f>
        <v>=IF($AO$2=1;COUNTIF(Interface!$C$22:$C$27;$A59);0)</v>
      </c>
      <c r="AJ59" s="72" t="str">
        <f ca="1">IFERROR(__xludf.DUMMYFUNCTION("""COMPUTED_VALUE"""),"=IF($AO$2=2;COUNTIF(Interface!$C$30:$C$35;$A59);0)")</f>
        <v>=IF($AO$2=2;COUNTIF(Interface!$C$30:$C$35;$A59);0)</v>
      </c>
      <c r="AK59" s="72"/>
      <c r="AL59" s="72"/>
      <c r="AM59" s="72" t="str">
        <f ca="1">IFERROR(__xludf.DUMMYFUNCTION("""COMPUTED_VALUE"""),"=COUNTIF(Interface!$O$18:$O$23;$A59)")</f>
        <v>=COUNTIF(Interface!$O$18:$O$23;$A59)</v>
      </c>
      <c r="AN59" s="72" t="str">
        <f ca="1">IFERROR(__xludf.DUMMYFUNCTION("""COMPUTED_VALUE"""),"=Image(""https://ddragon.leagueoflegends.com/cdn/12.22.1/img/item/3863.png"")")</f>
        <v>=Image("https://ddragon.leagueoflegends.com/cdn/12.22.1/img/item/3863.png")</v>
      </c>
      <c r="AO59" s="72" t="b">
        <f ca="1">IFERROR(__xludf.DUMMYFUNCTION("""COMPUTED_VALUE"""),FALSE)</f>
        <v>0</v>
      </c>
    </row>
    <row r="60" spans="1:41">
      <c r="A60" s="643" t="str">
        <f ca="1">IFERROR(__xludf.DUMMYFUNCTION("""COMPUTED_VALUE"""),"Hearthbound Axe")</f>
        <v>Hearthbound Axe</v>
      </c>
      <c r="B60" s="78" t="str">
        <f ca="1">IFERROR(__xludf.DUMMYFUNCTION("""COMPUTED_VALUE"""),"=1100")</f>
        <v>=1100</v>
      </c>
      <c r="C60" s="78"/>
      <c r="D60" s="78"/>
      <c r="E60" s="78"/>
      <c r="F60" s="78"/>
      <c r="G60" s="78" t="str">
        <f ca="1">IFERROR(__xludf.DUMMYFUNCTION("""COMPUTED_VALUE"""),"=20")</f>
        <v>=20</v>
      </c>
      <c r="H60" s="645"/>
      <c r="I60" s="78"/>
      <c r="J60" s="78"/>
      <c r="K60" s="78" t="str">
        <f ca="1">IFERROR(__xludf.DUMMYFUNCTION("""COMPUTED_VALUE"""),"=15")</f>
        <v>=15</v>
      </c>
      <c r="L60" s="76"/>
      <c r="M60" s="76"/>
      <c r="N60" s="76"/>
      <c r="O60" s="76"/>
      <c r="P60" s="76"/>
      <c r="Q60" s="76"/>
      <c r="R60" s="76"/>
      <c r="S60" s="76"/>
      <c r="T60" s="76"/>
      <c r="U60" s="76"/>
      <c r="V60" s="76"/>
      <c r="W60" s="76"/>
      <c r="X60" s="76"/>
      <c r="Y60" s="76"/>
      <c r="Z60" s="76"/>
      <c r="AA60" s="76"/>
      <c r="AB60" s="76"/>
      <c r="AC60" s="76"/>
      <c r="AD60" s="76"/>
      <c r="AE60" s="76"/>
      <c r="AF60" s="76"/>
      <c r="AG60" s="76"/>
      <c r="AH60" s="76"/>
      <c r="AI60" s="76" t="str">
        <f ca="1">IFERROR(__xludf.DUMMYFUNCTION("""COMPUTED_VALUE"""),"=IF($AO$2=1;COUNTIF(Interface!$C$22:$C$27;$A60);0)")</f>
        <v>=IF($AO$2=1;COUNTIF(Interface!$C$22:$C$27;$A60);0)</v>
      </c>
      <c r="AJ60" s="76" t="str">
        <f ca="1">IFERROR(__xludf.DUMMYFUNCTION("""COMPUTED_VALUE"""),"=IF($AO$2=2;COUNTIF(Interface!$C$30:$C$35;$A60);0)")</f>
        <v>=IF($AO$2=2;COUNTIF(Interface!$C$30:$C$35;$A60);0)</v>
      </c>
      <c r="AK60" s="76"/>
      <c r="AL60" s="76"/>
      <c r="AM60" s="76" t="str">
        <f ca="1">IFERROR(__xludf.DUMMYFUNCTION("""COMPUTED_VALUE"""),"=COUNTIF(Interface!$O$18:$O$23;$A60)")</f>
        <v>=COUNTIF(Interface!$O$18:$O$23;$A60)</v>
      </c>
      <c r="AN60" s="76" t="str">
        <f ca="1">IFERROR(__xludf.DUMMYFUNCTION("""COMPUTED_VALUE"""),"=Image(""https://ddragon.leagueoflegends.com/cdn/12.22.1/img/item/3051.png"")")</f>
        <v>=Image("https://ddragon.leagueoflegends.com/cdn/12.22.1/img/item/3051.png")</v>
      </c>
      <c r="AO60" s="76" t="b">
        <f ca="1">IFERROR(__xludf.DUMMYFUNCTION("""COMPUTED_VALUE"""),FALSE)</f>
        <v>0</v>
      </c>
    </row>
    <row r="61" spans="1:41">
      <c r="A61" s="644" t="str">
        <f ca="1">IFERROR(__xludf.DUMMYFUNCTION("""COMPUTED_VALUE"""),"Hexdrinker")</f>
        <v>Hexdrinker</v>
      </c>
      <c r="B61" s="84" t="str">
        <f ca="1">IFERROR(__xludf.DUMMYFUNCTION("""COMPUTED_VALUE"""),"=1300")</f>
        <v>=1300</v>
      </c>
      <c r="C61" s="84"/>
      <c r="D61" s="84"/>
      <c r="E61" s="84"/>
      <c r="F61" s="84"/>
      <c r="G61" s="84" t="str">
        <f ca="1">IFERROR(__xludf.DUMMYFUNCTION("""COMPUTED_VALUE"""),"=25")</f>
        <v>=25</v>
      </c>
      <c r="H61" s="84"/>
      <c r="I61" s="84"/>
      <c r="J61" s="84" t="str">
        <f ca="1">IFERROR(__xludf.DUMMYFUNCTION("""COMPUTED_VALUE"""),"=35")</f>
        <v>=35</v>
      </c>
      <c r="K61" s="646"/>
      <c r="L61" s="72"/>
      <c r="M61" s="72"/>
      <c r="N61" s="72"/>
      <c r="O61" s="72"/>
      <c r="P61" s="72"/>
      <c r="Q61" s="72"/>
      <c r="R61" s="72"/>
      <c r="S61" s="72"/>
      <c r="T61" s="72"/>
      <c r="U61" s="72"/>
      <c r="V61" s="72"/>
      <c r="W61" s="72"/>
      <c r="X61" s="72"/>
      <c r="Y61" s="72"/>
      <c r="Z61" s="72"/>
      <c r="AA61" s="72"/>
      <c r="AB61" s="72"/>
      <c r="AC61" s="72"/>
      <c r="AD61" s="72"/>
      <c r="AE61" s="72"/>
      <c r="AF61" s="72"/>
      <c r="AG61" s="72"/>
      <c r="AH61" s="72"/>
      <c r="AI61" s="72" t="str">
        <f ca="1">IFERROR(__xludf.DUMMYFUNCTION("""COMPUTED_VALUE"""),"=IF($AO$2=1;COUNTIF(Interface!$C$22:$C$27;$A61);0)")</f>
        <v>=IF($AO$2=1;COUNTIF(Interface!$C$22:$C$27;$A61);0)</v>
      </c>
      <c r="AJ61" s="72" t="str">
        <f ca="1">IFERROR(__xludf.DUMMYFUNCTION("""COMPUTED_VALUE"""),"=IF($AO$2=2;COUNTIF(Interface!$C$30:$C$35;$A61);0)")</f>
        <v>=IF($AO$2=2;COUNTIF(Interface!$C$30:$C$35;$A61);0)</v>
      </c>
      <c r="AK61" s="72"/>
      <c r="AL61" s="72"/>
      <c r="AM61" s="72" t="str">
        <f ca="1">IFERROR(__xludf.DUMMYFUNCTION("""COMPUTED_VALUE"""),"=COUNTIF(Interface!$O$18:$O$23;$A61)")</f>
        <v>=COUNTIF(Interface!$O$18:$O$23;$A61)</v>
      </c>
      <c r="AN61" s="72" t="str">
        <f ca="1">IFERROR(__xludf.DUMMYFUNCTION("""COMPUTED_VALUE"""),"=Image(""https://ddragon.leagueoflegends.com/cdn/12.22.1/img/item/3155.png"")")</f>
        <v>=Image("https://ddragon.leagueoflegends.com/cdn/12.22.1/img/item/3155.png")</v>
      </c>
      <c r="AO61" s="72" t="b">
        <f ca="1">IFERROR(__xludf.DUMMYFUNCTION("""COMPUTED_VALUE"""),FALSE)</f>
        <v>0</v>
      </c>
    </row>
    <row r="62" spans="1:41">
      <c r="A62" s="643" t="str">
        <f ca="1">IFERROR(__xludf.DUMMYFUNCTION("""COMPUTED_VALUE"""),"Hextech Alternator")</f>
        <v>Hextech Alternator</v>
      </c>
      <c r="B62" s="78" t="str">
        <f ca="1">IFERROR(__xludf.DUMMYFUNCTION("""COMPUTED_VALUE"""),"=1050")</f>
        <v>=1050</v>
      </c>
      <c r="C62" s="78" t="str">
        <f ca="1">IFERROR(__xludf.DUMMYFUNCTION("""COMPUTED_VALUE"""),"=150")</f>
        <v>=150</v>
      </c>
      <c r="D62" s="78"/>
      <c r="E62" s="78"/>
      <c r="F62" s="78"/>
      <c r="G62" s="78"/>
      <c r="H62" s="78" t="str">
        <f ca="1">IFERROR(__xludf.DUMMYFUNCTION("""COMPUTED_VALUE"""),"=25")</f>
        <v>=25</v>
      </c>
      <c r="I62" s="78"/>
      <c r="J62" s="78"/>
      <c r="K62" s="78"/>
      <c r="L62" s="76"/>
      <c r="M62" s="76"/>
      <c r="N62" s="76"/>
      <c r="O62" s="76"/>
      <c r="P62" s="76"/>
      <c r="Q62" s="76"/>
      <c r="R62" s="76"/>
      <c r="S62" s="76"/>
      <c r="T62" s="76"/>
      <c r="U62" s="76"/>
      <c r="V62" s="76"/>
      <c r="W62" s="76" t="str">
        <f ca="1">IFERROR(__xludf.DUMMYFUNCTION("""COMPUTED_VALUE"""),"=50+75*Sc_Lin")</f>
        <v>=50+75*Sc_Lin</v>
      </c>
      <c r="X62" s="76"/>
      <c r="Y62" s="76"/>
      <c r="Z62" s="76"/>
      <c r="AA62" s="76"/>
      <c r="AB62" s="76"/>
      <c r="AC62" s="76"/>
      <c r="AD62" s="76"/>
      <c r="AE62" s="76"/>
      <c r="AF62" s="76"/>
      <c r="AG62" s="76"/>
      <c r="AH62" s="76"/>
      <c r="AI62" s="76" t="str">
        <f ca="1">IFERROR(__xludf.DUMMYFUNCTION("""COMPUTED_VALUE"""),"=IF($AO$2=1;COUNTIF(Interface!$C$22:$C$27;$A62);0)")</f>
        <v>=IF($AO$2=1;COUNTIF(Interface!$C$22:$C$27;$A62);0)</v>
      </c>
      <c r="AJ62" s="76" t="str">
        <f ca="1">IFERROR(__xludf.DUMMYFUNCTION("""COMPUTED_VALUE"""),"=IF($AO$2=2;COUNTIF(Interface!$C$30:$C$35;$A62);0)")</f>
        <v>=IF($AO$2=2;COUNTIF(Interface!$C$30:$C$35;$A62);0)</v>
      </c>
      <c r="AK62" s="76"/>
      <c r="AL62" s="76"/>
      <c r="AM62" s="76" t="str">
        <f ca="1">IFERROR(__xludf.DUMMYFUNCTION("""COMPUTED_VALUE"""),"=COUNTIF(Interface!$O$18:$O$23;$A62)")</f>
        <v>=COUNTIF(Interface!$O$18:$O$23;$A62)</v>
      </c>
      <c r="AN62" s="76" t="str">
        <f ca="1">IFERROR(__xludf.DUMMYFUNCTION("""COMPUTED_VALUE"""),"=Image(""https://ddragon.leagueoflegends.com/cdn/12.22.1/img/item/3145.png"")")</f>
        <v>=Image("https://ddragon.leagueoflegends.com/cdn/12.22.1/img/item/3145.png")</v>
      </c>
      <c r="AO62" s="76" t="b">
        <f ca="1">IFERROR(__xludf.DUMMYFUNCTION("""COMPUTED_VALUE"""),FALSE)</f>
        <v>0</v>
      </c>
    </row>
    <row r="63" spans="1:41">
      <c r="A63" s="644" t="str">
        <f ca="1">IFERROR(__xludf.DUMMYFUNCTION("""COMPUTED_VALUE"""),"Horizon Focus")</f>
        <v>Horizon Focus</v>
      </c>
      <c r="B63" s="84" t="str">
        <f ca="1">IFERROR(__xludf.DUMMYFUNCTION("""COMPUTED_VALUE"""),"=3000")</f>
        <v>=3000</v>
      </c>
      <c r="C63" s="84" t="str">
        <f ca="1">IFERROR(__xludf.DUMMYFUNCTION("""COMPUTED_VALUE"""),"=150")</f>
        <v>=150</v>
      </c>
      <c r="D63" s="84"/>
      <c r="E63" s="84"/>
      <c r="F63" s="84"/>
      <c r="G63" s="646"/>
      <c r="H63" s="646" t="str">
        <f ca="1">IFERROR(__xludf.DUMMYFUNCTION("""COMPUTED_VALUE"""),"=100")</f>
        <v>=100</v>
      </c>
      <c r="I63" s="646"/>
      <c r="J63" s="84"/>
      <c r="K63" s="84"/>
      <c r="L63" s="72"/>
      <c r="M63" s="72" t="str">
        <f ca="1">IFERROR(__xludf.DUMMYFUNCTION("""COMPUTED_VALUE"""),"=15")</f>
        <v>=15</v>
      </c>
      <c r="N63" s="72"/>
      <c r="O63" s="72"/>
      <c r="P63" s="72"/>
      <c r="Q63" s="72"/>
      <c r="R63" s="72"/>
      <c r="S63" s="72"/>
      <c r="T63" s="72"/>
      <c r="U63" s="72"/>
      <c r="V63" s="72"/>
      <c r="W63" s="72"/>
      <c r="X63" s="72"/>
      <c r="Y63" s="72"/>
      <c r="Z63" s="72"/>
      <c r="AA63" s="72"/>
      <c r="AB63" s="72"/>
      <c r="AC63" s="72" t="str">
        <f ca="1">IFERROR(__xludf.DUMMYFUNCTION("""COMPUTED_VALUE"""),"=IF(Steroid_Items; 10; 0)")</f>
        <v>=IF(Steroid_Items; 10; 0)</v>
      </c>
      <c r="AD63" s="72" t="str">
        <f ca="1">IFERROR(__xludf.DUMMYFUNCTION("""COMPUTED_VALUE"""),"=IF(Steroid_Items; 10; 0)")</f>
        <v>=IF(Steroid_Items; 10; 0)</v>
      </c>
      <c r="AE63" s="72"/>
      <c r="AF63" s="72"/>
      <c r="AG63" s="72"/>
      <c r="AH63" s="72"/>
      <c r="AI63" s="72" t="str">
        <f ca="1">IFERROR(__xludf.DUMMYFUNCTION("""COMPUTED_VALUE"""),"=IF($AO$2=1;COUNTIF(Interface!$C$22:$C$27;$A63);0)")</f>
        <v>=IF($AO$2=1;COUNTIF(Interface!$C$22:$C$27;$A63);0)</v>
      </c>
      <c r="AJ63" s="72" t="str">
        <f ca="1">IFERROR(__xludf.DUMMYFUNCTION("""COMPUTED_VALUE"""),"=IF($AO$2=2;COUNTIF(Interface!$C$30:$C$35;$A63);0)")</f>
        <v>=IF($AO$2=2;COUNTIF(Interface!$C$30:$C$35;$A63);0)</v>
      </c>
      <c r="AK63" s="72"/>
      <c r="AL63" s="72"/>
      <c r="AM63" s="72" t="str">
        <f ca="1">IFERROR(__xludf.DUMMYFUNCTION("""COMPUTED_VALUE"""),"=COUNTIF(Interface!$O$18:$O$23;$A63)")</f>
        <v>=COUNTIF(Interface!$O$18:$O$23;$A63)</v>
      </c>
      <c r="AN63" s="72" t="str">
        <f ca="1">IFERROR(__xludf.DUMMYFUNCTION("""COMPUTED_VALUE"""),"=Image(""https://ddragon.leagueoflegends.com/cdn/12.22.1/img/item/4628.png"")")</f>
        <v>=Image("https://ddragon.leagueoflegends.com/cdn/12.22.1/img/item/4628.png")</v>
      </c>
      <c r="AO63" s="72" t="b">
        <f ca="1">IFERROR(__xludf.DUMMYFUNCTION("""COMPUTED_VALUE"""),TRUE)</f>
        <v>1</v>
      </c>
    </row>
    <row r="64" spans="1:41">
      <c r="A64" s="643" t="str">
        <f ca="1">IFERROR(__xludf.DUMMYFUNCTION("""COMPUTED_VALUE"""),"Hullbreaker")</f>
        <v>Hullbreaker</v>
      </c>
      <c r="B64" s="78" t="str">
        <f ca="1">IFERROR(__xludf.DUMMYFUNCTION("""COMPUTED_VALUE"""),"=3000")</f>
        <v>=3000</v>
      </c>
      <c r="C64" s="78" t="str">
        <f ca="1">IFERROR(__xludf.DUMMYFUNCTION("""COMPUTED_VALUE"""),"=400")</f>
        <v>=400</v>
      </c>
      <c r="D64" s="78" t="str">
        <f ca="1">IFERROR(__xludf.DUMMYFUNCTION("""COMPUTED_VALUE"""),"=1,5")</f>
        <v>=1,5</v>
      </c>
      <c r="E64" s="78"/>
      <c r="F64" s="78"/>
      <c r="G64" s="645" t="str">
        <f ca="1">IFERROR(__xludf.DUMMYFUNCTION("""COMPUTED_VALUE"""),"=60")</f>
        <v>=60</v>
      </c>
      <c r="H64" s="78"/>
      <c r="I64" s="78" t="str">
        <f ca="1">IFERROR(__xludf.DUMMYFUNCTION("""COMPUTED_VALUE"""),"=IF(Steroid_Items; 10 + 8 * IF(Self_Level &gt; 11; Self_Level - 11; 0) + IF(Self_Level &gt; 11; 2; 0) + IF(Self_Level &gt; 12; 7; 0); 0) / IF(VLOOKUP(Name;Champs!A2:AE200;31;False); 1; 2)")</f>
        <v>=IF(Steroid_Items; 10 + 8 * IF(Self_Level &gt; 11; Self_Level - 11; 0) + IF(Self_Level &gt; 11; 2; 0) + IF(Self_Level &gt; 12; 7; 0); 0) / IF(VLOOKUP(Name;Champs!A2:AE200;31;False); 1; 2)</v>
      </c>
      <c r="J64" s="78" t="str">
        <f ca="1">IFERROR(__xludf.DUMMYFUNCTION("""COMPUTED_VALUE"""),"=IF(Steroid_Items; 10 + 8 * IF(Self_Level &gt; 11; Self_Level - 11; 0) + IF(Self_Level &gt; 11; 2; 0) + IF(Self_Level &gt; 12; 7; 0); 0) / IF(VLOOKUP(Name;Champs!A2:AE200;31;False); 1; 2)")</f>
        <v>=IF(Steroid_Items; 10 + 8 * IF(Self_Level &gt; 11; Self_Level - 11; 0) + IF(Self_Level &gt; 11; 2; 0) + IF(Self_Level &gt; 12; 7; 0); 0) / IF(VLOOKUP(Name;Champs!A2:AE200;31;False); 1; 2)</v>
      </c>
      <c r="K64" s="78"/>
      <c r="L64" s="76"/>
      <c r="M64" s="76"/>
      <c r="N64" s="76"/>
      <c r="O64" s="76"/>
      <c r="P64" s="76"/>
      <c r="Q64" s="76"/>
      <c r="R64" s="76" t="str">
        <f ca="1">IFERROR(__xludf.DUMMYFUNCTION("""COMPUTED_VALUE"""),"=5")</f>
        <v>=5</v>
      </c>
      <c r="S64" s="76"/>
      <c r="T64" s="76"/>
      <c r="U64" s="76"/>
      <c r="V64" s="76"/>
      <c r="W64" s="76"/>
      <c r="X64" s="76"/>
      <c r="Y64" s="76"/>
      <c r="Z64" s="76"/>
      <c r="AA64" s="76"/>
      <c r="AB64" s="76"/>
      <c r="AC64" s="76"/>
      <c r="AD64" s="76"/>
      <c r="AE64" s="76"/>
      <c r="AF64" s="76"/>
      <c r="AG64" s="76"/>
      <c r="AH64" s="76"/>
      <c r="AI64" s="76" t="str">
        <f ca="1">IFERROR(__xludf.DUMMYFUNCTION("""COMPUTED_VALUE"""),"=IF($AO$2=1;COUNTIF(Interface!$C$22:$C$27;$A64);0)")</f>
        <v>=IF($AO$2=1;COUNTIF(Interface!$C$22:$C$27;$A64);0)</v>
      </c>
      <c r="AJ64" s="76" t="str">
        <f ca="1">IFERROR(__xludf.DUMMYFUNCTION("""COMPUTED_VALUE"""),"=IF($AO$2=2;COUNTIF(Interface!$C$30:$C$35;$A64);0)")</f>
        <v>=IF($AO$2=2;COUNTIF(Interface!$C$30:$C$35;$A64);0)</v>
      </c>
      <c r="AK64" s="76"/>
      <c r="AL64" s="76"/>
      <c r="AM64" s="76" t="str">
        <f ca="1">IFERROR(__xludf.DUMMYFUNCTION("""COMPUTED_VALUE"""),"=COUNTIF(Interface!$O$18:$O$23;$A64)")</f>
        <v>=COUNTIF(Interface!$O$18:$O$23;$A64)</v>
      </c>
      <c r="AN64" s="76" t="str">
        <f ca="1">IFERROR(__xludf.DUMMYFUNCTION("""COMPUTED_VALUE"""),"=Image(""https://ddragon.leagueoflegends.com/cdn/12.22.1/img/item/3181.png"")")</f>
        <v>=Image("https://ddragon.leagueoflegends.com/cdn/12.22.1/img/item/3181.png")</v>
      </c>
      <c r="AO64" s="76" t="b">
        <f ca="1">IFERROR(__xludf.DUMMYFUNCTION("""COMPUTED_VALUE"""),TRUE)</f>
        <v>1</v>
      </c>
    </row>
    <row r="65" spans="1:41">
      <c r="A65" s="644" t="str">
        <f ca="1">IFERROR(__xludf.DUMMYFUNCTION("""COMPUTED_VALUE"""),"Immortal Shieldbow")</f>
        <v>Immortal Shieldbow</v>
      </c>
      <c r="B65" s="84" t="str">
        <f ca="1">IFERROR(__xludf.DUMMYFUNCTION("""COMPUTED_VALUE"""),"=3000")</f>
        <v>=3000</v>
      </c>
      <c r="C65" s="84"/>
      <c r="D65" s="84"/>
      <c r="E65" s="84"/>
      <c r="F65" s="84"/>
      <c r="G65" s="84" t="str">
        <f ca="1">IFERROR(__xludf.DUMMYFUNCTION("""COMPUTED_VALUE"""),"=50")</f>
        <v>=50</v>
      </c>
      <c r="H65" s="84"/>
      <c r="I65" s="646"/>
      <c r="J65" s="84"/>
      <c r="K65" s="84" t="str">
        <f ca="1">IFERROR(__xludf.DUMMYFUNCTION("""COMPUTED_VALUE"""),"=IF(Steroid_Items;30;0)")</f>
        <v>=IF(Steroid_Items;30;0)</v>
      </c>
      <c r="L65" s="72" t="str">
        <f ca="1">IFERROR(__xludf.DUMMYFUNCTION("""COMPUTED_VALUE"""),"=20")</f>
        <v>=20</v>
      </c>
      <c r="M65" s="72"/>
      <c r="N65" s="72" t="str">
        <f ca="1">IFERROR(__xludf.DUMMYFUNCTION("""COMPUTED_VALUE"""),"=10")</f>
        <v>=10</v>
      </c>
      <c r="O65" s="72"/>
      <c r="P65" s="72"/>
      <c r="Q65" s="72"/>
      <c r="R65" s="72"/>
      <c r="S65" s="72"/>
      <c r="T65" s="72"/>
      <c r="U65" s="72"/>
      <c r="V65" s="72"/>
      <c r="W65" s="72"/>
      <c r="X65" s="72"/>
      <c r="Y65" s="72"/>
      <c r="Z65" s="72"/>
      <c r="AA65" s="72"/>
      <c r="AB65" s="72"/>
      <c r="AC65" s="72"/>
      <c r="AD65" s="72"/>
      <c r="AE65" s="72"/>
      <c r="AF65" s="72"/>
      <c r="AG65" s="72"/>
      <c r="AH65" s="72" t="str">
        <f ca="1">IFERROR(__xludf.DUMMYFUNCTION("""COMPUTED_VALUE"""),"=(215 + IF(Self_Level &gt; 10; (285 / 8) * (Self_Level - 10); 0)) * MOD_SelfHeal")</f>
        <v>=(215 + IF(Self_Level &gt; 10; (285 / 8) * (Self_Level - 10); 0)) * MOD_SelfHeal</v>
      </c>
      <c r="AI65" s="72" t="str">
        <f ca="1">IFERROR(__xludf.DUMMYFUNCTION("""COMPUTED_VALUE"""),"=IF($AO$2=1;COUNTIF(Interface!$C$22:$C$27;$A65);0)")</f>
        <v>=IF($AO$2=1;COUNTIF(Interface!$C$22:$C$27;$A65);0)</v>
      </c>
      <c r="AJ65" s="72" t="str">
        <f ca="1">IFERROR(__xludf.DUMMYFUNCTION("""COMPUTED_VALUE"""),"=IF($AO$2=2;COUNTIF(Interface!$C$30:$C$35;$A65);0)")</f>
        <v>=IF($AO$2=2;COUNTIF(Interface!$C$30:$C$35;$A65);0)</v>
      </c>
      <c r="AK65" s="72"/>
      <c r="AL65" s="72"/>
      <c r="AM65" s="72" t="str">
        <f ca="1">IFERROR(__xludf.DUMMYFUNCTION("""COMPUTED_VALUE"""),"=COUNTIF(Interface!$O$18:$O$23;$A65)")</f>
        <v>=COUNTIF(Interface!$O$18:$O$23;$A65)</v>
      </c>
      <c r="AN65" s="72" t="str">
        <f ca="1">IFERROR(__xludf.DUMMYFUNCTION("""COMPUTED_VALUE"""),"=Image(""https://ddragon.leagueoflegends.com/cdn/12.22.1/img/item/6673.png"")")</f>
        <v>=Image("https://ddragon.leagueoflegends.com/cdn/12.22.1/img/item/6673.png")</v>
      </c>
      <c r="AO65" s="72" t="b">
        <f ca="1">IFERROR(__xludf.DUMMYFUNCTION("""COMPUTED_VALUE"""),TRUE)</f>
        <v>1</v>
      </c>
    </row>
    <row r="66" spans="1:41">
      <c r="A66" s="643" t="str">
        <f ca="1">IFERROR(__xludf.DUMMYFUNCTION("""COMPUTED_VALUE"""),"Imperial Mandate")</f>
        <v>Imperial Mandate</v>
      </c>
      <c r="B66" s="78" t="str">
        <f ca="1">IFERROR(__xludf.DUMMYFUNCTION("""COMPUTED_VALUE"""),"=2300")</f>
        <v>=2300</v>
      </c>
      <c r="C66" s="78"/>
      <c r="D66" s="78"/>
      <c r="E66" s="78"/>
      <c r="F66" s="78" t="str">
        <f ca="1">IFERROR(__xludf.DUMMYFUNCTION("""COMPUTED_VALUE"""),"=1")</f>
        <v>=1</v>
      </c>
      <c r="G66" s="645"/>
      <c r="H66" s="78" t="str">
        <f ca="1">IFERROR(__xludf.DUMMYFUNCTION("""COMPUTED_VALUE"""),"=55")</f>
        <v>=55</v>
      </c>
      <c r="I66" s="78"/>
      <c r="J66" s="78"/>
      <c r="K66" s="78"/>
      <c r="L66" s="76"/>
      <c r="M66" s="76" t="str">
        <f ca="1">IFERROR(__xludf.DUMMYFUNCTION("""COMPUTED_VALUE"""),"=20")</f>
        <v>=20</v>
      </c>
      <c r="N66" s="76"/>
      <c r="O66" s="76"/>
      <c r="P66" s="76"/>
      <c r="Q66" s="76"/>
      <c r="R66" s="76"/>
      <c r="S66" s="76"/>
      <c r="T66" s="76"/>
      <c r="U66" s="76"/>
      <c r="V66" s="76"/>
      <c r="W66" s="76" t="str">
        <f ca="1">IFERROR(__xludf.DUMMYFUNCTION("""COMPUTED_VALUE"""),"=120 + 60 * Sc_Lin")</f>
        <v>=120 + 60 * Sc_Lin</v>
      </c>
      <c r="X66" s="76"/>
      <c r="Y66" s="76"/>
      <c r="Z66" s="76"/>
      <c r="AA66" s="76"/>
      <c r="AB66" s="76"/>
      <c r="AC66" s="76"/>
      <c r="AD66" s="76"/>
      <c r="AE66" s="76"/>
      <c r="AF66" s="76"/>
      <c r="AG66" s="76"/>
      <c r="AH66" s="76"/>
      <c r="AI66" s="76" t="str">
        <f ca="1">IFERROR(__xludf.DUMMYFUNCTION("""COMPUTED_VALUE"""),"=IF($AO$2=1;COUNTIF(Interface!$C$22:$C$27;$A66);0)")</f>
        <v>=IF($AO$2=1;COUNTIF(Interface!$C$22:$C$27;$A66);0)</v>
      </c>
      <c r="AJ66" s="76" t="str">
        <f ca="1">IFERROR(__xludf.DUMMYFUNCTION("""COMPUTED_VALUE"""),"=IF($AO$2=2;COUNTIF(Interface!$C$30:$C$35;$A66);0)")</f>
        <v>=IF($AO$2=2;COUNTIF(Interface!$C$30:$C$35;$A66);0)</v>
      </c>
      <c r="AK66" s="76"/>
      <c r="AL66" s="76"/>
      <c r="AM66" s="76" t="str">
        <f ca="1">IFERROR(__xludf.DUMMYFUNCTION("""COMPUTED_VALUE"""),"=COUNTIF(Interface!$O$18:$O$23;$A66)")</f>
        <v>=COUNTIF(Interface!$O$18:$O$23;$A66)</v>
      </c>
      <c r="AN66" s="76" t="str">
        <f ca="1">IFERROR(__xludf.DUMMYFUNCTION("""COMPUTED_VALUE"""),"=Image(""https://ddragon.leagueoflegends.com/cdn/12.22.1/img/item/4005.png"")")</f>
        <v>=Image("https://ddragon.leagueoflegends.com/cdn/12.22.1/img/item/4005.png")</v>
      </c>
      <c r="AO66" s="76" t="b">
        <f ca="1">IFERROR(__xludf.DUMMYFUNCTION("""COMPUTED_VALUE"""),TRUE)</f>
        <v>1</v>
      </c>
    </row>
    <row r="67" spans="1:41">
      <c r="A67" s="644" t="str">
        <f ca="1">IFERROR(__xludf.DUMMYFUNCTION("""COMPUTED_VALUE"""),"Ionian Boots of Lucidity")</f>
        <v>Ionian Boots of Lucidity</v>
      </c>
      <c r="B67" s="84" t="str">
        <f ca="1">IFERROR(__xludf.DUMMYFUNCTION("""COMPUTED_VALUE"""),"=950")</f>
        <v>=950</v>
      </c>
      <c r="C67" s="84"/>
      <c r="D67" s="84"/>
      <c r="E67" s="84"/>
      <c r="F67" s="84"/>
      <c r="G67" s="648"/>
      <c r="H67" s="84"/>
      <c r="I67" s="648"/>
      <c r="J67" s="84"/>
      <c r="K67" s="84"/>
      <c r="L67" s="72"/>
      <c r="M67" s="72" t="str">
        <f ca="1">IFERROR(__xludf.DUMMYFUNCTION("""COMPUTED_VALUE"""),"=20")</f>
        <v>=20</v>
      </c>
      <c r="N67" s="72"/>
      <c r="O67" s="72"/>
      <c r="P67" s="72"/>
      <c r="Q67" s="72" t="str">
        <f ca="1">IFERROR(__xludf.DUMMYFUNCTION("""COMPUTED_VALUE"""),"=45")</f>
        <v>=45</v>
      </c>
      <c r="R67" s="72"/>
      <c r="S67" s="72"/>
      <c r="T67" s="72"/>
      <c r="U67" s="72"/>
      <c r="V67" s="72"/>
      <c r="W67" s="72"/>
      <c r="X67" s="72"/>
      <c r="Y67" s="72"/>
      <c r="Z67" s="72"/>
      <c r="AA67" s="72"/>
      <c r="AB67" s="72"/>
      <c r="AC67" s="72"/>
      <c r="AD67" s="72"/>
      <c r="AE67" s="72"/>
      <c r="AF67" s="72"/>
      <c r="AG67" s="72"/>
      <c r="AH67" s="72"/>
      <c r="AI67" s="72" t="str">
        <f ca="1">IFERROR(__xludf.DUMMYFUNCTION("""COMPUTED_VALUE"""),"=IF($AO$2=1;COUNTIF(Interface!$C$22:$C$27;$A67);0)")</f>
        <v>=IF($AO$2=1;COUNTIF(Interface!$C$22:$C$27;$A67);0)</v>
      </c>
      <c r="AJ67" s="72" t="str">
        <f ca="1">IFERROR(__xludf.DUMMYFUNCTION("""COMPUTED_VALUE"""),"=IF($AO$2=2;COUNTIF(Interface!$C$30:$C$35;$A67);0)")</f>
        <v>=IF($AO$2=2;COUNTIF(Interface!$C$30:$C$35;$A67);0)</v>
      </c>
      <c r="AK67" s="72"/>
      <c r="AL67" s="72"/>
      <c r="AM67" s="72" t="str">
        <f ca="1">IFERROR(__xludf.DUMMYFUNCTION("""COMPUTED_VALUE"""),"=COUNTIF(Interface!$O$18:$O$23;$A67)")</f>
        <v>=COUNTIF(Interface!$O$18:$O$23;$A67)</v>
      </c>
      <c r="AN67" s="72" t="str">
        <f ca="1">IFERROR(__xludf.DUMMYFUNCTION("""COMPUTED_VALUE"""),"=Image(""https://ddragon.leagueoflegends.com/cdn/12.22.1/img/item/3158.png"")")</f>
        <v>=Image("https://ddragon.leagueoflegends.com/cdn/12.22.1/img/item/3158.png")</v>
      </c>
      <c r="AO67" s="72" t="b">
        <f ca="1">IFERROR(__xludf.DUMMYFUNCTION("""COMPUTED_VALUE"""),FALSE)</f>
        <v>0</v>
      </c>
    </row>
    <row r="68" spans="1:41">
      <c r="A68" s="643" t="str">
        <f ca="1">IFERROR(__xludf.DUMMYFUNCTION("""COMPUTED_VALUE"""),"Ironspike Whip")</f>
        <v>Ironspike Whip</v>
      </c>
      <c r="B68" s="78" t="str">
        <f ca="1">IFERROR(__xludf.DUMMYFUNCTION("""COMPUTED_VALUE"""),"=1100")</f>
        <v>=1100</v>
      </c>
      <c r="C68" s="78"/>
      <c r="D68" s="78"/>
      <c r="E68" s="78"/>
      <c r="F68" s="78"/>
      <c r="G68" s="78" t="str">
        <f ca="1">IFERROR(__xludf.DUMMYFUNCTION("""COMPUTED_VALUE"""),"=30")</f>
        <v>=30</v>
      </c>
      <c r="H68" s="78"/>
      <c r="I68" s="78"/>
      <c r="J68" s="78"/>
      <c r="K68" s="78"/>
      <c r="L68" s="76"/>
      <c r="M68" s="76"/>
      <c r="N68" s="76"/>
      <c r="O68" s="76"/>
      <c r="P68" s="76"/>
      <c r="Q68" s="76"/>
      <c r="R68" s="76"/>
      <c r="S68" s="76"/>
      <c r="T68" s="76"/>
      <c r="U68" s="76"/>
      <c r="V68" s="76"/>
      <c r="W68" s="76"/>
      <c r="X68" s="76"/>
      <c r="Y68" s="76"/>
      <c r="Z68" s="76"/>
      <c r="AA68" s="76"/>
      <c r="AB68" s="76"/>
      <c r="AC68" s="76"/>
      <c r="AD68" s="76"/>
      <c r="AE68" s="76" t="str">
        <f ca="1">IFERROR(__xludf.DUMMYFUNCTION("""COMPUTED_VALUE"""),"=Self_BaAD")</f>
        <v>=Self_BaAD</v>
      </c>
      <c r="AF68" s="76"/>
      <c r="AG68" s="76"/>
      <c r="AH68" s="76"/>
      <c r="AI68" s="76" t="str">
        <f ca="1">IFERROR(__xludf.DUMMYFUNCTION("""COMPUTED_VALUE"""),"=IF($AO$2=1;COUNTIF(Interface!$C$22:$C$27;$A68);0)")</f>
        <v>=IF($AO$2=1;COUNTIF(Interface!$C$22:$C$27;$A68);0)</v>
      </c>
      <c r="AJ68" s="76" t="str">
        <f ca="1">IFERROR(__xludf.DUMMYFUNCTION("""COMPUTED_VALUE"""),"=IF($AO$2=2;COUNTIF(Interface!$C$30:$C$35;$A68);0)")</f>
        <v>=IF($AO$2=2;COUNTIF(Interface!$C$30:$C$35;$A68);0)</v>
      </c>
      <c r="AK68" s="76"/>
      <c r="AL68" s="76"/>
      <c r="AM68" s="76" t="str">
        <f ca="1">IFERROR(__xludf.DUMMYFUNCTION("""COMPUTED_VALUE"""),"=COUNTIF(Interface!$O$18:$O$23;$A68)")</f>
        <v>=COUNTIF(Interface!$O$18:$O$23;$A68)</v>
      </c>
      <c r="AN68" s="76" t="str">
        <f ca="1">IFERROR(__xludf.DUMMYFUNCTION("""COMPUTED_VALUE"""),"=Image(""https://ddragon.leagueoflegends.com/cdn/12.22.1/img/item/6029.png"")")</f>
        <v>=Image("https://ddragon.leagueoflegends.com/cdn/12.22.1/img/item/6029.png")</v>
      </c>
      <c r="AO68" s="76" t="b">
        <f ca="1">IFERROR(__xludf.DUMMYFUNCTION("""COMPUTED_VALUE"""),FALSE)</f>
        <v>0</v>
      </c>
    </row>
    <row r="69" spans="1:41">
      <c r="A69" s="644" t="str">
        <f ca="1">IFERROR(__xludf.DUMMYFUNCTION("""COMPUTED_VALUE"""),"Kindlegem")</f>
        <v>Kindlegem</v>
      </c>
      <c r="B69" s="84" t="str">
        <f ca="1">IFERROR(__xludf.DUMMYFUNCTION("""COMPUTED_VALUE"""),"=800")</f>
        <v>=800</v>
      </c>
      <c r="C69" s="84" t="str">
        <f ca="1">IFERROR(__xludf.DUMMYFUNCTION("""COMPUTED_VALUE"""),"=200")</f>
        <v>=200</v>
      </c>
      <c r="D69" s="84"/>
      <c r="E69" s="84"/>
      <c r="F69" s="84"/>
      <c r="G69" s="84"/>
      <c r="H69" s="84"/>
      <c r="I69" s="84"/>
      <c r="J69" s="84"/>
      <c r="K69" s="84"/>
      <c r="L69" s="72"/>
      <c r="M69" s="72" t="str">
        <f ca="1">IFERROR(__xludf.DUMMYFUNCTION("""COMPUTED_VALUE"""),"=10")</f>
        <v>=10</v>
      </c>
      <c r="N69" s="72"/>
      <c r="O69" s="72"/>
      <c r="P69" s="72"/>
      <c r="Q69" s="72"/>
      <c r="R69" s="72"/>
      <c r="S69" s="72"/>
      <c r="T69" s="72"/>
      <c r="U69" s="72"/>
      <c r="V69" s="72"/>
      <c r="W69" s="72"/>
      <c r="X69" s="72"/>
      <c r="Y69" s="72"/>
      <c r="Z69" s="72"/>
      <c r="AA69" s="72"/>
      <c r="AB69" s="72"/>
      <c r="AC69" s="72"/>
      <c r="AD69" s="72"/>
      <c r="AE69" s="72"/>
      <c r="AF69" s="72"/>
      <c r="AG69" s="72"/>
      <c r="AH69" s="72"/>
      <c r="AI69" s="72" t="str">
        <f ca="1">IFERROR(__xludf.DUMMYFUNCTION("""COMPUTED_VALUE"""),"=IF($AO$2=1;COUNTIF(Interface!$C$22:$C$27;$A69);0)")</f>
        <v>=IF($AO$2=1;COUNTIF(Interface!$C$22:$C$27;$A69);0)</v>
      </c>
      <c r="AJ69" s="72" t="str">
        <f ca="1">IFERROR(__xludf.DUMMYFUNCTION("""COMPUTED_VALUE"""),"=IF($AO$2=2;COUNTIF(Interface!$C$30:$C$35;$A69);0)")</f>
        <v>=IF($AO$2=2;COUNTIF(Interface!$C$30:$C$35;$A69);0)</v>
      </c>
      <c r="AK69" s="72"/>
      <c r="AL69" s="72"/>
      <c r="AM69" s="72" t="str">
        <f ca="1">IFERROR(__xludf.DUMMYFUNCTION("""COMPUTED_VALUE"""),"=COUNTIF(Interface!$O$18:$O$23;$A69)")</f>
        <v>=COUNTIF(Interface!$O$18:$O$23;$A69)</v>
      </c>
      <c r="AN69" s="72" t="str">
        <f ca="1">IFERROR(__xludf.DUMMYFUNCTION("""COMPUTED_VALUE"""),"=Image(""https://ddragon.leagueoflegends.com/cdn/12.22.1/img/item/3067.png"")")</f>
        <v>=Image("https://ddragon.leagueoflegends.com/cdn/12.22.1/img/item/3067.png")</v>
      </c>
      <c r="AO69" s="72" t="b">
        <f ca="1">IFERROR(__xludf.DUMMYFUNCTION("""COMPUTED_VALUE"""),FALSE)</f>
        <v>0</v>
      </c>
    </row>
    <row r="70" spans="1:41">
      <c r="A70" s="643" t="str">
        <f ca="1">IFERROR(__xludf.DUMMYFUNCTION("""COMPUTED_VALUE"""),"Kircheis Shard")</f>
        <v>Kircheis Shard</v>
      </c>
      <c r="B70" s="78" t="str">
        <f ca="1">IFERROR(__xludf.DUMMYFUNCTION("""COMPUTED_VALUE"""),"=700")</f>
        <v>=700</v>
      </c>
      <c r="C70" s="78"/>
      <c r="D70" s="78"/>
      <c r="E70" s="78"/>
      <c r="F70" s="78"/>
      <c r="G70" s="645" t="str">
        <f ca="1">IFERROR(__xludf.DUMMYFUNCTION("""COMPUTED_VALUE"""),"=15")</f>
        <v>=15</v>
      </c>
      <c r="H70" s="78"/>
      <c r="I70" s="645"/>
      <c r="J70" s="78"/>
      <c r="K70" s="78"/>
      <c r="L70" s="76"/>
      <c r="M70" s="76"/>
      <c r="N70" s="76"/>
      <c r="O70" s="76"/>
      <c r="P70" s="76"/>
      <c r="Q70" s="76"/>
      <c r="R70" s="76"/>
      <c r="S70" s="76"/>
      <c r="T70" s="76"/>
      <c r="U70" s="76"/>
      <c r="V70" s="76" t="str">
        <f ca="1">IFERROR(__xludf.DUMMYFUNCTION("""COMPUTED_VALUE"""),"=60")</f>
        <v>=60</v>
      </c>
      <c r="W70" s="76"/>
      <c r="X70" s="76"/>
      <c r="Y70" s="76"/>
      <c r="Z70" s="76"/>
      <c r="AA70" s="76"/>
      <c r="AB70" s="76"/>
      <c r="AC70" s="76"/>
      <c r="AD70" s="76"/>
      <c r="AE70" s="76"/>
      <c r="AF70" s="76"/>
      <c r="AG70" s="76"/>
      <c r="AH70" s="76"/>
      <c r="AI70" s="76" t="str">
        <f ca="1">IFERROR(__xludf.DUMMYFUNCTION("""COMPUTED_VALUE"""),"=IF($AO$2=1;COUNTIF(Interface!$C$22:$C$27;$A70);0)")</f>
        <v>=IF($AO$2=1;COUNTIF(Interface!$C$22:$C$27;$A70);0)</v>
      </c>
      <c r="AJ70" s="76" t="str">
        <f ca="1">IFERROR(__xludf.DUMMYFUNCTION("""COMPUTED_VALUE"""),"=IF($AO$2=2;COUNTIF(Interface!$C$30:$C$35;$A70);0)")</f>
        <v>=IF($AO$2=2;COUNTIF(Interface!$C$30:$C$35;$A70);0)</v>
      </c>
      <c r="AK70" s="76"/>
      <c r="AL70" s="76"/>
      <c r="AM70" s="76" t="str">
        <f ca="1">IFERROR(__xludf.DUMMYFUNCTION("""COMPUTED_VALUE"""),"=COUNTIF(Interface!$O$18:$O$23;$A70)")</f>
        <v>=COUNTIF(Interface!$O$18:$O$23;$A70)</v>
      </c>
      <c r="AN70" s="76" t="str">
        <f ca="1">IFERROR(__xludf.DUMMYFUNCTION("""COMPUTED_VALUE"""),"=Image(""https://ddragon.leagueoflegends.com/cdn/12.22.1/img/item/2015.png"")")</f>
        <v>=Image("https://ddragon.leagueoflegends.com/cdn/12.22.1/img/item/2015.png")</v>
      </c>
      <c r="AO70" s="76" t="b">
        <f ca="1">IFERROR(__xludf.DUMMYFUNCTION("""COMPUTED_VALUE"""),FALSE)</f>
        <v>0</v>
      </c>
    </row>
    <row r="71" spans="1:41">
      <c r="A71" s="644" t="str">
        <f ca="1">IFERROR(__xludf.DUMMYFUNCTION("""COMPUTED_VALUE"""),"Knight's Vow")</f>
        <v>Knight's Vow</v>
      </c>
      <c r="B71" s="84" t="str">
        <f ca="1">IFERROR(__xludf.DUMMYFUNCTION("""COMPUTED_VALUE"""),"=2200")</f>
        <v>=2200</v>
      </c>
      <c r="C71" s="84" t="str">
        <f ca="1">IFERROR(__xludf.DUMMYFUNCTION("""COMPUTED_VALUE"""),"=350")</f>
        <v>=350</v>
      </c>
      <c r="D71" s="84" t="str">
        <f ca="1">IFERROR(__xludf.DUMMYFUNCTION("""COMPUTED_VALUE"""),"=1,25")</f>
        <v>=1,25</v>
      </c>
      <c r="E71" s="84"/>
      <c r="F71" s="84"/>
      <c r="G71" s="84"/>
      <c r="H71" s="84"/>
      <c r="I71" s="84" t="str">
        <f ca="1">IFERROR(__xludf.DUMMYFUNCTION("""COMPUTED_VALUE"""),"=25")</f>
        <v>=25</v>
      </c>
      <c r="J71" s="84"/>
      <c r="K71" s="84"/>
      <c r="L71" s="72"/>
      <c r="M71" s="72" t="str">
        <f ca="1">IFERROR(__xludf.DUMMYFUNCTION("""COMPUTED_VALUE"""),"=15")</f>
        <v>=15</v>
      </c>
      <c r="N71" s="72"/>
      <c r="O71" s="72"/>
      <c r="P71" s="72"/>
      <c r="Q71" s="72"/>
      <c r="R71" s="72"/>
      <c r="S71" s="72"/>
      <c r="T71" s="72"/>
      <c r="U71" s="72"/>
      <c r="V71" s="72"/>
      <c r="W71" s="72"/>
      <c r="X71" s="72"/>
      <c r="Y71" s="72"/>
      <c r="Z71" s="72"/>
      <c r="AA71" s="72"/>
      <c r="AB71" s="72"/>
      <c r="AC71" s="72"/>
      <c r="AD71" s="72"/>
      <c r="AE71" s="72"/>
      <c r="AF71" s="72"/>
      <c r="AG71" s="72"/>
      <c r="AH71" s="72"/>
      <c r="AI71" s="72" t="str">
        <f ca="1">IFERROR(__xludf.DUMMYFUNCTION("""COMPUTED_VALUE"""),"=IF($AO$2=1;COUNTIF(Interface!$C$22:$C$27;$A71);0)")</f>
        <v>=IF($AO$2=1;COUNTIF(Interface!$C$22:$C$27;$A71);0)</v>
      </c>
      <c r="AJ71" s="72" t="str">
        <f ca="1">IFERROR(__xludf.DUMMYFUNCTION("""COMPUTED_VALUE"""),"=IF($AO$2=2;COUNTIF(Interface!$C$30:$C$35;$A71);0)")</f>
        <v>=IF($AO$2=2;COUNTIF(Interface!$C$30:$C$35;$A71);0)</v>
      </c>
      <c r="AK71" s="72"/>
      <c r="AL71" s="72"/>
      <c r="AM71" s="72" t="str">
        <f ca="1">IFERROR(__xludf.DUMMYFUNCTION("""COMPUTED_VALUE"""),"=COUNTIF(Interface!$O$18:$O$23;$A71)")</f>
        <v>=COUNTIF(Interface!$O$18:$O$23;$A71)</v>
      </c>
      <c r="AN71" s="72" t="str">
        <f ca="1">IFERROR(__xludf.DUMMYFUNCTION("""COMPUTED_VALUE"""),"=Image(""https://ddragon.leagueoflegends.com/cdn/12.22.1/img/item/3109.png"")")</f>
        <v>=Image("https://ddragon.leagueoflegends.com/cdn/12.22.1/img/item/3109.png")</v>
      </c>
      <c r="AO71" s="72" t="b">
        <f ca="1">IFERROR(__xludf.DUMMYFUNCTION("""COMPUTED_VALUE"""),TRUE)</f>
        <v>1</v>
      </c>
    </row>
    <row r="72" spans="1:41">
      <c r="A72" s="643" t="str">
        <f ca="1">IFERROR(__xludf.DUMMYFUNCTION("""COMPUTED_VALUE"""),"Kraken Slayer")</f>
        <v>Kraken Slayer</v>
      </c>
      <c r="B72" s="78" t="str">
        <f ca="1">IFERROR(__xludf.DUMMYFUNCTION("""COMPUTED_VALUE"""),"=3000")</f>
        <v>=3000</v>
      </c>
      <c r="C72" s="78"/>
      <c r="D72" s="78"/>
      <c r="E72" s="78"/>
      <c r="F72" s="78"/>
      <c r="G72" s="645" t="str">
        <f ca="1">IFERROR(__xludf.DUMMYFUNCTION("""COMPUTED_VALUE"""),"=40")</f>
        <v>=40</v>
      </c>
      <c r="H72" s="645"/>
      <c r="I72" s="645"/>
      <c r="J72" s="78"/>
      <c r="K72" s="78" t="str">
        <f ca="1">IFERROR(__xludf.DUMMYFUNCTION("""COMPUTED_VALUE"""),"=30")</f>
        <v>=30</v>
      </c>
      <c r="L72" s="76" t="str">
        <f ca="1">IFERROR(__xludf.DUMMYFUNCTION("""COMPUTED_VALUE"""),"=20")</f>
        <v>=20</v>
      </c>
      <c r="M72" s="76"/>
      <c r="N72" s="76"/>
      <c r="O72" s="76"/>
      <c r="P72" s="76"/>
      <c r="Q72" s="76"/>
      <c r="R72" s="76"/>
      <c r="S72" s="76"/>
      <c r="T72" s="76"/>
      <c r="U72" s="76"/>
      <c r="V72" s="76"/>
      <c r="W72" s="76"/>
      <c r="X72" s="76"/>
      <c r="Y72" s="76"/>
      <c r="Z72" s="76"/>
      <c r="AA72" s="76"/>
      <c r="AB72" s="76"/>
      <c r="AC72" s="76"/>
      <c r="AD72" s="76"/>
      <c r="AE72" s="76"/>
      <c r="AF72" s="76"/>
      <c r="AG72" s="76"/>
      <c r="AH72" s="76"/>
      <c r="AI72" s="76" t="str">
        <f ca="1">IFERROR(__xludf.DUMMYFUNCTION("""COMPUTED_VALUE"""),"=IF($AO$2=1;COUNTIF(Interface!$C$22:$C$27;$A72);0)")</f>
        <v>=IF($AO$2=1;COUNTIF(Interface!$C$22:$C$27;$A72);0)</v>
      </c>
      <c r="AJ72" s="76" t="str">
        <f ca="1">IFERROR(__xludf.DUMMYFUNCTION("""COMPUTED_VALUE"""),"=IF($AO$2=2;COUNTIF(Interface!$C$30:$C$35;$A72);0)")</f>
        <v>=IF($AO$2=2;COUNTIF(Interface!$C$30:$C$35;$A72);0)</v>
      </c>
      <c r="AK72" s="76"/>
      <c r="AL72" s="76"/>
      <c r="AM72" s="76" t="str">
        <f ca="1">IFERROR(__xludf.DUMMYFUNCTION("""COMPUTED_VALUE"""),"=COUNTIF(Interface!$O$18:$O$23;$A72)")</f>
        <v>=COUNTIF(Interface!$O$18:$O$23;$A72)</v>
      </c>
      <c r="AN72" s="76" t="str">
        <f ca="1">IFERROR(__xludf.DUMMYFUNCTION("""COMPUTED_VALUE"""),"=Image(""https://ddragon.leagueoflegends.com/cdn/12.22.1/img/item/6672.png"")")</f>
        <v>=Image("https://ddragon.leagueoflegends.com/cdn/12.22.1/img/item/6672.png")</v>
      </c>
      <c r="AO72" s="76" t="b">
        <f ca="1">IFERROR(__xludf.DUMMYFUNCTION("""COMPUTED_VALUE"""),TRUE)</f>
        <v>1</v>
      </c>
    </row>
    <row r="73" spans="1:41">
      <c r="A73" s="644" t="str">
        <f ca="1">IFERROR(__xludf.DUMMYFUNCTION("""COMPUTED_VALUE"""),"Last Whisper")</f>
        <v>Last Whisper</v>
      </c>
      <c r="B73" s="84" t="str">
        <f ca="1">IFERROR(__xludf.DUMMYFUNCTION("""COMPUTED_VALUE"""),"=1450")</f>
        <v>=1450</v>
      </c>
      <c r="C73" s="84"/>
      <c r="D73" s="84"/>
      <c r="E73" s="84"/>
      <c r="F73" s="84"/>
      <c r="G73" s="646" t="str">
        <f ca="1">IFERROR(__xludf.DUMMYFUNCTION("""COMPUTED_VALUE"""),"=20")</f>
        <v>=20</v>
      </c>
      <c r="H73" s="646"/>
      <c r="I73" s="84"/>
      <c r="J73" s="84"/>
      <c r="K73" s="84"/>
      <c r="L73" s="72"/>
      <c r="M73" s="72"/>
      <c r="N73" s="72"/>
      <c r="O73" s="72"/>
      <c r="P73" s="72"/>
      <c r="Q73" s="72"/>
      <c r="R73" s="72"/>
      <c r="S73" s="72"/>
      <c r="T73" s="72"/>
      <c r="U73" s="72"/>
      <c r="V73" s="72"/>
      <c r="W73" s="72"/>
      <c r="X73" s="72"/>
      <c r="Y73" s="72" t="str">
        <f ca="1">IFERROR(__xludf.DUMMYFUNCTION("""COMPUTED_VALUE"""),"=18")</f>
        <v>=18</v>
      </c>
      <c r="Z73" s="72"/>
      <c r="AA73" s="72"/>
      <c r="AB73" s="72"/>
      <c r="AC73" s="72"/>
      <c r="AD73" s="72"/>
      <c r="AE73" s="72"/>
      <c r="AF73" s="72"/>
      <c r="AG73" s="72"/>
      <c r="AH73" s="72"/>
      <c r="AI73" s="72" t="str">
        <f ca="1">IFERROR(__xludf.DUMMYFUNCTION("""COMPUTED_VALUE"""),"=IF($AO$2=1;COUNTIF(Interface!$C$22:$C$27;$A73);0)")</f>
        <v>=IF($AO$2=1;COUNTIF(Interface!$C$22:$C$27;$A73);0)</v>
      </c>
      <c r="AJ73" s="72" t="str">
        <f ca="1">IFERROR(__xludf.DUMMYFUNCTION("""COMPUTED_VALUE"""),"=IF($AO$2=2;COUNTIF(Interface!$C$30:$C$35;$A73);0)")</f>
        <v>=IF($AO$2=2;COUNTIF(Interface!$C$30:$C$35;$A73);0)</v>
      </c>
      <c r="AK73" s="72"/>
      <c r="AL73" s="72"/>
      <c r="AM73" s="72" t="str">
        <f ca="1">IFERROR(__xludf.DUMMYFUNCTION("""COMPUTED_VALUE"""),"=COUNTIF(Interface!$O$18:$O$23;$A73)")</f>
        <v>=COUNTIF(Interface!$O$18:$O$23;$A73)</v>
      </c>
      <c r="AN73" s="72" t="str">
        <f ca="1">IFERROR(__xludf.DUMMYFUNCTION("""COMPUTED_VALUE"""),"=Image(""https://ddragon.leagueoflegends.com/cdn/12.22.1/img/item/3035.png"")")</f>
        <v>=Image("https://ddragon.leagueoflegends.com/cdn/12.22.1/img/item/3035.png")</v>
      </c>
      <c r="AO73" s="72" t="b">
        <f ca="1">IFERROR(__xludf.DUMMYFUNCTION("""COMPUTED_VALUE"""),FALSE)</f>
        <v>0</v>
      </c>
    </row>
    <row r="74" spans="1:41">
      <c r="A74" s="643" t="str">
        <f ca="1">IFERROR(__xludf.DUMMYFUNCTION("""COMPUTED_VALUE"""),"Leeching Leer")</f>
        <v>Leeching Leer</v>
      </c>
      <c r="B74" s="78" t="str">
        <f ca="1">IFERROR(__xludf.DUMMYFUNCTION("""COMPUTED_VALUE"""),"=1300")</f>
        <v>=1300</v>
      </c>
      <c r="C74" s="78" t="str">
        <f ca="1">IFERROR(__xludf.DUMMYFUNCTION("""COMPUTED_VALUE"""),"=250")</f>
        <v>=250</v>
      </c>
      <c r="D74" s="78"/>
      <c r="E74" s="78"/>
      <c r="F74" s="78"/>
      <c r="G74" s="78"/>
      <c r="H74" s="78" t="str">
        <f ca="1">IFERROR(__xludf.DUMMYFUNCTION("""COMPUTED_VALUE"""),"=20")</f>
        <v>=20</v>
      </c>
      <c r="I74" s="645"/>
      <c r="J74" s="78"/>
      <c r="K74" s="645"/>
      <c r="L74" s="76"/>
      <c r="M74" s="76"/>
      <c r="N74" s="76" t="str">
        <f ca="1">IFERROR(__xludf.DUMMYFUNCTION("""COMPUTED_VALUE"""),"=5")</f>
        <v>=5</v>
      </c>
      <c r="O74" s="76"/>
      <c r="P74" s="76"/>
      <c r="Q74" s="76"/>
      <c r="R74" s="76"/>
      <c r="S74" s="76"/>
      <c r="T74" s="76"/>
      <c r="U74" s="76"/>
      <c r="V74" s="76"/>
      <c r="W74" s="76"/>
      <c r="X74" s="76"/>
      <c r="Y74" s="76"/>
      <c r="Z74" s="76"/>
      <c r="AA74" s="76"/>
      <c r="AB74" s="76" t="str">
        <f ca="1">IFERROR(__xludf.DUMMYFUNCTION("""COMPUTED_VALUE"""),"=5")</f>
        <v>=5</v>
      </c>
      <c r="AC74" s="76"/>
      <c r="AD74" s="76"/>
      <c r="AE74" s="76"/>
      <c r="AF74" s="76"/>
      <c r="AG74" s="76"/>
      <c r="AH74" s="76"/>
      <c r="AI74" s="76" t="str">
        <f ca="1">IFERROR(__xludf.DUMMYFUNCTION("""COMPUTED_VALUE"""),"=IF($AO$2=1;COUNTIF(Interface!$C$22:$C$27;$A74);0)")</f>
        <v>=IF($AO$2=1;COUNTIF(Interface!$C$22:$C$27;$A74);0)</v>
      </c>
      <c r="AJ74" s="76" t="str">
        <f ca="1">IFERROR(__xludf.DUMMYFUNCTION("""COMPUTED_VALUE"""),"=IF($AO$2=2;COUNTIF(Interface!$C$30:$C$35;$A74);0)")</f>
        <v>=IF($AO$2=2;COUNTIF(Interface!$C$30:$C$35;$A74);0)</v>
      </c>
      <c r="AK74" s="76"/>
      <c r="AL74" s="76"/>
      <c r="AM74" s="76" t="str">
        <f ca="1">IFERROR(__xludf.DUMMYFUNCTION("""COMPUTED_VALUE"""),"=COUNTIF(Interface!$O$18:$O$23;$A74)")</f>
        <v>=COUNTIF(Interface!$O$18:$O$23;$A74)</v>
      </c>
      <c r="AN74" s="76" t="str">
        <f ca="1">IFERROR(__xludf.DUMMYFUNCTION("""COMPUTED_VALUE"""),"=Image(""https://ddragon.leagueoflegends.com/cdn/12.22.1/img/item/4635.png"")")</f>
        <v>=Image("https://ddragon.leagueoflegends.com/cdn/12.22.1/img/item/4635.png")</v>
      </c>
      <c r="AO74" s="76" t="b">
        <f ca="1">IFERROR(__xludf.DUMMYFUNCTION("""COMPUTED_VALUE"""),FALSE)</f>
        <v>0</v>
      </c>
    </row>
    <row r="75" spans="1:41">
      <c r="A75" s="644" t="str">
        <f ca="1">IFERROR(__xludf.DUMMYFUNCTION("""COMPUTED_VALUE"""),"Lich Bane")</f>
        <v>Lich Bane</v>
      </c>
      <c r="B75" s="84" t="str">
        <f ca="1">IFERROR(__xludf.DUMMYFUNCTION("""COMPUTED_VALUE"""),"=3000")</f>
        <v>=3000</v>
      </c>
      <c r="C75" s="84"/>
      <c r="D75" s="84"/>
      <c r="E75" s="84"/>
      <c r="F75" s="84"/>
      <c r="G75" s="84"/>
      <c r="H75" s="646" t="str">
        <f ca="1">IFERROR(__xludf.DUMMYFUNCTION("""COMPUTED_VALUE"""),"=85")</f>
        <v>=85</v>
      </c>
      <c r="I75" s="84"/>
      <c r="J75" s="646"/>
      <c r="K75" s="84"/>
      <c r="L75" s="72"/>
      <c r="M75" s="72" t="str">
        <f ca="1">IFERROR(__xludf.DUMMYFUNCTION("""COMPUTED_VALUE"""),"=15")</f>
        <v>=15</v>
      </c>
      <c r="N75" s="72"/>
      <c r="O75" s="72"/>
      <c r="P75" s="72"/>
      <c r="Q75" s="72"/>
      <c r="R75" s="72" t="str">
        <f ca="1">IFERROR(__xludf.DUMMYFUNCTION("""COMPUTED_VALUE"""),"=8")</f>
        <v>=8</v>
      </c>
      <c r="S75" s="72"/>
      <c r="T75" s="72"/>
      <c r="U75" s="72"/>
      <c r="V75" s="72"/>
      <c r="W75" s="72"/>
      <c r="X75" s="72" t="str">
        <f ca="1">IFERROR(__xludf.DUMMYFUNCTION("""COMPUTED_VALUE"""),"=(0,5 * Self_AP + 0,75 * Self_BaAD) * MOD_Magic")</f>
        <v>=(0,5 * Self_AP + 0,75 * Self_BaAD) * MOD_Magic</v>
      </c>
      <c r="Y75" s="72"/>
      <c r="Z75" s="72"/>
      <c r="AA75" s="72"/>
      <c r="AB75" s="72"/>
      <c r="AC75" s="72"/>
      <c r="AD75" s="72"/>
      <c r="AE75" s="72"/>
      <c r="AF75" s="72"/>
      <c r="AG75" s="72"/>
      <c r="AH75" s="72"/>
      <c r="AI75" s="72" t="str">
        <f ca="1">IFERROR(__xludf.DUMMYFUNCTION("""COMPUTED_VALUE"""),"=IF($AO$2=1;COUNTIF(Interface!$C$22:$C$27;$A75);0)")</f>
        <v>=IF($AO$2=1;COUNTIF(Interface!$C$22:$C$27;$A75);0)</v>
      </c>
      <c r="AJ75" s="72" t="str">
        <f ca="1">IFERROR(__xludf.DUMMYFUNCTION("""COMPUTED_VALUE"""),"=IF($AO$2=2;COUNTIF(Interface!$C$30:$C$35;$A75);0)")</f>
        <v>=IF($AO$2=2;COUNTIF(Interface!$C$30:$C$35;$A75);0)</v>
      </c>
      <c r="AK75" s="72"/>
      <c r="AL75" s="72"/>
      <c r="AM75" s="72" t="str">
        <f ca="1">IFERROR(__xludf.DUMMYFUNCTION("""COMPUTED_VALUE"""),"=COUNTIF(Interface!$O$18:$O$23;$A75)")</f>
        <v>=COUNTIF(Interface!$O$18:$O$23;$A75)</v>
      </c>
      <c r="AN75" s="72" t="str">
        <f ca="1">IFERROR(__xludf.DUMMYFUNCTION("""COMPUTED_VALUE"""),"=Image(""https://ddragon.leagueoflegends.com/cdn/12.22.1/img/item/3100.png"")")</f>
        <v>=Image("https://ddragon.leagueoflegends.com/cdn/12.22.1/img/item/3100.png")</v>
      </c>
      <c r="AO75" s="72" t="b">
        <f ca="1">IFERROR(__xludf.DUMMYFUNCTION("""COMPUTED_VALUE"""),TRUE)</f>
        <v>1</v>
      </c>
    </row>
    <row r="76" spans="1:41">
      <c r="A76" s="643" t="str">
        <f ca="1">IFERROR(__xludf.DUMMYFUNCTION("""COMPUTED_VALUE"""),"Lifewell Pendant")</f>
        <v>Lifewell Pendant</v>
      </c>
      <c r="B76" s="78" t="str">
        <f ca="1">IFERROR(__xludf.DUMMYFUNCTION("""COMPUTED_VALUE"""),"=1050")</f>
        <v>=1050</v>
      </c>
      <c r="C76" s="78" t="str">
        <f ca="1">IFERROR(__xludf.DUMMYFUNCTION("""COMPUTED_VALUE"""),"=150")</f>
        <v>=150</v>
      </c>
      <c r="D76" s="78"/>
      <c r="E76" s="78"/>
      <c r="F76" s="78"/>
      <c r="G76" s="78"/>
      <c r="H76" s="645"/>
      <c r="I76" s="78" t="str">
        <f ca="1">IFERROR(__xludf.DUMMYFUNCTION("""COMPUTED_VALUE"""),"=25")</f>
        <v>=25</v>
      </c>
      <c r="J76" s="78"/>
      <c r="K76" s="78"/>
      <c r="L76" s="76"/>
      <c r="M76" s="76" t="str">
        <f ca="1">IFERROR(__xludf.DUMMYFUNCTION("""COMPUTED_VALUE"""),"=5")</f>
        <v>=5</v>
      </c>
      <c r="N76" s="76"/>
      <c r="O76" s="76"/>
      <c r="P76" s="76"/>
      <c r="Q76" s="76"/>
      <c r="R76" s="76"/>
      <c r="S76" s="76"/>
      <c r="T76" s="76"/>
      <c r="U76" s="76"/>
      <c r="V76" s="76"/>
      <c r="W76" s="76"/>
      <c r="X76" s="76"/>
      <c r="Y76" s="76"/>
      <c r="Z76" s="76"/>
      <c r="AA76" s="76"/>
      <c r="AB76" s="76"/>
      <c r="AC76" s="76"/>
      <c r="AD76" s="76"/>
      <c r="AE76" s="76"/>
      <c r="AF76" s="76"/>
      <c r="AG76" s="76"/>
      <c r="AH76" s="76"/>
      <c r="AI76" s="76" t="str">
        <f ca="1">IFERROR(__xludf.DUMMYFUNCTION("""COMPUTED_VALUE"""),"=IF($AO$2=1;COUNTIF(Interface!$C$22:$C$27;$A76);0)")</f>
        <v>=IF($AO$2=1;COUNTIF(Interface!$C$22:$C$27;$A76);0)</v>
      </c>
      <c r="AJ76" s="76" t="str">
        <f ca="1">IFERROR(__xludf.DUMMYFUNCTION("""COMPUTED_VALUE"""),"=IF($AO$2=2;COUNTIF(Interface!$C$30:$C$35;$A76);0)")</f>
        <v>=IF($AO$2=2;COUNTIF(Interface!$C$30:$C$35;$A76);0)</v>
      </c>
      <c r="AK76" s="76"/>
      <c r="AL76" s="76"/>
      <c r="AM76" s="76" t="str">
        <f ca="1">IFERROR(__xludf.DUMMYFUNCTION("""COMPUTED_VALUE"""),"=COUNTIF(Interface!$O$18:$O$23;$A76)")</f>
        <v>=COUNTIF(Interface!$O$18:$O$23;$A76)</v>
      </c>
      <c r="AN76" s="76"/>
      <c r="AO76" s="76" t="b">
        <f ca="1">IFERROR(__xludf.DUMMYFUNCTION("""COMPUTED_VALUE"""),FALSE)</f>
        <v>0</v>
      </c>
    </row>
    <row r="77" spans="1:41">
      <c r="A77" s="644" t="str">
        <f ca="1">IFERROR(__xludf.DUMMYFUNCTION("""COMPUTED_VALUE"""),"Long Sword")</f>
        <v>Long Sword</v>
      </c>
      <c r="B77" s="84" t="str">
        <f ca="1">IFERROR(__xludf.DUMMYFUNCTION("""COMPUTED_VALUE"""),"=350")</f>
        <v>=350</v>
      </c>
      <c r="C77" s="84"/>
      <c r="D77" s="84"/>
      <c r="E77" s="84"/>
      <c r="F77" s="84"/>
      <c r="G77" s="84" t="str">
        <f ca="1">IFERROR(__xludf.DUMMYFUNCTION("""COMPUTED_VALUE"""),"=10")</f>
        <v>=10</v>
      </c>
      <c r="H77" s="84"/>
      <c r="I77" s="84"/>
      <c r="J77" s="84"/>
      <c r="K77" s="84"/>
      <c r="L77" s="72"/>
      <c r="M77" s="72"/>
      <c r="N77" s="72"/>
      <c r="O77" s="72"/>
      <c r="P77" s="72"/>
      <c r="Q77" s="72"/>
      <c r="R77" s="72"/>
      <c r="S77" s="72"/>
      <c r="T77" s="72"/>
      <c r="U77" s="72"/>
      <c r="V77" s="72"/>
      <c r="W77" s="72"/>
      <c r="X77" s="72"/>
      <c r="Y77" s="72"/>
      <c r="Z77" s="72"/>
      <c r="AA77" s="72"/>
      <c r="AB77" s="72"/>
      <c r="AC77" s="72"/>
      <c r="AD77" s="72"/>
      <c r="AE77" s="72"/>
      <c r="AF77" s="72"/>
      <c r="AG77" s="72"/>
      <c r="AH77" s="72"/>
      <c r="AI77" s="72" t="str">
        <f ca="1">IFERROR(__xludf.DUMMYFUNCTION("""COMPUTED_VALUE"""),"=IF($AO$2=1;COUNTIF(Interface!$C$22:$C$27;$A77);0)")</f>
        <v>=IF($AO$2=1;COUNTIF(Interface!$C$22:$C$27;$A77);0)</v>
      </c>
      <c r="AJ77" s="72" t="str">
        <f ca="1">IFERROR(__xludf.DUMMYFUNCTION("""COMPUTED_VALUE"""),"=IF($AO$2=2;COUNTIF(Interface!$C$30:$C$35;$A77);0)")</f>
        <v>=IF($AO$2=2;COUNTIF(Interface!$C$30:$C$35;$A77);0)</v>
      </c>
      <c r="AK77" s="72"/>
      <c r="AL77" s="72"/>
      <c r="AM77" s="72" t="str">
        <f ca="1">IFERROR(__xludf.DUMMYFUNCTION("""COMPUTED_VALUE"""),"=COUNTIF(Interface!$O$18:$O$23;$A77)")</f>
        <v>=COUNTIF(Interface!$O$18:$O$23;$A77)</v>
      </c>
      <c r="AN77" s="72" t="str">
        <f ca="1">IFERROR(__xludf.DUMMYFUNCTION("""COMPUTED_VALUE"""),"=Image(""https://ddragon.leagueoflegends.com/cdn/12.22.1/img/item/1036.png"")")</f>
        <v>=Image("https://ddragon.leagueoflegends.com/cdn/12.22.1/img/item/1036.png")</v>
      </c>
      <c r="AO77" s="72" t="b">
        <f ca="1">IFERROR(__xludf.DUMMYFUNCTION("""COMPUTED_VALUE"""),FALSE)</f>
        <v>0</v>
      </c>
    </row>
    <row r="78" spans="1:41">
      <c r="A78" s="643" t="str">
        <f ca="1">IFERROR(__xludf.DUMMYFUNCTION("""COMPUTED_VALUE"""),"Lord Dominik's Regards")</f>
        <v>Lord Dominik's Regards</v>
      </c>
      <c r="B78" s="78" t="str">
        <f ca="1">IFERROR(__xludf.DUMMYFUNCTION("""COMPUTED_VALUE"""),"=3000")</f>
        <v>=3000</v>
      </c>
      <c r="C78" s="78"/>
      <c r="D78" s="78"/>
      <c r="E78" s="78"/>
      <c r="F78" s="78"/>
      <c r="G78" s="645" t="str">
        <f ca="1">IFERROR(__xludf.DUMMYFUNCTION("""COMPUTED_VALUE"""),"=35")</f>
        <v>=35</v>
      </c>
      <c r="H78" s="645"/>
      <c r="I78" s="78"/>
      <c r="J78" s="78"/>
      <c r="K78" s="78"/>
      <c r="L78" s="76" t="str">
        <f ca="1">IFERROR(__xludf.DUMMYFUNCTION("""COMPUTED_VALUE"""),"=20")</f>
        <v>=20</v>
      </c>
      <c r="M78" s="76"/>
      <c r="N78" s="76"/>
      <c r="O78" s="76"/>
      <c r="P78" s="76"/>
      <c r="Q78" s="76"/>
      <c r="R78" s="76"/>
      <c r="S78" s="76"/>
      <c r="T78" s="76"/>
      <c r="U78" s="76"/>
      <c r="V78" s="76"/>
      <c r="W78" s="76"/>
      <c r="X78" s="76"/>
      <c r="Y78" s="76" t="str">
        <f ca="1">IFERROR(__xludf.DUMMYFUNCTION("""COMPUTED_VALUE"""),"=30")</f>
        <v>=30</v>
      </c>
      <c r="Z78" s="76"/>
      <c r="AA78" s="76"/>
      <c r="AB78" s="76"/>
      <c r="AC78" s="76" t="str">
        <f ca="1">IFERROR(__xludf.DUMMYFUNCTION("""COMPUTED_VALUE"""),"=MIN(25;IF(E_MHP &gt; Self_MHP; 25 * ((E_MHP - Self_MHP) / 2500); 0))")</f>
        <v>=MIN(25;IF(E_MHP &gt; Self_MHP; 25 * ((E_MHP - Self_MHP) / 2500); 0))</v>
      </c>
      <c r="AD78" s="76" t="str">
        <f ca="1">IFERROR(__xludf.DUMMYFUNCTION("""COMPUTED_VALUE"""),"=MIN(25;IF(E_MHP &gt; Self_MHP; 25 * ((E_MHP - Self_MHP) / 2500); 0))")</f>
        <v>=MIN(25;IF(E_MHP &gt; Self_MHP; 25 * ((E_MHP - Self_MHP) / 2500); 0))</v>
      </c>
      <c r="AE78" s="76"/>
      <c r="AF78" s="76"/>
      <c r="AG78" s="76"/>
      <c r="AH78" s="76"/>
      <c r="AI78" s="76" t="str">
        <f ca="1">IFERROR(__xludf.DUMMYFUNCTION("""COMPUTED_VALUE"""),"=IF($AO$2=1;COUNTIF(Interface!$C$22:$C$27;$A78);0)")</f>
        <v>=IF($AO$2=1;COUNTIF(Interface!$C$22:$C$27;$A78);0)</v>
      </c>
      <c r="AJ78" s="76" t="str">
        <f ca="1">IFERROR(__xludf.DUMMYFUNCTION("""COMPUTED_VALUE"""),"=IF($AO$2=2;COUNTIF(Interface!$C$30:$C$35;$A78);0)")</f>
        <v>=IF($AO$2=2;COUNTIF(Interface!$C$30:$C$35;$A78);0)</v>
      </c>
      <c r="AK78" s="76"/>
      <c r="AL78" s="76"/>
      <c r="AM78" s="76" t="str">
        <f ca="1">IFERROR(__xludf.DUMMYFUNCTION("""COMPUTED_VALUE"""),"=COUNTIF(Interface!$O$18:$O$23;$A78)")</f>
        <v>=COUNTIF(Interface!$O$18:$O$23;$A78)</v>
      </c>
      <c r="AN78" s="76" t="str">
        <f ca="1">IFERROR(__xludf.DUMMYFUNCTION("""COMPUTED_VALUE"""),"=Image(""https://ddragon.leagueoflegends.com/cdn/12.22.1/img/item/3036.png"")")</f>
        <v>=Image("https://ddragon.leagueoflegends.com/cdn/12.22.1/img/item/3036.png")</v>
      </c>
      <c r="AO78" s="76" t="b">
        <f ca="1">IFERROR(__xludf.DUMMYFUNCTION("""COMPUTED_VALUE"""),TRUE)</f>
        <v>1</v>
      </c>
    </row>
    <row r="79" spans="1:41">
      <c r="A79" s="644" t="str">
        <f ca="1">IFERROR(__xludf.DUMMYFUNCTION("""COMPUTED_VALUE"""),"Lost Chapter")</f>
        <v>Lost Chapter</v>
      </c>
      <c r="B79" s="84" t="str">
        <f ca="1">IFERROR(__xludf.DUMMYFUNCTION("""COMPUTED_VALUE"""),"=1100")</f>
        <v>=1100</v>
      </c>
      <c r="C79" s="84"/>
      <c r="D79" s="84"/>
      <c r="E79" s="84" t="str">
        <f ca="1">IFERROR(__xludf.DUMMYFUNCTION("""COMPUTED_VALUE"""),"=300")</f>
        <v>=300</v>
      </c>
      <c r="F79" s="84"/>
      <c r="G79" s="84"/>
      <c r="H79" s="646" t="str">
        <f ca="1">IFERROR(__xludf.DUMMYFUNCTION("""COMPUTED_VALUE"""),"=40")</f>
        <v>=40</v>
      </c>
      <c r="I79" s="646"/>
      <c r="J79" s="84"/>
      <c r="K79" s="84"/>
      <c r="L79" s="72"/>
      <c r="M79" s="72" t="str">
        <f ca="1">IFERROR(__xludf.DUMMYFUNCTION("""COMPUTED_VALUE"""),"=10")</f>
        <v>=10</v>
      </c>
      <c r="N79" s="72"/>
      <c r="O79" s="72"/>
      <c r="P79" s="72"/>
      <c r="Q79" s="72"/>
      <c r="R79" s="72"/>
      <c r="S79" s="72"/>
      <c r="T79" s="72"/>
      <c r="U79" s="72"/>
      <c r="V79" s="72"/>
      <c r="W79" s="72"/>
      <c r="X79" s="72"/>
      <c r="Y79" s="72"/>
      <c r="Z79" s="72"/>
      <c r="AA79" s="72"/>
      <c r="AB79" s="72"/>
      <c r="AC79" s="72"/>
      <c r="AD79" s="72"/>
      <c r="AE79" s="72"/>
      <c r="AF79" s="72"/>
      <c r="AG79" s="72"/>
      <c r="AH79" s="72"/>
      <c r="AI79" s="72" t="str">
        <f ca="1">IFERROR(__xludf.DUMMYFUNCTION("""COMPUTED_VALUE"""),"=IF($AO$2=1;COUNTIF(Interface!$C$22:$C$27;$A79);0)")</f>
        <v>=IF($AO$2=1;COUNTIF(Interface!$C$22:$C$27;$A79);0)</v>
      </c>
      <c r="AJ79" s="72" t="str">
        <f ca="1">IFERROR(__xludf.DUMMYFUNCTION("""COMPUTED_VALUE"""),"=IF($AO$2=2;COUNTIF(Interface!$C$30:$C$35;$A79);0)")</f>
        <v>=IF($AO$2=2;COUNTIF(Interface!$C$30:$C$35;$A79);0)</v>
      </c>
      <c r="AK79" s="72"/>
      <c r="AL79" s="72"/>
      <c r="AM79" s="72" t="str">
        <f ca="1">IFERROR(__xludf.DUMMYFUNCTION("""COMPUTED_VALUE"""),"=COUNTIF(Interface!$O$18:$O$23;$A79)")</f>
        <v>=COUNTIF(Interface!$O$18:$O$23;$A79)</v>
      </c>
      <c r="AN79" s="72" t="str">
        <f ca="1">IFERROR(__xludf.DUMMYFUNCTION("""COMPUTED_VALUE"""),"=Image(""https://ddragon.leagueoflegends.com/cdn/12.22.1/img/item/3802.png"")")</f>
        <v>=Image("https://ddragon.leagueoflegends.com/cdn/12.22.1/img/item/3802.png")</v>
      </c>
      <c r="AO79" s="72" t="b">
        <f ca="1">IFERROR(__xludf.DUMMYFUNCTION("""COMPUTED_VALUE"""),FALSE)</f>
        <v>0</v>
      </c>
    </row>
    <row r="80" spans="1:41">
      <c r="A80" s="643" t="str">
        <f ca="1">IFERROR(__xludf.DUMMYFUNCTION("""COMPUTED_VALUE"""),"Manamune")</f>
        <v>Manamune</v>
      </c>
      <c r="B80" s="78" t="str">
        <f ca="1">IFERROR(__xludf.DUMMYFUNCTION("""COMPUTED_VALUE"""),"=2900")</f>
        <v>=2900</v>
      </c>
      <c r="C80" s="78"/>
      <c r="D80" s="78"/>
      <c r="E80" s="78" t="str">
        <f ca="1">IFERROR(__xludf.DUMMYFUNCTION("""COMPUTED_VALUE"""),"=500")</f>
        <v>=500</v>
      </c>
      <c r="F80" s="78"/>
      <c r="G80" s="78" t="str">
        <f ca="1">IFERROR(__xludf.DUMMYFUNCTION("""COMPUTED_VALUE"""),"=35")</f>
        <v>=35</v>
      </c>
      <c r="H80" s="78"/>
      <c r="I80" s="645"/>
      <c r="J80" s="645"/>
      <c r="K80" s="78"/>
      <c r="L80" s="76"/>
      <c r="M80" s="76" t="str">
        <f ca="1">IFERROR(__xludf.DUMMYFUNCTION("""COMPUTED_VALUE"""),"=15")</f>
        <v>=15</v>
      </c>
      <c r="N80" s="76"/>
      <c r="O80" s="76"/>
      <c r="P80" s="76"/>
      <c r="Q80" s="76"/>
      <c r="R80" s="76"/>
      <c r="S80" s="76"/>
      <c r="T80" s="76"/>
      <c r="U80" s="76"/>
      <c r="V80" s="76"/>
      <c r="W80" s="76"/>
      <c r="X80" s="76"/>
      <c r="Y80" s="76"/>
      <c r="Z80" s="76"/>
      <c r="AA80" s="76"/>
      <c r="AB80" s="76"/>
      <c r="AC80" s="76"/>
      <c r="AD80" s="76"/>
      <c r="AE80" s="76"/>
      <c r="AF80" s="76"/>
      <c r="AG80" s="76"/>
      <c r="AH80" s="76"/>
      <c r="AI80" s="76" t="str">
        <f ca="1">IFERROR(__xludf.DUMMYFUNCTION("""COMPUTED_VALUE"""),"=IF($AO$2=1;COUNTIF(Interface!$C$22:$C$27;$A80);0)")</f>
        <v>=IF($AO$2=1;COUNTIF(Interface!$C$22:$C$27;$A80);0)</v>
      </c>
      <c r="AJ80" s="76" t="str">
        <f ca="1">IFERROR(__xludf.DUMMYFUNCTION("""COMPUTED_VALUE"""),"=IF($AO$2=2;COUNTIF(Interface!$C$30:$C$35;$A80);0)")</f>
        <v>=IF($AO$2=2;COUNTIF(Interface!$C$30:$C$35;$A80);0)</v>
      </c>
      <c r="AK80" s="76"/>
      <c r="AL80" s="76"/>
      <c r="AM80" s="76" t="str">
        <f ca="1">IFERROR(__xludf.DUMMYFUNCTION("""COMPUTED_VALUE"""),"=COUNTIF(Interface!$O$18:$O$23;$A80)")</f>
        <v>=COUNTIF(Interface!$O$18:$O$23;$A80)</v>
      </c>
      <c r="AN80" s="76" t="str">
        <f ca="1">IFERROR(__xludf.DUMMYFUNCTION("""COMPUTED_VALUE"""),"=Image(""https://ddragon.leagueoflegends.com/cdn/12.22.1/img/item/3004.png"")")</f>
        <v>=Image("https://ddragon.leagueoflegends.com/cdn/12.22.1/img/item/3004.png")</v>
      </c>
      <c r="AO80" s="76" t="b">
        <f ca="1">IFERROR(__xludf.DUMMYFUNCTION("""COMPUTED_VALUE"""),TRUE)</f>
        <v>1</v>
      </c>
    </row>
    <row r="81" spans="1:41">
      <c r="A81" s="644" t="str">
        <f ca="1">IFERROR(__xludf.DUMMYFUNCTION("""COMPUTED_VALUE"""),"Maw of Malmortius")</f>
        <v>Maw of Malmortius</v>
      </c>
      <c r="B81" s="84" t="str">
        <f ca="1">IFERROR(__xludf.DUMMYFUNCTION("""COMPUTED_VALUE"""),"=2800")</f>
        <v>=2800</v>
      </c>
      <c r="C81" s="84"/>
      <c r="D81" s="84"/>
      <c r="E81" s="84"/>
      <c r="F81" s="84"/>
      <c r="G81" s="84" t="str">
        <f ca="1">IFERROR(__xludf.DUMMYFUNCTION("""COMPUTED_VALUE"""),"=65")</f>
        <v>=65</v>
      </c>
      <c r="H81" s="646"/>
      <c r="I81" s="84"/>
      <c r="J81" s="84" t="str">
        <f ca="1">IFERROR(__xludf.DUMMYFUNCTION("""COMPUTED_VALUE"""),"=50")</f>
        <v>=50</v>
      </c>
      <c r="K81" s="84"/>
      <c r="L81" s="72"/>
      <c r="M81" s="72"/>
      <c r="N81" s="72" t="str">
        <f ca="1">IFERROR(__xludf.DUMMYFUNCTION("""COMPUTED_VALUE"""),"=IF(Steroid_Items; 12; 0)")</f>
        <v>=IF(Steroid_Items; 12; 0)</v>
      </c>
      <c r="O81" s="72"/>
      <c r="P81" s="72"/>
      <c r="Q81" s="72"/>
      <c r="R81" s="72"/>
      <c r="S81" s="72"/>
      <c r="T81" s="72"/>
      <c r="U81" s="72"/>
      <c r="V81" s="72"/>
      <c r="W81" s="72"/>
      <c r="X81" s="72"/>
      <c r="Y81" s="72"/>
      <c r="Z81" s="72"/>
      <c r="AA81" s="72"/>
      <c r="AB81" s="72"/>
      <c r="AC81" s="72"/>
      <c r="AD81" s="72"/>
      <c r="AE81" s="72"/>
      <c r="AF81" s="72"/>
      <c r="AG81" s="72"/>
      <c r="AH81" s="72"/>
      <c r="AI81" s="72" t="str">
        <f ca="1">IFERROR(__xludf.DUMMYFUNCTION("""COMPUTED_VALUE"""),"=IF($AO$2=1;COUNTIF(Interface!$C$22:$C$27;$A81);0)")</f>
        <v>=IF($AO$2=1;COUNTIF(Interface!$C$22:$C$27;$A81);0)</v>
      </c>
      <c r="AJ81" s="72" t="str">
        <f ca="1">IFERROR(__xludf.DUMMYFUNCTION("""COMPUTED_VALUE"""),"=IF($AO$2=2;COUNTIF(Interface!$C$30:$C$35;$A81);0)")</f>
        <v>=IF($AO$2=2;COUNTIF(Interface!$C$30:$C$35;$A81);0)</v>
      </c>
      <c r="AK81" s="72"/>
      <c r="AL81" s="72"/>
      <c r="AM81" s="72" t="str">
        <f ca="1">IFERROR(__xludf.DUMMYFUNCTION("""COMPUTED_VALUE"""),"=COUNTIF(Interface!$O$18:$O$23;$A81)")</f>
        <v>=COUNTIF(Interface!$O$18:$O$23;$A81)</v>
      </c>
      <c r="AN81" s="72" t="str">
        <f ca="1">IFERROR(__xludf.DUMMYFUNCTION("""COMPUTED_VALUE"""),"=Image(""https://ddragon.leagueoflegends.com/cdn/12.22.1/img/item/3156.png"")")</f>
        <v>=Image("https://ddragon.leagueoflegends.com/cdn/12.22.1/img/item/3156.png")</v>
      </c>
      <c r="AO81" s="72" t="b">
        <f ca="1">IFERROR(__xludf.DUMMYFUNCTION("""COMPUTED_VALUE"""),TRUE)</f>
        <v>1</v>
      </c>
    </row>
    <row r="82" spans="1:41">
      <c r="A82" s="643" t="str">
        <f ca="1">IFERROR(__xludf.DUMMYFUNCTION("""COMPUTED_VALUE"""),"Mejai's Soulstealer")</f>
        <v>Mejai's Soulstealer</v>
      </c>
      <c r="B82" s="78" t="str">
        <f ca="1">IFERROR(__xludf.DUMMYFUNCTION("""COMPUTED_VALUE"""),"=1600")</f>
        <v>=1600</v>
      </c>
      <c r="C82" s="78" t="str">
        <f ca="1">IFERROR(__xludf.DUMMYFUNCTION("""COMPUTED_VALUE"""),"=100")</f>
        <v>=100</v>
      </c>
      <c r="D82" s="78"/>
      <c r="E82" s="78"/>
      <c r="F82" s="78"/>
      <c r="G82" s="647"/>
      <c r="H82" s="78" t="str">
        <f ca="1">IFERROR(__xludf.DUMMYFUNCTION("""COMPUTED_VALUE"""),"=20")</f>
        <v>=20</v>
      </c>
      <c r="I82" s="78"/>
      <c r="J82" s="647"/>
      <c r="K82" s="647"/>
      <c r="L82" s="76"/>
      <c r="M82" s="76"/>
      <c r="N82" s="76"/>
      <c r="O82" s="76"/>
      <c r="P82" s="76"/>
      <c r="Q82" s="76"/>
      <c r="R82" s="76"/>
      <c r="S82" s="76"/>
      <c r="T82" s="76"/>
      <c r="U82" s="76"/>
      <c r="V82" s="76"/>
      <c r="W82" s="76"/>
      <c r="X82" s="76"/>
      <c r="Y82" s="76"/>
      <c r="Z82" s="76"/>
      <c r="AA82" s="76"/>
      <c r="AB82" s="76"/>
      <c r="AC82" s="76"/>
      <c r="AD82" s="76"/>
      <c r="AE82" s="76"/>
      <c r="AF82" s="76"/>
      <c r="AG82" s="76"/>
      <c r="AH82" s="76"/>
      <c r="AI82" s="76" t="str">
        <f ca="1">IFERROR(__xludf.DUMMYFUNCTION("""COMPUTED_VALUE"""),"=IF($AO$2=1;COUNTIF(Interface!$C$22:$C$27;$A82);0)")</f>
        <v>=IF($AO$2=1;COUNTIF(Interface!$C$22:$C$27;$A82);0)</v>
      </c>
      <c r="AJ82" s="76" t="str">
        <f ca="1">IFERROR(__xludf.DUMMYFUNCTION("""COMPUTED_VALUE"""),"=IF($AO$2=2;COUNTIF(Interface!$C$30:$C$35;$A82);0)")</f>
        <v>=IF($AO$2=2;COUNTIF(Interface!$C$30:$C$35;$A82);0)</v>
      </c>
      <c r="AK82" s="76"/>
      <c r="AL82" s="76"/>
      <c r="AM82" s="76" t="str">
        <f ca="1">IFERROR(__xludf.DUMMYFUNCTION("""COMPUTED_VALUE"""),"=COUNTIF(Interface!$O$18:$O$23;$A82)")</f>
        <v>=COUNTIF(Interface!$O$18:$O$23;$A82)</v>
      </c>
      <c r="AN82" s="76" t="str">
        <f ca="1">IFERROR(__xludf.DUMMYFUNCTION("""COMPUTED_VALUE"""),"=Image(""https://ddragon.leagueoflegends.com/cdn/12.22.1/img/item/3041.png"")")</f>
        <v>=Image("https://ddragon.leagueoflegends.com/cdn/12.22.1/img/item/3041.png")</v>
      </c>
      <c r="AO82" s="76" t="b">
        <f ca="1">IFERROR(__xludf.DUMMYFUNCTION("""COMPUTED_VALUE"""),TRUE)</f>
        <v>1</v>
      </c>
    </row>
    <row r="83" spans="1:41">
      <c r="A83" s="644" t="str">
        <f ca="1">IFERROR(__xludf.DUMMYFUNCTION("""COMPUTED_VALUE"""),"Mercurial Scimitar")</f>
        <v>Mercurial Scimitar</v>
      </c>
      <c r="B83" s="84" t="str">
        <f ca="1">IFERROR(__xludf.DUMMYFUNCTION("""COMPUTED_VALUE"""),"=3000")</f>
        <v>=3000</v>
      </c>
      <c r="C83" s="84"/>
      <c r="D83" s="84"/>
      <c r="E83" s="84"/>
      <c r="F83" s="84"/>
      <c r="G83" s="84" t="str">
        <f ca="1">IFERROR(__xludf.DUMMYFUNCTION("""COMPUTED_VALUE"""),"=40")</f>
        <v>=40</v>
      </c>
      <c r="H83" s="84"/>
      <c r="I83" s="84"/>
      <c r="J83" s="646" t="str">
        <f ca="1">IFERROR(__xludf.DUMMYFUNCTION("""COMPUTED_VALUE"""),"=50")</f>
        <v>=50</v>
      </c>
      <c r="K83" s="84"/>
      <c r="L83" s="72" t="str">
        <f ca="1">IFERROR(__xludf.DUMMYFUNCTION("""COMPUTED_VALUE"""),"=20")</f>
        <v>=20</v>
      </c>
      <c r="M83" s="72"/>
      <c r="N83" s="72"/>
      <c r="O83" s="72"/>
      <c r="P83" s="72"/>
      <c r="Q83" s="72"/>
      <c r="R83" s="72"/>
      <c r="S83" s="72"/>
      <c r="T83" s="72"/>
      <c r="U83" s="72"/>
      <c r="V83" s="72"/>
      <c r="W83" s="72"/>
      <c r="X83" s="72"/>
      <c r="Y83" s="72"/>
      <c r="Z83" s="72"/>
      <c r="AA83" s="72"/>
      <c r="AB83" s="72"/>
      <c r="AC83" s="72"/>
      <c r="AD83" s="72"/>
      <c r="AE83" s="72"/>
      <c r="AF83" s="72"/>
      <c r="AG83" s="72"/>
      <c r="AH83" s="72"/>
      <c r="AI83" s="72" t="str">
        <f ca="1">IFERROR(__xludf.DUMMYFUNCTION("""COMPUTED_VALUE"""),"=IF($AO$2=1;COUNTIF(Interface!$C$22:$C$27;$A83);0)")</f>
        <v>=IF($AO$2=1;COUNTIF(Interface!$C$22:$C$27;$A83);0)</v>
      </c>
      <c r="AJ83" s="72" t="str">
        <f ca="1">IFERROR(__xludf.DUMMYFUNCTION("""COMPUTED_VALUE"""),"=IF($AO$2=2;COUNTIF(Interface!$C$30:$C$35;$A83);0)")</f>
        <v>=IF($AO$2=2;COUNTIF(Interface!$C$30:$C$35;$A83);0)</v>
      </c>
      <c r="AK83" s="72"/>
      <c r="AL83" s="72"/>
      <c r="AM83" s="72" t="str">
        <f ca="1">IFERROR(__xludf.DUMMYFUNCTION("""COMPUTED_VALUE"""),"=COUNTIF(Interface!$O$18:$O$23;$A83)")</f>
        <v>=COUNTIF(Interface!$O$18:$O$23;$A83)</v>
      </c>
      <c r="AN83" s="72" t="str">
        <f ca="1">IFERROR(__xludf.DUMMYFUNCTION("""COMPUTED_VALUE"""),"=Image(""https://ddragon.leagueoflegends.com/cdn/12.22.1/img/item/3139.png"")")</f>
        <v>=Image("https://ddragon.leagueoflegends.com/cdn/12.22.1/img/item/3139.png")</v>
      </c>
      <c r="AO83" s="72" t="b">
        <f ca="1">IFERROR(__xludf.DUMMYFUNCTION("""COMPUTED_VALUE"""),TRUE)</f>
        <v>1</v>
      </c>
    </row>
    <row r="84" spans="1:41">
      <c r="A84" s="643" t="str">
        <f ca="1">IFERROR(__xludf.DUMMYFUNCTION("""COMPUTED_VALUE"""),"Mercury's Treads")</f>
        <v>Mercury's Treads</v>
      </c>
      <c r="B84" s="78" t="str">
        <f ca="1">IFERROR(__xludf.DUMMYFUNCTION("""COMPUTED_VALUE"""),"=1100")</f>
        <v>=1100</v>
      </c>
      <c r="C84" s="78"/>
      <c r="D84" s="78"/>
      <c r="E84" s="78"/>
      <c r="F84" s="78"/>
      <c r="G84" s="645"/>
      <c r="H84" s="78"/>
      <c r="I84" s="78"/>
      <c r="J84" s="78" t="str">
        <f ca="1">IFERROR(__xludf.DUMMYFUNCTION("""COMPUTED_VALUE"""),"=25")</f>
        <v>=25</v>
      </c>
      <c r="K84" s="78"/>
      <c r="L84" s="76"/>
      <c r="M84" s="76"/>
      <c r="N84" s="76"/>
      <c r="O84" s="76"/>
      <c r="P84" s="76"/>
      <c r="Q84" s="76" t="str">
        <f ca="1">IFERROR(__xludf.DUMMYFUNCTION("""COMPUTED_VALUE"""),"=45")</f>
        <v>=45</v>
      </c>
      <c r="R84" s="76"/>
      <c r="S84" s="76"/>
      <c r="T84" s="76"/>
      <c r="U84" s="76"/>
      <c r="V84" s="76"/>
      <c r="W84" s="76"/>
      <c r="X84" s="76"/>
      <c r="Y84" s="76"/>
      <c r="Z84" s="76"/>
      <c r="AA84" s="76"/>
      <c r="AB84" s="76"/>
      <c r="AC84" s="76"/>
      <c r="AD84" s="76"/>
      <c r="AE84" s="76"/>
      <c r="AF84" s="76" t="str">
        <f ca="1">IFERROR(__xludf.DUMMYFUNCTION("""COMPUTED_VALUE"""),"=30")</f>
        <v>=30</v>
      </c>
      <c r="AG84" s="76"/>
      <c r="AH84" s="76"/>
      <c r="AI84" s="76" t="str">
        <f ca="1">IFERROR(__xludf.DUMMYFUNCTION("""COMPUTED_VALUE"""),"=IF($AO$2=1;COUNTIF(Interface!$C$22:$C$27;$A84);0)")</f>
        <v>=IF($AO$2=1;COUNTIF(Interface!$C$22:$C$27;$A84);0)</v>
      </c>
      <c r="AJ84" s="76" t="str">
        <f ca="1">IFERROR(__xludf.DUMMYFUNCTION("""COMPUTED_VALUE"""),"=IF($AO$2=2;COUNTIF(Interface!$C$30:$C$35;$A84);0)")</f>
        <v>=IF($AO$2=2;COUNTIF(Interface!$C$30:$C$35;$A84);0)</v>
      </c>
      <c r="AK84" s="76"/>
      <c r="AL84" s="76"/>
      <c r="AM84" s="76" t="str">
        <f ca="1">IFERROR(__xludf.DUMMYFUNCTION("""COMPUTED_VALUE"""),"=COUNTIF(Interface!$O$18:$O$23;$A84)")</f>
        <v>=COUNTIF(Interface!$O$18:$O$23;$A84)</v>
      </c>
      <c r="AN84" s="76" t="str">
        <f ca="1">IFERROR(__xludf.DUMMYFUNCTION("""COMPUTED_VALUE"""),"=Image(""https://ddragon.leagueoflegends.com/cdn/12.22.1/img/item/3111.png"")")</f>
        <v>=Image("https://ddragon.leagueoflegends.com/cdn/12.22.1/img/item/3111.png")</v>
      </c>
      <c r="AO84" s="76" t="b">
        <f ca="1">IFERROR(__xludf.DUMMYFUNCTION("""COMPUTED_VALUE"""),FALSE)</f>
        <v>0</v>
      </c>
    </row>
    <row r="85" spans="1:41">
      <c r="A85" s="644" t="str">
        <f ca="1">IFERROR(__xludf.DUMMYFUNCTION("""COMPUTED_VALUE"""),"Mikael's Blessing")</f>
        <v>Mikael's Blessing</v>
      </c>
      <c r="B85" s="84" t="str">
        <f ca="1">IFERROR(__xludf.DUMMYFUNCTION("""COMPUTED_VALUE"""),"=2300")</f>
        <v>=2300</v>
      </c>
      <c r="C85" s="84" t="str">
        <f ca="1">IFERROR(__xludf.DUMMYFUNCTION("""COMPUTED_VALUE"""),"=250")</f>
        <v>=250</v>
      </c>
      <c r="D85" s="84" t="str">
        <f ca="1">IFERROR(__xludf.DUMMYFUNCTION("""COMPUTED_VALUE"""),"=IT_MPR")</f>
        <v>=IT_MPR</v>
      </c>
      <c r="E85" s="84"/>
      <c r="F85" s="84" t="str">
        <f ca="1">IFERROR(__xludf.DUMMYFUNCTION("""COMPUTED_VALUE"""),"=1")</f>
        <v>=1</v>
      </c>
      <c r="G85" s="84"/>
      <c r="H85" s="646"/>
      <c r="I85" s="84"/>
      <c r="J85" s="84"/>
      <c r="K85" s="84"/>
      <c r="L85" s="72"/>
      <c r="M85" s="72" t="str">
        <f ca="1">IFERROR(__xludf.DUMMYFUNCTION("""COMPUTED_VALUE"""),"=15")</f>
        <v>=15</v>
      </c>
      <c r="N85" s="72"/>
      <c r="O85" s="72"/>
      <c r="P85" s="72"/>
      <c r="Q85" s="72"/>
      <c r="R85" s="72"/>
      <c r="S85" s="72" t="str">
        <f ca="1">IFERROR(__xludf.DUMMYFUNCTION("""COMPUTED_VALUE"""),"=15")</f>
        <v>=15</v>
      </c>
      <c r="T85" s="72"/>
      <c r="U85" s="72"/>
      <c r="V85" s="72"/>
      <c r="W85" s="72"/>
      <c r="X85" s="72"/>
      <c r="Y85" s="72"/>
      <c r="Z85" s="72"/>
      <c r="AA85" s="72"/>
      <c r="AB85" s="72"/>
      <c r="AC85" s="72"/>
      <c r="AD85" s="72"/>
      <c r="AE85" s="72"/>
      <c r="AF85" s="72"/>
      <c r="AG85" s="72"/>
      <c r="AH85" s="72"/>
      <c r="AI85" s="72" t="str">
        <f ca="1">IFERROR(__xludf.DUMMYFUNCTION("""COMPUTED_VALUE"""),"=IF($AO$2=1;COUNTIF(Interface!$C$22:$C$27;$A85);0)")</f>
        <v>=IF($AO$2=1;COUNTIF(Interface!$C$22:$C$27;$A85);0)</v>
      </c>
      <c r="AJ85" s="72" t="str">
        <f ca="1">IFERROR(__xludf.DUMMYFUNCTION("""COMPUTED_VALUE"""),"=IF($AO$2=2;COUNTIF(Interface!$C$30:$C$35;$A85);0)")</f>
        <v>=IF($AO$2=2;COUNTIF(Interface!$C$30:$C$35;$A85);0)</v>
      </c>
      <c r="AK85" s="72"/>
      <c r="AL85" s="72"/>
      <c r="AM85" s="72" t="str">
        <f ca="1">IFERROR(__xludf.DUMMYFUNCTION("""COMPUTED_VALUE"""),"=COUNTIF(Interface!$O$18:$O$23;$A85)")</f>
        <v>=COUNTIF(Interface!$O$18:$O$23;$A85)</v>
      </c>
      <c r="AN85" s="72" t="str">
        <f ca="1">IFERROR(__xludf.DUMMYFUNCTION("""COMPUTED_VALUE"""),"=Image(""https://ddragon.leagueoflegends.com/cdn/12.22.1/img/item/3222.png"")")</f>
        <v>=Image("https://ddragon.leagueoflegends.com/cdn/12.22.1/img/item/3222.png")</v>
      </c>
      <c r="AO85" s="72" t="b">
        <f ca="1">IFERROR(__xludf.DUMMYFUNCTION("""COMPUTED_VALUE"""),TRUE)</f>
        <v>1</v>
      </c>
    </row>
    <row r="86" spans="1:41">
      <c r="A86" s="643" t="str">
        <f ca="1">IFERROR(__xludf.DUMMYFUNCTION("""COMPUTED_VALUE"""),"Mobility Boots")</f>
        <v>Mobility Boots</v>
      </c>
      <c r="B86" s="78" t="str">
        <f ca="1">IFERROR(__xludf.DUMMYFUNCTION("""COMPUTED_VALUE"""),"=1000")</f>
        <v>=1000</v>
      </c>
      <c r="C86" s="78"/>
      <c r="D86" s="78"/>
      <c r="E86" s="78"/>
      <c r="F86" s="78"/>
      <c r="G86" s="645"/>
      <c r="H86" s="645"/>
      <c r="I86" s="78"/>
      <c r="J86" s="78"/>
      <c r="K86" s="78"/>
      <c r="L86" s="76"/>
      <c r="M86" s="76"/>
      <c r="N86" s="76"/>
      <c r="O86" s="76"/>
      <c r="P86" s="76"/>
      <c r="Q86" s="76" t="str">
        <f ca="1">IFERROR(__xludf.DUMMYFUNCTION("""COMPUTED_VALUE"""),"=115")</f>
        <v>=115</v>
      </c>
      <c r="R86" s="76"/>
      <c r="S86" s="76"/>
      <c r="T86" s="76"/>
      <c r="U86" s="76"/>
      <c r="V86" s="76"/>
      <c r="W86" s="76"/>
      <c r="X86" s="76"/>
      <c r="Y86" s="76"/>
      <c r="Z86" s="76"/>
      <c r="AA86" s="76"/>
      <c r="AB86" s="76"/>
      <c r="AC86" s="76"/>
      <c r="AD86" s="76"/>
      <c r="AE86" s="76"/>
      <c r="AF86" s="76"/>
      <c r="AG86" s="76"/>
      <c r="AH86" s="76"/>
      <c r="AI86" s="76" t="str">
        <f ca="1">IFERROR(__xludf.DUMMYFUNCTION("""COMPUTED_VALUE"""),"=IF($AO$2=1;COUNTIF(Interface!$C$22:$C$27;$A86);0)")</f>
        <v>=IF($AO$2=1;COUNTIF(Interface!$C$22:$C$27;$A86);0)</v>
      </c>
      <c r="AJ86" s="76" t="str">
        <f ca="1">IFERROR(__xludf.DUMMYFUNCTION("""COMPUTED_VALUE"""),"=IF($AO$2=2;COUNTIF(Interface!$C$30:$C$35;$A86);0)")</f>
        <v>=IF($AO$2=2;COUNTIF(Interface!$C$30:$C$35;$A86);0)</v>
      </c>
      <c r="AK86" s="76"/>
      <c r="AL86" s="76"/>
      <c r="AM86" s="76" t="str">
        <f ca="1">IFERROR(__xludf.DUMMYFUNCTION("""COMPUTED_VALUE"""),"=COUNTIF(Interface!$O$18:$O$23;$A86)")</f>
        <v>=COUNTIF(Interface!$O$18:$O$23;$A86)</v>
      </c>
      <c r="AN86" s="76" t="str">
        <f ca="1">IFERROR(__xludf.DUMMYFUNCTION("""COMPUTED_VALUE"""),"=Image(""https://ddragon.leagueoflegends.com/cdn/12.22.1/img/item/3117.png"")")</f>
        <v>=Image("https://ddragon.leagueoflegends.com/cdn/12.22.1/img/item/3117.png")</v>
      </c>
      <c r="AO86" s="76" t="b">
        <f ca="1">IFERROR(__xludf.DUMMYFUNCTION("""COMPUTED_VALUE"""),FALSE)</f>
        <v>0</v>
      </c>
    </row>
    <row r="87" spans="1:41">
      <c r="A87" s="644" t="str">
        <f ca="1">IFERROR(__xludf.DUMMYFUNCTION("""COMPUTED_VALUE"""),"Morellonomicon")</f>
        <v>Morellonomicon</v>
      </c>
      <c r="B87" s="84" t="str">
        <f ca="1">IFERROR(__xludf.DUMMYFUNCTION("""COMPUTED_VALUE"""),"=2500")</f>
        <v>=2500</v>
      </c>
      <c r="C87" s="84" t="str">
        <f ca="1">IFERROR(__xludf.DUMMYFUNCTION("""COMPUTED_VALUE"""),"=200")</f>
        <v>=200</v>
      </c>
      <c r="D87" s="84"/>
      <c r="E87" s="84"/>
      <c r="F87" s="84"/>
      <c r="G87" s="84"/>
      <c r="H87" s="646" t="str">
        <f ca="1">IFERROR(__xludf.DUMMYFUNCTION("""COMPUTED_VALUE"""),"=90")</f>
        <v>=90</v>
      </c>
      <c r="I87" s="646"/>
      <c r="J87" s="84"/>
      <c r="K87" s="84"/>
      <c r="L87" s="72"/>
      <c r="M87" s="72"/>
      <c r="N87" s="72"/>
      <c r="O87" s="72"/>
      <c r="P87" s="72" t="str">
        <f ca="1">IFERROR(__xludf.DUMMYFUNCTION("""COMPUTED_VALUE"""),"=10")</f>
        <v>=10</v>
      </c>
      <c r="Q87" s="72"/>
      <c r="R87" s="72"/>
      <c r="S87" s="72"/>
      <c r="T87" s="72"/>
      <c r="U87" s="72"/>
      <c r="V87" s="72"/>
      <c r="W87" s="72"/>
      <c r="X87" s="72"/>
      <c r="Y87" s="72"/>
      <c r="Z87" s="72"/>
      <c r="AA87" s="72"/>
      <c r="AB87" s="72"/>
      <c r="AC87" s="72"/>
      <c r="AD87" s="72"/>
      <c r="AE87" s="72"/>
      <c r="AF87" s="72"/>
      <c r="AG87" s="72"/>
      <c r="AH87" s="72"/>
      <c r="AI87" s="72" t="str">
        <f ca="1">IFERROR(__xludf.DUMMYFUNCTION("""COMPUTED_VALUE"""),"=IF($AO$2=1;COUNTIF(Interface!$C$22:$C$27;$A87);0)")</f>
        <v>=IF($AO$2=1;COUNTIF(Interface!$C$22:$C$27;$A87);0)</v>
      </c>
      <c r="AJ87" s="72" t="str">
        <f ca="1">IFERROR(__xludf.DUMMYFUNCTION("""COMPUTED_VALUE"""),"=IF($AO$2=2;COUNTIF(Interface!$C$30:$C$35;$A87);0)")</f>
        <v>=IF($AO$2=2;COUNTIF(Interface!$C$30:$C$35;$A87);0)</v>
      </c>
      <c r="AK87" s="72"/>
      <c r="AL87" s="72"/>
      <c r="AM87" s="72" t="str">
        <f ca="1">IFERROR(__xludf.DUMMYFUNCTION("""COMPUTED_VALUE"""),"=COUNTIF(Interface!$O$18:$O$23;$A87)")</f>
        <v>=COUNTIF(Interface!$O$18:$O$23;$A87)</v>
      </c>
      <c r="AN87" s="72" t="str">
        <f ca="1">IFERROR(__xludf.DUMMYFUNCTION("""COMPUTED_VALUE"""),"=Image(""https://ddragon.leagueoflegends.com/cdn/12.22.1/img/item/3165.png"")")</f>
        <v>=Image("https://ddragon.leagueoflegends.com/cdn/12.22.1/img/item/3165.png")</v>
      </c>
      <c r="AO87" s="72" t="b">
        <f ca="1">IFERROR(__xludf.DUMMYFUNCTION("""COMPUTED_VALUE"""),TRUE)</f>
        <v>1</v>
      </c>
    </row>
    <row r="88" spans="1:41">
      <c r="A88" s="643" t="str">
        <f ca="1">IFERROR(__xludf.DUMMYFUNCTION("""COMPUTED_VALUE"""),"Mortal Reminder")</f>
        <v>Mortal Reminder</v>
      </c>
      <c r="B88" s="78" t="str">
        <f ca="1">IFERROR(__xludf.DUMMYFUNCTION("""COMPUTED_VALUE"""),"=2600")</f>
        <v>=2600</v>
      </c>
      <c r="C88" s="78"/>
      <c r="D88" s="78"/>
      <c r="E88" s="78"/>
      <c r="F88" s="78"/>
      <c r="G88" s="78" t="str">
        <f ca="1">IFERROR(__xludf.DUMMYFUNCTION("""COMPUTED_VALUE"""),"=40")</f>
        <v>=40</v>
      </c>
      <c r="H88" s="78"/>
      <c r="I88" s="78"/>
      <c r="J88" s="78"/>
      <c r="K88" s="78"/>
      <c r="L88" s="76" t="str">
        <f ca="1">IFERROR(__xludf.DUMMYFUNCTION("""COMPUTED_VALUE"""),"=20")</f>
        <v>=20</v>
      </c>
      <c r="M88" s="76"/>
      <c r="N88" s="76"/>
      <c r="O88" s="76"/>
      <c r="P88" s="76"/>
      <c r="Q88" s="76"/>
      <c r="R88" s="76"/>
      <c r="S88" s="76"/>
      <c r="T88" s="76"/>
      <c r="U88" s="76"/>
      <c r="V88" s="76"/>
      <c r="W88" s="76"/>
      <c r="X88" s="76"/>
      <c r="Y88" s="76" t="str">
        <f ca="1">IFERROR(__xludf.DUMMYFUNCTION("""COMPUTED_VALUE"""),"=30")</f>
        <v>=30</v>
      </c>
      <c r="Z88" s="76"/>
      <c r="AA88" s="76"/>
      <c r="AB88" s="76"/>
      <c r="AC88" s="76"/>
      <c r="AD88" s="76"/>
      <c r="AE88" s="76"/>
      <c r="AF88" s="76"/>
      <c r="AG88" s="76"/>
      <c r="AH88" s="76"/>
      <c r="AI88" s="76" t="str">
        <f ca="1">IFERROR(__xludf.DUMMYFUNCTION("""COMPUTED_VALUE"""),"=IF($AO$2=1;COUNTIF(Interface!$C$22:$C$27;$A88);0)")</f>
        <v>=IF($AO$2=1;COUNTIF(Interface!$C$22:$C$27;$A88);0)</v>
      </c>
      <c r="AJ88" s="76" t="str">
        <f ca="1">IFERROR(__xludf.DUMMYFUNCTION("""COMPUTED_VALUE"""),"=IF($AO$2=2;COUNTIF(Interface!$C$30:$C$35;$A88);0)")</f>
        <v>=IF($AO$2=2;COUNTIF(Interface!$C$30:$C$35;$A88);0)</v>
      </c>
      <c r="AK88" s="76"/>
      <c r="AL88" s="76"/>
      <c r="AM88" s="76" t="str">
        <f ca="1">IFERROR(__xludf.DUMMYFUNCTION("""COMPUTED_VALUE"""),"=COUNTIF(Interface!$O$18:$O$23;$A88)")</f>
        <v>=COUNTIF(Interface!$O$18:$O$23;$A88)</v>
      </c>
      <c r="AN88" s="76" t="str">
        <f ca="1">IFERROR(__xludf.DUMMYFUNCTION("""COMPUTED_VALUE"""),"=Image(""https://ddragon.leagueoflegends.com/cdn/12.22.1/img/item/3033.png"")")</f>
        <v>=Image("https://ddragon.leagueoflegends.com/cdn/12.22.1/img/item/3033.png")</v>
      </c>
      <c r="AO88" s="76" t="b">
        <f ca="1">IFERROR(__xludf.DUMMYFUNCTION("""COMPUTED_VALUE"""),TRUE)</f>
        <v>1</v>
      </c>
    </row>
    <row r="89" spans="1:41">
      <c r="A89" s="644" t="str">
        <f ca="1">IFERROR(__xludf.DUMMYFUNCTION("""COMPUTED_VALUE"""),"Muramana")</f>
        <v>Muramana</v>
      </c>
      <c r="B89" s="84" t="str">
        <f ca="1">IFERROR(__xludf.DUMMYFUNCTION("""COMPUTED_VALUE"""),"=2900")</f>
        <v>=2900</v>
      </c>
      <c r="C89" s="84"/>
      <c r="D89" s="84"/>
      <c r="E89" s="84" t="str">
        <f ca="1">IFERROR(__xludf.DUMMYFUNCTION("""COMPUTED_VALUE"""),"=860")</f>
        <v>=860</v>
      </c>
      <c r="F89" s="84"/>
      <c r="G89" s="84" t="str">
        <f ca="1">IFERROR(__xludf.DUMMYFUNCTION("""COMPUTED_VALUE"""),"=35")</f>
        <v>=35</v>
      </c>
      <c r="H89" s="84"/>
      <c r="I89" s="84"/>
      <c r="J89" s="84"/>
      <c r="K89" s="84"/>
      <c r="L89" s="72"/>
      <c r="M89" s="72" t="str">
        <f ca="1">IFERROR(__xludf.DUMMYFUNCTION("""COMPUTED_VALUE"""),"=15")</f>
        <v>=15</v>
      </c>
      <c r="N89" s="72"/>
      <c r="O89" s="72"/>
      <c r="P89" s="72"/>
      <c r="Q89" s="72"/>
      <c r="R89" s="72"/>
      <c r="S89" s="72"/>
      <c r="T89" s="72" t="str">
        <f ca="1">IFERROR(__xludf.DUMMYFUNCTION("""COMPUTED_VALUE"""),"=0,015*Self_MP")</f>
        <v>=0,015*Self_MP</v>
      </c>
      <c r="U89" s="72"/>
      <c r="V89" s="72"/>
      <c r="W89" s="72"/>
      <c r="X89" s="72"/>
      <c r="Y89" s="72"/>
      <c r="Z89" s="72"/>
      <c r="AA89" s="72"/>
      <c r="AB89" s="72"/>
      <c r="AC89" s="72"/>
      <c r="AD89" s="72"/>
      <c r="AE89" s="72"/>
      <c r="AF89" s="72"/>
      <c r="AG89" s="72"/>
      <c r="AH89" s="72"/>
      <c r="AI89" s="72" t="str">
        <f ca="1">IFERROR(__xludf.DUMMYFUNCTION("""COMPUTED_VALUE"""),"=IF($AO$2=1;COUNTIF(Interface!$C$22:$C$27;$A89);0)")</f>
        <v>=IF($AO$2=1;COUNTIF(Interface!$C$22:$C$27;$A89);0)</v>
      </c>
      <c r="AJ89" s="72" t="str">
        <f ca="1">IFERROR(__xludf.DUMMYFUNCTION("""COMPUTED_VALUE"""),"=IF($AO$2=2;COUNTIF(Interface!$C$30:$C$35;$A89);0)")</f>
        <v>=IF($AO$2=2;COUNTIF(Interface!$C$30:$C$35;$A89);0)</v>
      </c>
      <c r="AK89" s="72"/>
      <c r="AL89" s="72"/>
      <c r="AM89" s="72" t="str">
        <f ca="1">IFERROR(__xludf.DUMMYFUNCTION("""COMPUTED_VALUE"""),"=COUNTIF(Interface!$O$18:$O$23;$A89)")</f>
        <v>=COUNTIF(Interface!$O$18:$O$23;$A89)</v>
      </c>
      <c r="AN89" s="72" t="str">
        <f ca="1">IFERROR(__xludf.DUMMYFUNCTION("""COMPUTED_VALUE"""),"=Image(""https://ddragon.leagueoflegends.com/cdn/12.22.1/img/item/3042.png"")")</f>
        <v>=Image("https://ddragon.leagueoflegends.com/cdn/12.22.1/img/item/3042.png")</v>
      </c>
      <c r="AO89" s="72" t="b">
        <f ca="1">IFERROR(__xludf.DUMMYFUNCTION("""COMPUTED_VALUE"""),TRUE)</f>
        <v>1</v>
      </c>
    </row>
    <row r="90" spans="1:41">
      <c r="A90" s="643" t="str">
        <f ca="1">IFERROR(__xludf.DUMMYFUNCTION("""COMPUTED_VALUE"""),"Nashor's Tooth")</f>
        <v>Nashor's Tooth</v>
      </c>
      <c r="B90" s="78" t="str">
        <f ca="1">IFERROR(__xludf.DUMMYFUNCTION("""COMPUTED_VALUE"""),"=3200")</f>
        <v>=3200</v>
      </c>
      <c r="C90" s="78"/>
      <c r="D90" s="78"/>
      <c r="E90" s="78"/>
      <c r="F90" s="78"/>
      <c r="G90" s="78"/>
      <c r="H90" s="78" t="str">
        <f ca="1">IFERROR(__xludf.DUMMYFUNCTION("""COMPUTED_VALUE"""),"=100")</f>
        <v>=100</v>
      </c>
      <c r="I90" s="78"/>
      <c r="J90" s="78"/>
      <c r="K90" s="78" t="str">
        <f ca="1">IFERROR(__xludf.DUMMYFUNCTION("""COMPUTED_VALUE"""),"=50")</f>
        <v>=50</v>
      </c>
      <c r="L90" s="76"/>
      <c r="M90" s="76" t="str">
        <f ca="1">IFERROR(__xludf.DUMMYFUNCTION("""COMPUTED_VALUE"""),"=15")</f>
        <v>=15</v>
      </c>
      <c r="N90" s="76"/>
      <c r="O90" s="76"/>
      <c r="P90" s="76"/>
      <c r="Q90" s="76"/>
      <c r="R90" s="76"/>
      <c r="S90" s="76"/>
      <c r="T90" s="76"/>
      <c r="U90" s="76" t="str">
        <f ca="1">IFERROR(__xludf.DUMMYFUNCTION("""COMPUTED_VALUE"""),"=15+0,2*Self_AP")</f>
        <v>=15+0,2*Self_AP</v>
      </c>
      <c r="V90" s="76"/>
      <c r="W90" s="76"/>
      <c r="X90" s="76"/>
      <c r="Y90" s="76"/>
      <c r="Z90" s="76"/>
      <c r="AA90" s="76"/>
      <c r="AB90" s="76"/>
      <c r="AC90" s="76"/>
      <c r="AD90" s="76"/>
      <c r="AE90" s="76"/>
      <c r="AF90" s="76"/>
      <c r="AG90" s="76"/>
      <c r="AH90" s="76"/>
      <c r="AI90" s="76" t="str">
        <f ca="1">IFERROR(__xludf.DUMMYFUNCTION("""COMPUTED_VALUE"""),"=IF($AO$2=1;COUNTIF(Interface!$C$22:$C$27;$A90);0)")</f>
        <v>=IF($AO$2=1;COUNTIF(Interface!$C$22:$C$27;$A90);0)</v>
      </c>
      <c r="AJ90" s="76" t="str">
        <f ca="1">IFERROR(__xludf.DUMMYFUNCTION("""COMPUTED_VALUE"""),"=IF($AO$2=2;COUNTIF(Interface!$C$30:$C$35;$A90);0)")</f>
        <v>=IF($AO$2=2;COUNTIF(Interface!$C$30:$C$35;$A90);0)</v>
      </c>
      <c r="AK90" s="76"/>
      <c r="AL90" s="76"/>
      <c r="AM90" s="76" t="str">
        <f ca="1">IFERROR(__xludf.DUMMYFUNCTION("""COMPUTED_VALUE"""),"=COUNTIF(Interface!$O$18:$O$23;$A90)")</f>
        <v>=COUNTIF(Interface!$O$18:$O$23;$A90)</v>
      </c>
      <c r="AN90" s="76" t="str">
        <f ca="1">IFERROR(__xludf.DUMMYFUNCTION("""COMPUTED_VALUE"""),"=Image(""https://ddragon.leagueoflegends.com/cdn/12.22.1/img/item/3115.png"")")</f>
        <v>=Image("https://ddragon.leagueoflegends.com/cdn/12.22.1/img/item/3115.png")</v>
      </c>
      <c r="AO90" s="76" t="b">
        <f ca="1">IFERROR(__xludf.DUMMYFUNCTION("""COMPUTED_VALUE"""),TRUE)</f>
        <v>1</v>
      </c>
    </row>
    <row r="91" spans="1:41">
      <c r="A91" s="644" t="str">
        <f ca="1">IFERROR(__xludf.DUMMYFUNCTION("""COMPUTED_VALUE"""),"Needlessly Large Rod")</f>
        <v>Needlessly Large Rod</v>
      </c>
      <c r="B91" s="84" t="str">
        <f ca="1">IFERROR(__xludf.DUMMYFUNCTION("""COMPUTED_VALUE"""),"=1250")</f>
        <v>=1250</v>
      </c>
      <c r="C91" s="84"/>
      <c r="D91" s="84"/>
      <c r="E91" s="84"/>
      <c r="F91" s="84"/>
      <c r="G91" s="84"/>
      <c r="H91" s="84" t="str">
        <f ca="1">IFERROR(__xludf.DUMMYFUNCTION("""COMPUTED_VALUE"""),"=60")</f>
        <v>=60</v>
      </c>
      <c r="I91" s="84"/>
      <c r="J91" s="84"/>
      <c r="K91" s="84"/>
      <c r="L91" s="72"/>
      <c r="M91" s="72"/>
      <c r="N91" s="72"/>
      <c r="O91" s="72"/>
      <c r="P91" s="72"/>
      <c r="Q91" s="72"/>
      <c r="R91" s="72"/>
      <c r="S91" s="72"/>
      <c r="T91" s="72"/>
      <c r="U91" s="72"/>
      <c r="V91" s="72"/>
      <c r="W91" s="72"/>
      <c r="X91" s="72"/>
      <c r="Y91" s="72"/>
      <c r="Z91" s="72"/>
      <c r="AA91" s="72"/>
      <c r="AB91" s="72"/>
      <c r="AC91" s="72"/>
      <c r="AD91" s="72"/>
      <c r="AE91" s="72"/>
      <c r="AF91" s="72"/>
      <c r="AG91" s="72"/>
      <c r="AH91" s="72"/>
      <c r="AI91" s="72" t="str">
        <f ca="1">IFERROR(__xludf.DUMMYFUNCTION("""COMPUTED_VALUE"""),"=IF($AO$2=1;COUNTIF(Interface!$C$22:$C$27;$A91);0)")</f>
        <v>=IF($AO$2=1;COUNTIF(Interface!$C$22:$C$27;$A91);0)</v>
      </c>
      <c r="AJ91" s="72" t="str">
        <f ca="1">IFERROR(__xludf.DUMMYFUNCTION("""COMPUTED_VALUE"""),"=IF($AO$2=2;COUNTIF(Interface!$C$30:$C$35;$A91);0)")</f>
        <v>=IF($AO$2=2;COUNTIF(Interface!$C$30:$C$35;$A91);0)</v>
      </c>
      <c r="AK91" s="72"/>
      <c r="AL91" s="72"/>
      <c r="AM91" s="72" t="str">
        <f ca="1">IFERROR(__xludf.DUMMYFUNCTION("""COMPUTED_VALUE"""),"=COUNTIF(Interface!$O$18:$O$23;$A91)")</f>
        <v>=COUNTIF(Interface!$O$18:$O$23;$A91)</v>
      </c>
      <c r="AN91" s="72" t="str">
        <f ca="1">IFERROR(__xludf.DUMMYFUNCTION("""COMPUTED_VALUE"""),"=Image(""https://ddragon.leagueoflegends.com/cdn/12.22.1/img/item/1058.png"")")</f>
        <v>=Image("https://ddragon.leagueoflegends.com/cdn/12.22.1/img/item/1058.png")</v>
      </c>
      <c r="AO91" s="72" t="b">
        <f ca="1">IFERROR(__xludf.DUMMYFUNCTION("""COMPUTED_VALUE"""),FALSE)</f>
        <v>0</v>
      </c>
    </row>
    <row r="92" spans="1:41">
      <c r="A92" s="643" t="str">
        <f ca="1">IFERROR(__xludf.DUMMYFUNCTION("""COMPUTED_VALUE"""),"Negatron Cloak")</f>
        <v>Negatron Cloak</v>
      </c>
      <c r="B92" s="78" t="str">
        <f ca="1">IFERROR(__xludf.DUMMYFUNCTION("""COMPUTED_VALUE"""),"=900")</f>
        <v>=900</v>
      </c>
      <c r="C92" s="78"/>
      <c r="D92" s="78"/>
      <c r="E92" s="78"/>
      <c r="F92" s="78"/>
      <c r="G92" s="647"/>
      <c r="H92" s="647"/>
      <c r="I92" s="78"/>
      <c r="J92" s="78" t="str">
        <f ca="1">IFERROR(__xludf.DUMMYFUNCTION("""COMPUTED_VALUE"""),"=50")</f>
        <v>=50</v>
      </c>
      <c r="K92" s="647"/>
      <c r="L92" s="76"/>
      <c r="M92" s="76"/>
      <c r="N92" s="76"/>
      <c r="O92" s="76"/>
      <c r="P92" s="76"/>
      <c r="Q92" s="76"/>
      <c r="R92" s="76"/>
      <c r="S92" s="76"/>
      <c r="T92" s="76"/>
      <c r="U92" s="76"/>
      <c r="V92" s="76"/>
      <c r="W92" s="76"/>
      <c r="X92" s="76"/>
      <c r="Y92" s="76"/>
      <c r="Z92" s="76"/>
      <c r="AA92" s="76"/>
      <c r="AB92" s="76"/>
      <c r="AC92" s="76"/>
      <c r="AD92" s="76"/>
      <c r="AE92" s="76"/>
      <c r="AF92" s="76"/>
      <c r="AG92" s="76"/>
      <c r="AH92" s="76"/>
      <c r="AI92" s="76" t="str">
        <f ca="1">IFERROR(__xludf.DUMMYFUNCTION("""COMPUTED_VALUE"""),"=IF($AO$2=1;COUNTIF(Interface!$C$22:$C$27;$A92);0)")</f>
        <v>=IF($AO$2=1;COUNTIF(Interface!$C$22:$C$27;$A92);0)</v>
      </c>
      <c r="AJ92" s="76" t="str">
        <f ca="1">IFERROR(__xludf.DUMMYFUNCTION("""COMPUTED_VALUE"""),"=IF($AO$2=2;COUNTIF(Interface!$C$30:$C$35;$A92);0)")</f>
        <v>=IF($AO$2=2;COUNTIF(Interface!$C$30:$C$35;$A92);0)</v>
      </c>
      <c r="AK92" s="76"/>
      <c r="AL92" s="76"/>
      <c r="AM92" s="76" t="str">
        <f ca="1">IFERROR(__xludf.DUMMYFUNCTION("""COMPUTED_VALUE"""),"=COUNTIF(Interface!$O$18:$O$23;$A92)")</f>
        <v>=COUNTIF(Interface!$O$18:$O$23;$A92)</v>
      </c>
      <c r="AN92" s="76" t="str">
        <f ca="1">IFERROR(__xludf.DUMMYFUNCTION("""COMPUTED_VALUE"""),"=Image(""https://ddragon.leagueoflegends.com/cdn/12.22.1/img/item/1057.png"")")</f>
        <v>=Image("https://ddragon.leagueoflegends.com/cdn/12.22.1/img/item/1057.png")</v>
      </c>
      <c r="AO92" s="76" t="b">
        <f ca="1">IFERROR(__xludf.DUMMYFUNCTION("""COMPUTED_VALUE"""),FALSE)</f>
        <v>0</v>
      </c>
    </row>
    <row r="93" spans="1:41">
      <c r="A93" s="644" t="str">
        <f ca="1">IFERROR(__xludf.DUMMYFUNCTION("""COMPUTED_VALUE"""),"Noonquiver")</f>
        <v>Noonquiver</v>
      </c>
      <c r="B93" s="84" t="str">
        <f ca="1">IFERROR(__xludf.DUMMYFUNCTION("""COMPUTED_VALUE"""),"=1300")</f>
        <v>=1300</v>
      </c>
      <c r="C93" s="84"/>
      <c r="D93" s="84"/>
      <c r="E93" s="84"/>
      <c r="F93" s="84"/>
      <c r="G93" s="84" t="str">
        <f ca="1">IFERROR(__xludf.DUMMYFUNCTION("""COMPUTED_VALUE"""),"=30")</f>
        <v>=30</v>
      </c>
      <c r="H93" s="84"/>
      <c r="I93" s="84"/>
      <c r="J93" s="646"/>
      <c r="K93" s="84" t="str">
        <f ca="1">IFERROR(__xludf.DUMMYFUNCTION("""COMPUTED_VALUE"""),"=15")</f>
        <v>=15</v>
      </c>
      <c r="L93" s="72"/>
      <c r="M93" s="72"/>
      <c r="N93" s="72"/>
      <c r="O93" s="72"/>
      <c r="P93" s="72"/>
      <c r="Q93" s="72"/>
      <c r="R93" s="72"/>
      <c r="S93" s="72"/>
      <c r="T93" s="72"/>
      <c r="U93" s="72"/>
      <c r="V93" s="72"/>
      <c r="W93" s="72"/>
      <c r="X93" s="72"/>
      <c r="Y93" s="72"/>
      <c r="Z93" s="72"/>
      <c r="AA93" s="72"/>
      <c r="AB93" s="72"/>
      <c r="AC93" s="72"/>
      <c r="AD93" s="72"/>
      <c r="AE93" s="72"/>
      <c r="AF93" s="72"/>
      <c r="AG93" s="72"/>
      <c r="AH93" s="72"/>
      <c r="AI93" s="72" t="str">
        <f ca="1">IFERROR(__xludf.DUMMYFUNCTION("""COMPUTED_VALUE"""),"=IF($AO$2=1;COUNTIF(Interface!$C$22:$C$27;$A93);0)")</f>
        <v>=IF($AO$2=1;COUNTIF(Interface!$C$22:$C$27;$A93);0)</v>
      </c>
      <c r="AJ93" s="72" t="str">
        <f ca="1">IFERROR(__xludf.DUMMYFUNCTION("""COMPUTED_VALUE"""),"=IF($AO$2=2;COUNTIF(Interface!$C$30:$C$35;$A93);0)")</f>
        <v>=IF($AO$2=2;COUNTIF(Interface!$C$30:$C$35;$A93);0)</v>
      </c>
      <c r="AK93" s="72"/>
      <c r="AL93" s="72"/>
      <c r="AM93" s="72" t="str">
        <f ca="1">IFERROR(__xludf.DUMMYFUNCTION("""COMPUTED_VALUE"""),"=COUNTIF(Interface!$O$18:$O$23;$A93)")</f>
        <v>=COUNTIF(Interface!$O$18:$O$23;$A93)</v>
      </c>
      <c r="AN93" s="72" t="str">
        <f ca="1">IFERROR(__xludf.DUMMYFUNCTION("""COMPUTED_VALUE"""),"=Image(""https://ddragon.leagueoflegends.com/cdn/12.22.1/img/item/6670.png"")")</f>
        <v>=Image("https://ddragon.leagueoflegends.com/cdn/12.22.1/img/item/6670.png")</v>
      </c>
      <c r="AO93" s="72" t="b">
        <f ca="1">IFERROR(__xludf.DUMMYFUNCTION("""COMPUTED_VALUE"""),FALSE)</f>
        <v>0</v>
      </c>
    </row>
    <row r="94" spans="1:41">
      <c r="A94" s="643" t="str">
        <f ca="1">IFERROR(__xludf.DUMMYFUNCTION("""COMPUTED_VALUE"""),"Null-Magic Mantle")</f>
        <v>Null-Magic Mantle</v>
      </c>
      <c r="B94" s="78" t="str">
        <f ca="1">IFERROR(__xludf.DUMMYFUNCTION("""COMPUTED_VALUE"""),"=450")</f>
        <v>=450</v>
      </c>
      <c r="C94" s="78"/>
      <c r="D94" s="78"/>
      <c r="E94" s="78"/>
      <c r="F94" s="78"/>
      <c r="G94" s="78"/>
      <c r="H94" s="78"/>
      <c r="I94" s="78"/>
      <c r="J94" s="78" t="str">
        <f ca="1">IFERROR(__xludf.DUMMYFUNCTION("""COMPUTED_VALUE"""),"=25")</f>
        <v>=25</v>
      </c>
      <c r="K94" s="78"/>
      <c r="L94" s="76"/>
      <c r="M94" s="76"/>
      <c r="N94" s="76"/>
      <c r="O94" s="76"/>
      <c r="P94" s="76"/>
      <c r="Q94" s="76"/>
      <c r="R94" s="76"/>
      <c r="S94" s="76"/>
      <c r="T94" s="76"/>
      <c r="U94" s="76"/>
      <c r="V94" s="76"/>
      <c r="W94" s="76"/>
      <c r="X94" s="76"/>
      <c r="Y94" s="76"/>
      <c r="Z94" s="76"/>
      <c r="AA94" s="76"/>
      <c r="AB94" s="76"/>
      <c r="AC94" s="76"/>
      <c r="AD94" s="76"/>
      <c r="AE94" s="76"/>
      <c r="AF94" s="76"/>
      <c r="AG94" s="76"/>
      <c r="AH94" s="76"/>
      <c r="AI94" s="76" t="str">
        <f ca="1">IFERROR(__xludf.DUMMYFUNCTION("""COMPUTED_VALUE"""),"=IF($AO$2=1;COUNTIF(Interface!$C$22:$C$27;$A94);0)")</f>
        <v>=IF($AO$2=1;COUNTIF(Interface!$C$22:$C$27;$A94);0)</v>
      </c>
      <c r="AJ94" s="76" t="str">
        <f ca="1">IFERROR(__xludf.DUMMYFUNCTION("""COMPUTED_VALUE"""),"=IF($AO$2=2;COUNTIF(Interface!$C$30:$C$35;$A94);0)")</f>
        <v>=IF($AO$2=2;COUNTIF(Interface!$C$30:$C$35;$A94);0)</v>
      </c>
      <c r="AK94" s="76"/>
      <c r="AL94" s="76"/>
      <c r="AM94" s="76" t="str">
        <f ca="1">IFERROR(__xludf.DUMMYFUNCTION("""COMPUTED_VALUE"""),"=COUNTIF(Interface!$O$18:$O$23;$A94)")</f>
        <v>=COUNTIF(Interface!$O$18:$O$23;$A94)</v>
      </c>
      <c r="AN94" s="76" t="str">
        <f ca="1">IFERROR(__xludf.DUMMYFUNCTION("""COMPUTED_VALUE"""),"=Image(""https://ddragon.leagueoflegends.com/cdn/12.22.1/img/item/1033.png"")")</f>
        <v>=Image("https://ddragon.leagueoflegends.com/cdn/12.22.1/img/item/1033.png")</v>
      </c>
      <c r="AO94" s="76" t="b">
        <f ca="1">IFERROR(__xludf.DUMMYFUNCTION("""COMPUTED_VALUE"""),FALSE)</f>
        <v>0</v>
      </c>
    </row>
    <row r="95" spans="1:41">
      <c r="A95" s="644" t="str">
        <f ca="1">IFERROR(__xludf.DUMMYFUNCTION("""COMPUTED_VALUE"""),"Oblivion Orb")</f>
        <v>Oblivion Orb</v>
      </c>
      <c r="B95" s="84" t="str">
        <f ca="1">IFERROR(__xludf.DUMMYFUNCTION("""COMPUTED_VALUE"""),"=800")</f>
        <v>=800</v>
      </c>
      <c r="C95" s="84"/>
      <c r="D95" s="84"/>
      <c r="E95" s="84"/>
      <c r="F95" s="84"/>
      <c r="G95" s="84"/>
      <c r="H95" s="646" t="str">
        <f ca="1">IFERROR(__xludf.DUMMYFUNCTION("""COMPUTED_VALUE"""),"=30")</f>
        <v>=30</v>
      </c>
      <c r="I95" s="84"/>
      <c r="J95" s="84"/>
      <c r="K95" s="84"/>
      <c r="L95" s="72"/>
      <c r="M95" s="72"/>
      <c r="N95" s="72"/>
      <c r="O95" s="72"/>
      <c r="P95" s="72"/>
      <c r="Q95" s="72"/>
      <c r="R95" s="72"/>
      <c r="S95" s="72"/>
      <c r="T95" s="72"/>
      <c r="U95" s="72"/>
      <c r="V95" s="72"/>
      <c r="W95" s="72"/>
      <c r="X95" s="72"/>
      <c r="Y95" s="72"/>
      <c r="Z95" s="72"/>
      <c r="AA95" s="72"/>
      <c r="AB95" s="72"/>
      <c r="AC95" s="72"/>
      <c r="AD95" s="72"/>
      <c r="AE95" s="72"/>
      <c r="AF95" s="72"/>
      <c r="AG95" s="72"/>
      <c r="AH95" s="72"/>
      <c r="AI95" s="72" t="str">
        <f ca="1">IFERROR(__xludf.DUMMYFUNCTION("""COMPUTED_VALUE"""),"=IF($AO$2=1;COUNTIF(Interface!$C$22:$C$27;$A95);0)")</f>
        <v>=IF($AO$2=1;COUNTIF(Interface!$C$22:$C$27;$A95);0)</v>
      </c>
      <c r="AJ95" s="72" t="str">
        <f ca="1">IFERROR(__xludf.DUMMYFUNCTION("""COMPUTED_VALUE"""),"=IF($AO$2=2;COUNTIF(Interface!$C$30:$C$35;$A95);0)")</f>
        <v>=IF($AO$2=2;COUNTIF(Interface!$C$30:$C$35;$A95);0)</v>
      </c>
      <c r="AK95" s="72"/>
      <c r="AL95" s="72"/>
      <c r="AM95" s="72" t="str">
        <f ca="1">IFERROR(__xludf.DUMMYFUNCTION("""COMPUTED_VALUE"""),"=COUNTIF(Interface!$O$18:$O$23;$A95)")</f>
        <v>=COUNTIF(Interface!$O$18:$O$23;$A95)</v>
      </c>
      <c r="AN95" s="72" t="str">
        <f ca="1">IFERROR(__xludf.DUMMYFUNCTION("""COMPUTED_VALUE"""),"=Image(""https://ddragon.leagueoflegends.com/cdn/12.22.1/img/item/3916.png"")")</f>
        <v>=Image("https://ddragon.leagueoflegends.com/cdn/12.22.1/img/item/3916.png")</v>
      </c>
      <c r="AO95" s="72" t="b">
        <f ca="1">IFERROR(__xludf.DUMMYFUNCTION("""COMPUTED_VALUE"""),FALSE)</f>
        <v>0</v>
      </c>
    </row>
    <row r="96" spans="1:41">
      <c r="A96" s="643" t="str">
        <f ca="1">IFERROR(__xludf.DUMMYFUNCTION("""COMPUTED_VALUE"""),"Pauldrons of Whiterock")</f>
        <v>Pauldrons of Whiterock</v>
      </c>
      <c r="B96" s="78" t="str">
        <f ca="1">IFERROR(__xludf.DUMMYFUNCTION("""COMPUTED_VALUE"""),"=400")</f>
        <v>=400</v>
      </c>
      <c r="C96" s="78" t="str">
        <f ca="1">IFERROR(__xludf.DUMMYFUNCTION("""COMPUTED_VALUE"""),"=25")</f>
        <v>=25</v>
      </c>
      <c r="D96" s="78" t="str">
        <f ca="1">IFERROR(__xludf.DUMMYFUNCTION("""COMPUTED_VALUE"""),"=1")</f>
        <v>=1</v>
      </c>
      <c r="E96" s="78"/>
      <c r="F96" s="78"/>
      <c r="G96" s="78" t="str">
        <f ca="1">IFERROR(__xludf.DUMMYFUNCTION("""COMPUTED_VALUE"""),"=15")</f>
        <v>=15</v>
      </c>
      <c r="H96" s="78"/>
      <c r="I96" s="78"/>
      <c r="J96" s="78"/>
      <c r="K96" s="78"/>
      <c r="L96" s="76"/>
      <c r="M96" s="76"/>
      <c r="N96" s="76"/>
      <c r="O96" s="76"/>
      <c r="P96" s="76"/>
      <c r="Q96" s="76"/>
      <c r="R96" s="76"/>
      <c r="S96" s="76"/>
      <c r="T96" s="76"/>
      <c r="U96" s="76"/>
      <c r="V96" s="76"/>
      <c r="W96" s="76"/>
      <c r="X96" s="76"/>
      <c r="Y96" s="76"/>
      <c r="Z96" s="76"/>
      <c r="AA96" s="76"/>
      <c r="AB96" s="76"/>
      <c r="AC96" s="76"/>
      <c r="AD96" s="76"/>
      <c r="AE96" s="76"/>
      <c r="AF96" s="76"/>
      <c r="AG96" s="76"/>
      <c r="AH96" s="76"/>
      <c r="AI96" s="76" t="str">
        <f ca="1">IFERROR(__xludf.DUMMYFUNCTION("""COMPUTED_VALUE"""),"=IF($AO$2=1;COUNTIF(Interface!$C$22:$C$27;$A96);0)")</f>
        <v>=IF($AO$2=1;COUNTIF(Interface!$C$22:$C$27;$A96);0)</v>
      </c>
      <c r="AJ96" s="76" t="str">
        <f ca="1">IFERROR(__xludf.DUMMYFUNCTION("""COMPUTED_VALUE"""),"=IF($AO$2=2;COUNTIF(Interface!$C$30:$C$35;$A96);0)")</f>
        <v>=IF($AO$2=2;COUNTIF(Interface!$C$30:$C$35;$A96);0)</v>
      </c>
      <c r="AK96" s="76"/>
      <c r="AL96" s="76"/>
      <c r="AM96" s="76" t="str">
        <f ca="1">IFERROR(__xludf.DUMMYFUNCTION("""COMPUTED_VALUE"""),"=COUNTIF(Interface!$O$18:$O$23;$A96)")</f>
        <v>=COUNTIF(Interface!$O$18:$O$23;$A96)</v>
      </c>
      <c r="AN96" s="76" t="str">
        <f ca="1">IFERROR(__xludf.DUMMYFUNCTION("""COMPUTED_VALUE"""),"=Image(""https://ddragon.leagueoflegends.com/cdn/12.22.1/img/item/3857.png"")")</f>
        <v>=Image("https://ddragon.leagueoflegends.com/cdn/12.22.1/img/item/3857.png")</v>
      </c>
      <c r="AO96" s="76" t="b">
        <f ca="1">IFERROR(__xludf.DUMMYFUNCTION("""COMPUTED_VALUE"""),TRUE)</f>
        <v>1</v>
      </c>
    </row>
    <row r="97" spans="1:41">
      <c r="A97" s="644" t="str">
        <f ca="1">IFERROR(__xludf.DUMMYFUNCTION("""COMPUTED_VALUE"""),"Phage")</f>
        <v>Phage</v>
      </c>
      <c r="B97" s="84" t="str">
        <f ca="1">IFERROR(__xludf.DUMMYFUNCTION("""COMPUTED_VALUE"""),"=1100")</f>
        <v>=1100</v>
      </c>
      <c r="C97" s="84" t="str">
        <f ca="1">IFERROR(__xludf.DUMMYFUNCTION("""COMPUTED_VALUE"""),"=200")</f>
        <v>=200</v>
      </c>
      <c r="D97" s="84"/>
      <c r="E97" s="84"/>
      <c r="F97" s="84"/>
      <c r="G97" s="646" t="str">
        <f ca="1">IFERROR(__xludf.DUMMYFUNCTION("""COMPUTED_VALUE"""),"=15")</f>
        <v>=15</v>
      </c>
      <c r="H97" s="84"/>
      <c r="I97" s="84"/>
      <c r="J97" s="646"/>
      <c r="K97" s="84"/>
      <c r="L97" s="72"/>
      <c r="M97" s="72"/>
      <c r="N97" s="72"/>
      <c r="O97" s="72"/>
      <c r="P97" s="72"/>
      <c r="Q97" s="72"/>
      <c r="R97" s="72"/>
      <c r="S97" s="72"/>
      <c r="T97" s="72"/>
      <c r="U97" s="72"/>
      <c r="V97" s="72"/>
      <c r="W97" s="72"/>
      <c r="X97" s="72"/>
      <c r="Y97" s="72"/>
      <c r="Z97" s="72"/>
      <c r="AA97" s="72"/>
      <c r="AB97" s="72"/>
      <c r="AC97" s="72"/>
      <c r="AD97" s="72"/>
      <c r="AE97" s="72"/>
      <c r="AF97" s="72"/>
      <c r="AG97" s="72"/>
      <c r="AH97" s="72"/>
      <c r="AI97" s="72" t="str">
        <f ca="1">IFERROR(__xludf.DUMMYFUNCTION("""COMPUTED_VALUE"""),"=IF($AO$2=1;COUNTIF(Interface!$C$22:$C$27;$A97);0)")</f>
        <v>=IF($AO$2=1;COUNTIF(Interface!$C$22:$C$27;$A97);0)</v>
      </c>
      <c r="AJ97" s="72" t="str">
        <f ca="1">IFERROR(__xludf.DUMMYFUNCTION("""COMPUTED_VALUE"""),"=IF($AO$2=2;COUNTIF(Interface!$C$30:$C$35;$A97);0)")</f>
        <v>=IF($AO$2=2;COUNTIF(Interface!$C$30:$C$35;$A97);0)</v>
      </c>
      <c r="AK97" s="72"/>
      <c r="AL97" s="72"/>
      <c r="AM97" s="72" t="str">
        <f ca="1">IFERROR(__xludf.DUMMYFUNCTION("""COMPUTED_VALUE"""),"=COUNTIF(Interface!$O$18:$O$23;$A97)")</f>
        <v>=COUNTIF(Interface!$O$18:$O$23;$A97)</v>
      </c>
      <c r="AN97" s="72" t="str">
        <f ca="1">IFERROR(__xludf.DUMMYFUNCTION("""COMPUTED_VALUE"""),"=Image(""https://ddragon.leagueoflegends.com/cdn/12.22.1/img/item/3044.png"")")</f>
        <v>=Image("https://ddragon.leagueoflegends.com/cdn/12.22.1/img/item/3044.png")</v>
      </c>
      <c r="AO97" s="72" t="b">
        <f ca="1">IFERROR(__xludf.DUMMYFUNCTION("""COMPUTED_VALUE"""),FALSE)</f>
        <v>0</v>
      </c>
    </row>
    <row r="98" spans="1:41">
      <c r="A98" s="643" t="str">
        <f ca="1">IFERROR(__xludf.DUMMYFUNCTION("""COMPUTED_VALUE"""),"Phantom Dancer")</f>
        <v>Phantom Dancer</v>
      </c>
      <c r="B98" s="78" t="str">
        <f ca="1">IFERROR(__xludf.DUMMYFUNCTION("""COMPUTED_VALUE"""),"=2800")</f>
        <v>=2800</v>
      </c>
      <c r="C98" s="78"/>
      <c r="D98" s="78"/>
      <c r="E98" s="78"/>
      <c r="F98" s="78"/>
      <c r="G98" s="78" t="str">
        <f ca="1">IFERROR(__xludf.DUMMYFUNCTION("""COMPUTED_VALUE"""),"=20")</f>
        <v>=20</v>
      </c>
      <c r="H98" s="78"/>
      <c r="I98" s="645"/>
      <c r="J98" s="78"/>
      <c r="K98" s="78" t="str">
        <f ca="1">IFERROR(__xludf.DUMMYFUNCTION("""COMPUTED_VALUE"""),"=if(Steroid_Items; 65; 35)")</f>
        <v>=if(Steroid_Items; 65; 35)</v>
      </c>
      <c r="L98" s="76" t="str">
        <f ca="1">IFERROR(__xludf.DUMMYFUNCTION("""COMPUTED_VALUE"""),"=20")</f>
        <v>=20</v>
      </c>
      <c r="M98" s="76"/>
      <c r="N98" s="76"/>
      <c r="O98" s="76"/>
      <c r="P98" s="76"/>
      <c r="Q98" s="76"/>
      <c r="R98" s="76" t="str">
        <f ca="1">IFERROR(__xludf.DUMMYFUNCTION("""COMPUTED_VALUE"""),"=IF(Steroid_Items; 14; 7)")</f>
        <v>=IF(Steroid_Items; 14; 7)</v>
      </c>
      <c r="S98" s="76"/>
      <c r="T98" s="76"/>
      <c r="U98" s="76"/>
      <c r="V98" s="76"/>
      <c r="W98" s="76"/>
      <c r="X98" s="76"/>
      <c r="Y98" s="76"/>
      <c r="Z98" s="76"/>
      <c r="AA98" s="76"/>
      <c r="AB98" s="76"/>
      <c r="AC98" s="76"/>
      <c r="AD98" s="76"/>
      <c r="AE98" s="76"/>
      <c r="AF98" s="76"/>
      <c r="AG98" s="76"/>
      <c r="AH98" s="76"/>
      <c r="AI98" s="76" t="str">
        <f ca="1">IFERROR(__xludf.DUMMYFUNCTION("""COMPUTED_VALUE"""),"=IF($AO$2=1;COUNTIF(Interface!$C$22:$C$27;$A98);0)")</f>
        <v>=IF($AO$2=1;COUNTIF(Interface!$C$22:$C$27;$A98);0)</v>
      </c>
      <c r="AJ98" s="76" t="str">
        <f ca="1">IFERROR(__xludf.DUMMYFUNCTION("""COMPUTED_VALUE"""),"=IF($AO$2=2;COUNTIF(Interface!$C$30:$C$35;$A98);0)")</f>
        <v>=IF($AO$2=2;COUNTIF(Interface!$C$30:$C$35;$A98);0)</v>
      </c>
      <c r="AK98" s="76"/>
      <c r="AL98" s="76"/>
      <c r="AM98" s="76" t="str">
        <f ca="1">IFERROR(__xludf.DUMMYFUNCTION("""COMPUTED_VALUE"""),"=COUNTIF(Interface!$O$18:$O$23;$A98)")</f>
        <v>=COUNTIF(Interface!$O$18:$O$23;$A98)</v>
      </c>
      <c r="AN98" s="76" t="str">
        <f ca="1">IFERROR(__xludf.DUMMYFUNCTION("""COMPUTED_VALUE"""),"=Image(""https://ddragon.leagueoflegends.com/cdn/12.22.1/img/item/3046.png"")")</f>
        <v>=Image("https://ddragon.leagueoflegends.com/cdn/12.22.1/img/item/3046.png")</v>
      </c>
      <c r="AO98" s="76" t="b">
        <f ca="1">IFERROR(__xludf.DUMMYFUNCTION("""COMPUTED_VALUE"""),TRUE)</f>
        <v>1</v>
      </c>
    </row>
    <row r="99" spans="1:41">
      <c r="A99" s="644" t="str">
        <f ca="1">IFERROR(__xludf.DUMMYFUNCTION("""COMPUTED_VALUE"""),"Pickaxe")</f>
        <v>Pickaxe</v>
      </c>
      <c r="B99" s="84" t="str">
        <f ca="1">IFERROR(__xludf.DUMMYFUNCTION("""COMPUTED_VALUE"""),"=875")</f>
        <v>=875</v>
      </c>
      <c r="C99" s="84"/>
      <c r="D99" s="84"/>
      <c r="E99" s="84"/>
      <c r="F99" s="84"/>
      <c r="G99" s="646" t="str">
        <f ca="1">IFERROR(__xludf.DUMMYFUNCTION("""COMPUTED_VALUE"""),"=25")</f>
        <v>=25</v>
      </c>
      <c r="H99" s="84"/>
      <c r="I99" s="84"/>
      <c r="J99" s="84"/>
      <c r="K99" s="84"/>
      <c r="L99" s="72"/>
      <c r="M99" s="72"/>
      <c r="N99" s="72"/>
      <c r="O99" s="72"/>
      <c r="P99" s="72"/>
      <c r="Q99" s="72"/>
      <c r="R99" s="72"/>
      <c r="S99" s="72"/>
      <c r="T99" s="72"/>
      <c r="U99" s="72"/>
      <c r="V99" s="72"/>
      <c r="W99" s="72"/>
      <c r="X99" s="72"/>
      <c r="Y99" s="72"/>
      <c r="Z99" s="72"/>
      <c r="AA99" s="72"/>
      <c r="AB99" s="72"/>
      <c r="AC99" s="72"/>
      <c r="AD99" s="72"/>
      <c r="AE99" s="72"/>
      <c r="AF99" s="72"/>
      <c r="AG99" s="72"/>
      <c r="AH99" s="72"/>
      <c r="AI99" s="72" t="str">
        <f ca="1">IFERROR(__xludf.DUMMYFUNCTION("""COMPUTED_VALUE"""),"=IF($AO$2=1;COUNTIF(Interface!$C$22:$C$27;$A99);0)")</f>
        <v>=IF($AO$2=1;COUNTIF(Interface!$C$22:$C$27;$A99);0)</v>
      </c>
      <c r="AJ99" s="72" t="str">
        <f ca="1">IFERROR(__xludf.DUMMYFUNCTION("""COMPUTED_VALUE"""),"=IF($AO$2=2;COUNTIF(Interface!$C$30:$C$35;$A99);0)")</f>
        <v>=IF($AO$2=2;COUNTIF(Interface!$C$30:$C$35;$A99);0)</v>
      </c>
      <c r="AK99" s="72"/>
      <c r="AL99" s="72"/>
      <c r="AM99" s="72" t="str">
        <f ca="1">IFERROR(__xludf.DUMMYFUNCTION("""COMPUTED_VALUE"""),"=COUNTIF(Interface!$O$18:$O$23;$A99)")</f>
        <v>=COUNTIF(Interface!$O$18:$O$23;$A99)</v>
      </c>
      <c r="AN99" s="72" t="str">
        <f ca="1">IFERROR(__xludf.DUMMYFUNCTION("""COMPUTED_VALUE"""),"=Image(""https://ddragon.leagueoflegends.com/cdn/12.22.1/img/item/1037.png"")")</f>
        <v>=Image("https://ddragon.leagueoflegends.com/cdn/12.22.1/img/item/1037.png")</v>
      </c>
      <c r="AO99" s="72" t="b">
        <f ca="1">IFERROR(__xludf.DUMMYFUNCTION("""COMPUTED_VALUE"""),FALSE)</f>
        <v>0</v>
      </c>
    </row>
    <row r="100" spans="1:41">
      <c r="A100" s="643" t="str">
        <f ca="1">IFERROR(__xludf.DUMMYFUNCTION("""COMPUTED_VALUE"""),"Plated Steelcaps")</f>
        <v>Plated Steelcaps</v>
      </c>
      <c r="B100" s="78" t="str">
        <f ca="1">IFERROR(__xludf.DUMMYFUNCTION("""COMPUTED_VALUE"""),"=1100")</f>
        <v>=1100</v>
      </c>
      <c r="C100" s="78"/>
      <c r="D100" s="78"/>
      <c r="E100" s="78"/>
      <c r="F100" s="78"/>
      <c r="G100" s="78"/>
      <c r="H100" s="645"/>
      <c r="I100" s="645" t="str">
        <f ca="1">IFERROR(__xludf.DUMMYFUNCTION("""COMPUTED_VALUE"""),"=20")</f>
        <v>=20</v>
      </c>
      <c r="J100" s="78"/>
      <c r="K100" s="78"/>
      <c r="L100" s="76"/>
      <c r="M100" s="76"/>
      <c r="N100" s="76"/>
      <c r="O100" s="76"/>
      <c r="P100" s="76"/>
      <c r="Q100" s="76" t="str">
        <f ca="1">IFERROR(__xludf.DUMMYFUNCTION("""COMPUTED_VALUE"""),"=45")</f>
        <v>=45</v>
      </c>
      <c r="R100" s="76"/>
      <c r="S100" s="76"/>
      <c r="T100" s="76"/>
      <c r="U100" s="76"/>
      <c r="V100" s="76"/>
      <c r="W100" s="76"/>
      <c r="X100" s="76"/>
      <c r="Y100" s="76"/>
      <c r="Z100" s="76"/>
      <c r="AA100" s="76"/>
      <c r="AB100" s="76"/>
      <c r="AC100" s="76"/>
      <c r="AD100" s="76"/>
      <c r="AE100" s="76"/>
      <c r="AF100" s="76"/>
      <c r="AG100" s="76"/>
      <c r="AH100" s="76"/>
      <c r="AI100" s="76" t="str">
        <f ca="1">IFERROR(__xludf.DUMMYFUNCTION("""COMPUTED_VALUE"""),"=IF($AO$2=1;COUNTIF(Interface!$C$22:$C$27;$A100);0)")</f>
        <v>=IF($AO$2=1;COUNTIF(Interface!$C$22:$C$27;$A100);0)</v>
      </c>
      <c r="AJ100" s="76" t="str">
        <f ca="1">IFERROR(__xludf.DUMMYFUNCTION("""COMPUTED_VALUE"""),"=IF($AO$2=2;COUNTIF(Interface!$C$30:$C$35;$A100);0)")</f>
        <v>=IF($AO$2=2;COUNTIF(Interface!$C$30:$C$35;$A100);0)</v>
      </c>
      <c r="AK100" s="76"/>
      <c r="AL100" s="76"/>
      <c r="AM100" s="76" t="str">
        <f ca="1">IFERROR(__xludf.DUMMYFUNCTION("""COMPUTED_VALUE"""),"=COUNTIF(Interface!$O$18:$O$23;$A100)")</f>
        <v>=COUNTIF(Interface!$O$18:$O$23;$A100)</v>
      </c>
      <c r="AN100" s="76" t="str">
        <f ca="1">IFERROR(__xludf.DUMMYFUNCTION("""COMPUTED_VALUE"""),"=Image(""https://ddragon.leagueoflegends.com/cdn/12.22.1/img/item/3047.png"")")</f>
        <v>=Image("https://ddragon.leagueoflegends.com/cdn/12.22.1/img/item/3047.png")</v>
      </c>
      <c r="AO100" s="76" t="b">
        <f ca="1">IFERROR(__xludf.DUMMYFUNCTION("""COMPUTED_VALUE"""),FALSE)</f>
        <v>0</v>
      </c>
    </row>
    <row r="101" spans="1:41">
      <c r="A101" s="644" t="str">
        <f ca="1">IFERROR(__xludf.DUMMYFUNCTION("""COMPUTED_VALUE"""),"Prowler's Claw")</f>
        <v>Prowler's Claw</v>
      </c>
      <c r="B101" s="84" t="str">
        <f ca="1">IFERROR(__xludf.DUMMYFUNCTION("""COMPUTED_VALUE"""),"=3000")</f>
        <v>=3000</v>
      </c>
      <c r="C101" s="84"/>
      <c r="D101" s="84"/>
      <c r="E101" s="84"/>
      <c r="F101" s="84"/>
      <c r="G101" s="646" t="str">
        <f ca="1">IFERROR(__xludf.DUMMYFUNCTION("""COMPUTED_VALUE"""),"=55")</f>
        <v>=55</v>
      </c>
      <c r="H101" s="84"/>
      <c r="I101" s="84"/>
      <c r="J101" s="84"/>
      <c r="K101" s="84"/>
      <c r="L101" s="72"/>
      <c r="M101" s="72" t="str">
        <f ca="1">IFERROR(__xludf.DUMMYFUNCTION("""COMPUTED_VALUE"""),"=15")</f>
        <v>=15</v>
      </c>
      <c r="N101" s="72"/>
      <c r="O101" s="72" t="str">
        <f ca="1">IFERROR(__xludf.DUMMYFUNCTION("""COMPUTED_VALUE"""),"=15")</f>
        <v>=15</v>
      </c>
      <c r="P101" s="72"/>
      <c r="Q101" s="72"/>
      <c r="R101" s="72"/>
      <c r="S101" s="72"/>
      <c r="T101" s="72"/>
      <c r="U101" s="72"/>
      <c r="V101" s="72"/>
      <c r="W101" s="72"/>
      <c r="X101" s="72"/>
      <c r="Y101" s="72"/>
      <c r="Z101" s="72"/>
      <c r="AA101" s="72"/>
      <c r="AB101" s="72"/>
      <c r="AC101" s="72"/>
      <c r="AD101" s="72"/>
      <c r="AE101" s="72" t="str">
        <f ca="1">IFERROR(__xludf.DUMMYFUNCTION("""COMPUTED_VALUE"""),"=IF(VLOOKUP(Name;Champs!A2:AE200;31;False); 85 + 0,45 * Self_BoAD; 65 + 0,3 * Self_BoAD)")</f>
        <v>=IF(VLOOKUP(Name;Champs!A2:AE200;31;False); 85 + 0,45 * Self_BoAD; 65 + 0,3 * Self_BoAD)</v>
      </c>
      <c r="AF101" s="72"/>
      <c r="AG101" s="72"/>
      <c r="AH101" s="72"/>
      <c r="AI101" s="72" t="str">
        <f ca="1">IFERROR(__xludf.DUMMYFUNCTION("""COMPUTED_VALUE"""),"=IF($AO$2=1;COUNTIF(Interface!$C$22:$C$27;$A101);0)")</f>
        <v>=IF($AO$2=1;COUNTIF(Interface!$C$22:$C$27;$A101);0)</v>
      </c>
      <c r="AJ101" s="72" t="str">
        <f ca="1">IFERROR(__xludf.DUMMYFUNCTION("""COMPUTED_VALUE"""),"=IF($AO$2=2;COUNTIF(Interface!$C$30:$C$35;$A101);0)")</f>
        <v>=IF($AO$2=2;COUNTIF(Interface!$C$30:$C$35;$A101);0)</v>
      </c>
      <c r="AK101" s="72"/>
      <c r="AL101" s="72"/>
      <c r="AM101" s="72" t="str">
        <f ca="1">IFERROR(__xludf.DUMMYFUNCTION("""COMPUTED_VALUE"""),"=COUNTIF(Interface!$O$18:$O$23;$A101)")</f>
        <v>=COUNTIF(Interface!$O$18:$O$23;$A101)</v>
      </c>
      <c r="AN101" s="72" t="str">
        <f ca="1">IFERROR(__xludf.DUMMYFUNCTION("""COMPUTED_VALUE"""),"=Image(""https://ddragon.leagueoflegends.com/cdn/12.22.1/img/item/6693.png"")")</f>
        <v>=Image("https://ddragon.leagueoflegends.com/cdn/12.22.1/img/item/6693.png")</v>
      </c>
      <c r="AO101" s="72" t="b">
        <f ca="1">IFERROR(__xludf.DUMMYFUNCTION("""COMPUTED_VALUE"""),TRUE)</f>
        <v>1</v>
      </c>
    </row>
    <row r="102" spans="1:41">
      <c r="A102" s="643" t="str">
        <f ca="1">IFERROR(__xludf.DUMMYFUNCTION("""COMPUTED_VALUE"""),"Quicksilver Sash")</f>
        <v>Quicksilver Sash</v>
      </c>
      <c r="B102" s="78" t="str">
        <f ca="1">IFERROR(__xludf.DUMMYFUNCTION("""COMPUTED_VALUE"""),"=1300")</f>
        <v>=1300</v>
      </c>
      <c r="C102" s="78"/>
      <c r="D102" s="78"/>
      <c r="E102" s="78"/>
      <c r="F102" s="78"/>
      <c r="G102" s="78"/>
      <c r="H102" s="78"/>
      <c r="I102" s="78"/>
      <c r="J102" s="647" t="str">
        <f ca="1">IFERROR(__xludf.DUMMYFUNCTION("""COMPUTED_VALUE"""),"=30")</f>
        <v>=30</v>
      </c>
      <c r="K102" s="78"/>
      <c r="L102" s="76"/>
      <c r="M102" s="76"/>
      <c r="N102" s="76"/>
      <c r="O102" s="76"/>
      <c r="P102" s="76"/>
      <c r="Q102" s="76"/>
      <c r="R102" s="76"/>
      <c r="S102" s="76"/>
      <c r="T102" s="76"/>
      <c r="U102" s="76"/>
      <c r="V102" s="76"/>
      <c r="W102" s="76"/>
      <c r="X102" s="76"/>
      <c r="Y102" s="76"/>
      <c r="Z102" s="76"/>
      <c r="AA102" s="76"/>
      <c r="AB102" s="76"/>
      <c r="AC102" s="76"/>
      <c r="AD102" s="76"/>
      <c r="AE102" s="76"/>
      <c r="AF102" s="76"/>
      <c r="AG102" s="76"/>
      <c r="AH102" s="76"/>
      <c r="AI102" s="76" t="str">
        <f ca="1">IFERROR(__xludf.DUMMYFUNCTION("""COMPUTED_VALUE"""),"=IF($AO$2=1;COUNTIF(Interface!$C$22:$C$27;$A102);0)")</f>
        <v>=IF($AO$2=1;COUNTIF(Interface!$C$22:$C$27;$A102);0)</v>
      </c>
      <c r="AJ102" s="76" t="str">
        <f ca="1">IFERROR(__xludf.DUMMYFUNCTION("""COMPUTED_VALUE"""),"=IF($AO$2=2;COUNTIF(Interface!$C$30:$C$35;$A102);0)")</f>
        <v>=IF($AO$2=2;COUNTIF(Interface!$C$30:$C$35;$A102);0)</v>
      </c>
      <c r="AK102" s="76"/>
      <c r="AL102" s="76"/>
      <c r="AM102" s="76" t="str">
        <f ca="1">IFERROR(__xludf.DUMMYFUNCTION("""COMPUTED_VALUE"""),"=COUNTIF(Interface!$O$18:$O$23;$A102)")</f>
        <v>=COUNTIF(Interface!$O$18:$O$23;$A102)</v>
      </c>
      <c r="AN102" s="76" t="str">
        <f ca="1">IFERROR(__xludf.DUMMYFUNCTION("""COMPUTED_VALUE"""),"=Image(""https://ddragon.leagueoflegends.com/cdn/12.22.1/img/item/3140.png"")")</f>
        <v>=Image("https://ddragon.leagueoflegends.com/cdn/12.22.1/img/item/3140.png")</v>
      </c>
      <c r="AO102" s="76" t="b">
        <f ca="1">IFERROR(__xludf.DUMMYFUNCTION("""COMPUTED_VALUE"""),FALSE)</f>
        <v>0</v>
      </c>
    </row>
    <row r="103" spans="1:41">
      <c r="A103" s="644" t="str">
        <f ca="1">IFERROR(__xludf.DUMMYFUNCTION("""COMPUTED_VALUE"""),"Rabadon's Deathcap")</f>
        <v>Rabadon's Deathcap</v>
      </c>
      <c r="B103" s="84" t="str">
        <f ca="1">IFERROR(__xludf.DUMMYFUNCTION("""COMPUTED_VALUE"""),"=3600")</f>
        <v>=3600</v>
      </c>
      <c r="C103" s="84"/>
      <c r="D103" s="84"/>
      <c r="E103" s="84"/>
      <c r="F103" s="84"/>
      <c r="G103" s="84"/>
      <c r="H103" s="84" t="str">
        <f ca="1">IFERROR(__xludf.DUMMYFUNCTION("""COMPUTED_VALUE"""),"=120")</f>
        <v>=120</v>
      </c>
      <c r="I103" s="646"/>
      <c r="J103" s="84"/>
      <c r="K103" s="84"/>
      <c r="L103" s="72"/>
      <c r="M103" s="72"/>
      <c r="N103" s="72"/>
      <c r="O103" s="72"/>
      <c r="P103" s="72"/>
      <c r="Q103" s="72"/>
      <c r="R103" s="72"/>
      <c r="S103" s="72"/>
      <c r="T103" s="72"/>
      <c r="U103" s="72"/>
      <c r="V103" s="72"/>
      <c r="W103" s="72"/>
      <c r="X103" s="72"/>
      <c r="Y103" s="72"/>
      <c r="Z103" s="72"/>
      <c r="AA103" s="72"/>
      <c r="AB103" s="72"/>
      <c r="AC103" s="72"/>
      <c r="AD103" s="72"/>
      <c r="AE103" s="72"/>
      <c r="AF103" s="72"/>
      <c r="AG103" s="72"/>
      <c r="AH103" s="72"/>
      <c r="AI103" s="72" t="str">
        <f ca="1">IFERROR(__xludf.DUMMYFUNCTION("""COMPUTED_VALUE"""),"=IF($AO$2=1;COUNTIF(Interface!$C$22:$C$27;$A103);0)")</f>
        <v>=IF($AO$2=1;COUNTIF(Interface!$C$22:$C$27;$A103);0)</v>
      </c>
      <c r="AJ103" s="72" t="str">
        <f ca="1">IFERROR(__xludf.DUMMYFUNCTION("""COMPUTED_VALUE"""),"=IF($AO$2=2;COUNTIF(Interface!$C$30:$C$35;$A103);0)")</f>
        <v>=IF($AO$2=2;COUNTIF(Interface!$C$30:$C$35;$A103);0)</v>
      </c>
      <c r="AK103" s="72"/>
      <c r="AL103" s="72"/>
      <c r="AM103" s="72" t="str">
        <f ca="1">IFERROR(__xludf.DUMMYFUNCTION("""COMPUTED_VALUE"""),"=COUNTIF(Interface!$O$18:$O$23;$A103)")</f>
        <v>=COUNTIF(Interface!$O$18:$O$23;$A103)</v>
      </c>
      <c r="AN103" s="72" t="str">
        <f ca="1">IFERROR(__xludf.DUMMYFUNCTION("""COMPUTED_VALUE"""),"=Image(""https://ddragon.leagueoflegends.com/cdn/12.22.1/img/item/3089.png"")")</f>
        <v>=Image("https://ddragon.leagueoflegends.com/cdn/12.22.1/img/item/3089.png")</v>
      </c>
      <c r="AO103" s="72" t="b">
        <f ca="1">IFERROR(__xludf.DUMMYFUNCTION("""COMPUTED_VALUE"""),TRUE)</f>
        <v>1</v>
      </c>
    </row>
    <row r="104" spans="1:41">
      <c r="A104" s="643" t="str">
        <f ca="1">IFERROR(__xludf.DUMMYFUNCTION("""COMPUTED_VALUE"""),"Rageknife")</f>
        <v>Rageknife</v>
      </c>
      <c r="B104" s="78" t="str">
        <f ca="1">IFERROR(__xludf.DUMMYFUNCTION("""COMPUTED_VALUE"""),"=1200")</f>
        <v>=1200</v>
      </c>
      <c r="C104" s="78"/>
      <c r="D104" s="78"/>
      <c r="E104" s="78"/>
      <c r="F104" s="78"/>
      <c r="G104" s="647"/>
      <c r="H104" s="647"/>
      <c r="I104" s="78"/>
      <c r="J104" s="78"/>
      <c r="K104" s="647" t="str">
        <f ca="1">IFERROR(__xludf.DUMMYFUNCTION("""COMPUTED_VALUE"""),"=25 + IF(Steroid_Items; 15)")</f>
        <v>=25 + IF(Steroid_Items; 15)</v>
      </c>
      <c r="L104" s="76"/>
      <c r="M104" s="76"/>
      <c r="N104" s="76"/>
      <c r="O104" s="76"/>
      <c r="P104" s="76"/>
      <c r="Q104" s="76"/>
      <c r="R104" s="76"/>
      <c r="S104" s="76"/>
      <c r="T104" s="76"/>
      <c r="U104" s="76" t="str">
        <f ca="1">IFERROR(__xludf.DUMMYFUNCTION("""COMPUTED_VALUE"""),"=20")</f>
        <v>=20</v>
      </c>
      <c r="V104" s="76"/>
      <c r="W104" s="76"/>
      <c r="X104" s="76"/>
      <c r="Y104" s="76"/>
      <c r="Z104" s="76"/>
      <c r="AA104" s="76"/>
      <c r="AB104" s="76"/>
      <c r="AC104" s="76"/>
      <c r="AD104" s="76"/>
      <c r="AE104" s="76"/>
      <c r="AF104" s="76"/>
      <c r="AG104" s="76"/>
      <c r="AH104" s="76"/>
      <c r="AI104" s="76" t="str">
        <f ca="1">IFERROR(__xludf.DUMMYFUNCTION("""COMPUTED_VALUE"""),"=IF($AO$2=1;COUNTIF(Interface!$C$22:$C$27;$A104);0)")</f>
        <v>=IF($AO$2=1;COUNTIF(Interface!$C$22:$C$27;$A104);0)</v>
      </c>
      <c r="AJ104" s="76" t="str">
        <f ca="1">IFERROR(__xludf.DUMMYFUNCTION("""COMPUTED_VALUE"""),"=IF($AO$2=2;COUNTIF(Interface!$C$30:$C$35;$A104);0)")</f>
        <v>=IF($AO$2=2;COUNTIF(Interface!$C$30:$C$35;$A104);0)</v>
      </c>
      <c r="AK104" s="76"/>
      <c r="AL104" s="76"/>
      <c r="AM104" s="76" t="str">
        <f ca="1">IFERROR(__xludf.DUMMYFUNCTION("""COMPUTED_VALUE"""),"=COUNTIF(Interface!$O$18:$O$23;$A104)")</f>
        <v>=COUNTIF(Interface!$O$18:$O$23;$A104)</v>
      </c>
      <c r="AN104" s="76" t="str">
        <f ca="1">IFERROR(__xludf.DUMMYFUNCTION("""COMPUTED_VALUE"""),"=Image(""https://ddragon.leagueoflegends.com/cdn/12.22.1/img/item/6677.png"")")</f>
        <v>=Image("https://ddragon.leagueoflegends.com/cdn/12.22.1/img/item/6677.png")</v>
      </c>
      <c r="AO104" s="76" t="b">
        <f ca="1">IFERROR(__xludf.DUMMYFUNCTION("""COMPUTED_VALUE"""),FALSE)</f>
        <v>0</v>
      </c>
    </row>
    <row r="105" spans="1:41">
      <c r="A105" s="644" t="str">
        <f ca="1">IFERROR(__xludf.DUMMYFUNCTION("""COMPUTED_VALUE"""),"Randuin's Omen")</f>
        <v>Randuin's Omen</v>
      </c>
      <c r="B105" s="84" t="str">
        <f ca="1">IFERROR(__xludf.DUMMYFUNCTION("""COMPUTED_VALUE"""),"=3000")</f>
        <v>=3000</v>
      </c>
      <c r="C105" s="84" t="str">
        <f ca="1">IFERROR(__xludf.DUMMYFUNCTION("""COMPUTED_VALUE"""),"=400")</f>
        <v>=400</v>
      </c>
      <c r="D105" s="84"/>
      <c r="E105" s="84"/>
      <c r="F105" s="84"/>
      <c r="G105" s="84"/>
      <c r="H105" s="84"/>
      <c r="I105" s="84" t="str">
        <f ca="1">IFERROR(__xludf.DUMMYFUNCTION("""COMPUTED_VALUE"""),"=60")</f>
        <v>=60</v>
      </c>
      <c r="J105" s="84"/>
      <c r="K105" s="84"/>
      <c r="L105" s="72"/>
      <c r="M105" s="72"/>
      <c r="N105" s="72"/>
      <c r="O105" s="72"/>
      <c r="P105" s="72"/>
      <c r="Q105" s="72"/>
      <c r="R105" s="72"/>
      <c r="S105" s="72"/>
      <c r="T105" s="72"/>
      <c r="U105" s="72"/>
      <c r="V105" s="72"/>
      <c r="W105" s="72"/>
      <c r="X105" s="72"/>
      <c r="Y105" s="72"/>
      <c r="Z105" s="72"/>
      <c r="AA105" s="72"/>
      <c r="AB105" s="72"/>
      <c r="AC105" s="72"/>
      <c r="AD105" s="72"/>
      <c r="AE105" s="72"/>
      <c r="AF105" s="72"/>
      <c r="AG105" s="72"/>
      <c r="AH105" s="72"/>
      <c r="AI105" s="72" t="str">
        <f ca="1">IFERROR(__xludf.DUMMYFUNCTION("""COMPUTED_VALUE"""),"=IF($AO$2=1;COUNTIF(Interface!$C$22:$C$27;$A105);0)")</f>
        <v>=IF($AO$2=1;COUNTIF(Interface!$C$22:$C$27;$A105);0)</v>
      </c>
      <c r="AJ105" s="72" t="str">
        <f ca="1">IFERROR(__xludf.DUMMYFUNCTION("""COMPUTED_VALUE"""),"=IF($AO$2=2;COUNTIF(Interface!$C$30:$C$35;$A105);0)")</f>
        <v>=IF($AO$2=2;COUNTIF(Interface!$C$30:$C$35;$A105);0)</v>
      </c>
      <c r="AK105" s="72"/>
      <c r="AL105" s="72"/>
      <c r="AM105" s="72" t="str">
        <f ca="1">IFERROR(__xludf.DUMMYFUNCTION("""COMPUTED_VALUE"""),"=COUNTIF(Interface!$O$18:$O$23;$A105)")</f>
        <v>=COUNTIF(Interface!$O$18:$O$23;$A105)</v>
      </c>
      <c r="AN105" s="72" t="str">
        <f ca="1">IFERROR(__xludf.DUMMYFUNCTION("""COMPUTED_VALUE"""),"=Image(""https://ddragon.leagueoflegends.com/cdn/12.22.1/img/item/3143.png"")")</f>
        <v>=Image("https://ddragon.leagueoflegends.com/cdn/12.22.1/img/item/3143.png")</v>
      </c>
      <c r="AO105" s="72" t="b">
        <f ca="1">IFERROR(__xludf.DUMMYFUNCTION("""COMPUTED_VALUE"""),TRUE)</f>
        <v>1</v>
      </c>
    </row>
    <row r="106" spans="1:41">
      <c r="A106" s="643" t="str">
        <f ca="1">IFERROR(__xludf.DUMMYFUNCTION("""COMPUTED_VALUE"""),"Rapid Firecannon")</f>
        <v>Rapid Firecannon</v>
      </c>
      <c r="B106" s="78" t="str">
        <f ca="1">IFERROR(__xludf.DUMMYFUNCTION("""COMPUTED_VALUE"""),"=3000")</f>
        <v>=3000</v>
      </c>
      <c r="C106" s="78"/>
      <c r="D106" s="78"/>
      <c r="E106" s="78"/>
      <c r="F106" s="78"/>
      <c r="G106" s="78" t="str">
        <f ca="1">IFERROR(__xludf.DUMMYFUNCTION("""COMPUTED_VALUE"""),"=30")</f>
        <v>=30</v>
      </c>
      <c r="H106" s="645"/>
      <c r="I106" s="645"/>
      <c r="J106" s="78"/>
      <c r="K106" s="645" t="str">
        <f ca="1">IFERROR(__xludf.DUMMYFUNCTION("""COMPUTED_VALUE"""),"=15")</f>
        <v>=15</v>
      </c>
      <c r="L106" s="76" t="str">
        <f ca="1">IFERROR(__xludf.DUMMYFUNCTION("""COMPUTED_VALUE"""),"=20")</f>
        <v>=20</v>
      </c>
      <c r="M106" s="76"/>
      <c r="N106" s="76"/>
      <c r="O106" s="76"/>
      <c r="P106" s="76"/>
      <c r="Q106" s="76"/>
      <c r="R106" s="76" t="str">
        <f ca="1">IFERROR(__xludf.DUMMYFUNCTION("""COMPUTED_VALUE"""),"=7")</f>
        <v>=7</v>
      </c>
      <c r="S106" s="76"/>
      <c r="T106" s="76"/>
      <c r="U106" s="76"/>
      <c r="V106" s="76" t="str">
        <f ca="1">IFERROR(__xludf.DUMMYFUNCTION("""COMPUTED_VALUE"""),"=60")</f>
        <v>=60</v>
      </c>
      <c r="W106" s="76"/>
      <c r="X106" s="76"/>
      <c r="Y106" s="76"/>
      <c r="Z106" s="76"/>
      <c r="AA106" s="76"/>
      <c r="AB106" s="76"/>
      <c r="AC106" s="76"/>
      <c r="AD106" s="76"/>
      <c r="AE106" s="76"/>
      <c r="AF106" s="76"/>
      <c r="AG106" s="76"/>
      <c r="AH106" s="76"/>
      <c r="AI106" s="76" t="str">
        <f ca="1">IFERROR(__xludf.DUMMYFUNCTION("""COMPUTED_VALUE"""),"=IF($AO$2=1;COUNTIF(Interface!$C$22:$C$27;$A106);0)")</f>
        <v>=IF($AO$2=1;COUNTIF(Interface!$C$22:$C$27;$A106);0)</v>
      </c>
      <c r="AJ106" s="76" t="str">
        <f ca="1">IFERROR(__xludf.DUMMYFUNCTION("""COMPUTED_VALUE"""),"=IF($AO$2=2;COUNTIF(Interface!$C$30:$C$35;$A106);0)")</f>
        <v>=IF($AO$2=2;COUNTIF(Interface!$C$30:$C$35;$A106);0)</v>
      </c>
      <c r="AK106" s="76"/>
      <c r="AL106" s="76"/>
      <c r="AM106" s="76" t="str">
        <f ca="1">IFERROR(__xludf.DUMMYFUNCTION("""COMPUTED_VALUE"""),"=COUNTIF(Interface!$O$18:$O$23;$A106)")</f>
        <v>=COUNTIF(Interface!$O$18:$O$23;$A106)</v>
      </c>
      <c r="AN106" s="76" t="str">
        <f ca="1">IFERROR(__xludf.DUMMYFUNCTION("""COMPUTED_VALUE"""),"=Image(""https://ddragon.leagueoflegends.com/cdn/12.22.1/img/item/3094.png"")")</f>
        <v>=Image("https://ddragon.leagueoflegends.com/cdn/12.22.1/img/item/3094.png")</v>
      </c>
      <c r="AO106" s="76" t="b">
        <f ca="1">IFERROR(__xludf.DUMMYFUNCTION("""COMPUTED_VALUE"""),TRUE)</f>
        <v>1</v>
      </c>
    </row>
    <row r="107" spans="1:41">
      <c r="A107" s="644" t="str">
        <f ca="1">IFERROR(__xludf.DUMMYFUNCTION("""COMPUTED_VALUE"""),"Ravenous Hydra")</f>
        <v>Ravenous Hydra</v>
      </c>
      <c r="B107" s="84" t="str">
        <f ca="1">IFERROR(__xludf.DUMMYFUNCTION("""COMPUTED_VALUE"""),"=3400")</f>
        <v>=3400</v>
      </c>
      <c r="C107" s="84"/>
      <c r="D107" s="84"/>
      <c r="E107" s="84"/>
      <c r="F107" s="84"/>
      <c r="G107" s="84" t="str">
        <f ca="1">IFERROR(__xludf.DUMMYFUNCTION("""COMPUTED_VALUE"""),"=65 + IF(Steroid_Items; 20; 0)")</f>
        <v>=65 + IF(Steroid_Items; 20; 0)</v>
      </c>
      <c r="H107" s="84"/>
      <c r="I107" s="84"/>
      <c r="J107" s="84"/>
      <c r="K107" s="84"/>
      <c r="L107" s="72"/>
      <c r="M107" s="72" t="str">
        <f ca="1">IFERROR(__xludf.DUMMYFUNCTION("""COMPUTED_VALUE"""),"=25")</f>
        <v>=25</v>
      </c>
      <c r="N107" s="72" t="str">
        <f ca="1">IFERROR(__xludf.DUMMYFUNCTION("""COMPUTED_VALUE"""),"=10")</f>
        <v>=10</v>
      </c>
      <c r="O107" s="72"/>
      <c r="P107" s="72"/>
      <c r="Q107" s="72"/>
      <c r="R107" s="72"/>
      <c r="S107" s="72"/>
      <c r="T107" s="72"/>
      <c r="U107" s="72"/>
      <c r="V107" s="72"/>
      <c r="W107" s="72"/>
      <c r="X107" s="72"/>
      <c r="Y107" s="72"/>
      <c r="Z107" s="72"/>
      <c r="AA107" s="72"/>
      <c r="AB107" s="72"/>
      <c r="AC107" s="72"/>
      <c r="AD107" s="72"/>
      <c r="AE107" s="72"/>
      <c r="AF107" s="72"/>
      <c r="AG107" s="72"/>
      <c r="AH107" s="72"/>
      <c r="AI107" s="72" t="str">
        <f ca="1">IFERROR(__xludf.DUMMYFUNCTION("""COMPUTED_VALUE"""),"=IF($AO$2=1;COUNTIF(Interface!$C$22:$C$27;$A107);0)")</f>
        <v>=IF($AO$2=1;COUNTIF(Interface!$C$22:$C$27;$A107);0)</v>
      </c>
      <c r="AJ107" s="72" t="str">
        <f ca="1">IFERROR(__xludf.DUMMYFUNCTION("""COMPUTED_VALUE"""),"=IF($AO$2=2;COUNTIF(Interface!$C$30:$C$35;$A107);0)")</f>
        <v>=IF($AO$2=2;COUNTIF(Interface!$C$30:$C$35;$A107);0)</v>
      </c>
      <c r="AK107" s="72"/>
      <c r="AL107" s="72"/>
      <c r="AM107" s="72" t="str">
        <f ca="1">IFERROR(__xludf.DUMMYFUNCTION("""COMPUTED_VALUE"""),"=COUNTIF(Interface!$O$18:$O$23;$A107)")</f>
        <v>=COUNTIF(Interface!$O$18:$O$23;$A107)</v>
      </c>
      <c r="AN107" s="72" t="str">
        <f ca="1">IFERROR(__xludf.DUMMYFUNCTION("""COMPUTED_VALUE"""),"=Image(""https://ddragon.leagueoflegends.com/cdn/12.22.1/img/item/3074.png"")")</f>
        <v>=Image("https://ddragon.leagueoflegends.com/cdn/12.22.1/img/item/3074.png")</v>
      </c>
      <c r="AO107" s="72" t="b">
        <f ca="1">IFERROR(__xludf.DUMMYFUNCTION("""COMPUTED_VALUE"""),TRUE)</f>
        <v>1</v>
      </c>
    </row>
    <row r="108" spans="1:41">
      <c r="A108" s="643" t="str">
        <f ca="1">IFERROR(__xludf.DUMMYFUNCTION("""COMPUTED_VALUE"""),"Recurve Bow")</f>
        <v>Recurve Bow</v>
      </c>
      <c r="B108" s="78" t="str">
        <f ca="1">IFERROR(__xludf.DUMMYFUNCTION("""COMPUTED_VALUE"""),"=700")</f>
        <v>=700</v>
      </c>
      <c r="C108" s="78"/>
      <c r="D108" s="78"/>
      <c r="E108" s="78"/>
      <c r="F108" s="78"/>
      <c r="G108" s="78"/>
      <c r="H108" s="78"/>
      <c r="I108" s="78"/>
      <c r="J108" s="645"/>
      <c r="K108" s="78" t="str">
        <f ca="1">IFERROR(__xludf.DUMMYFUNCTION("""COMPUTED_VALUE"""),"=15")</f>
        <v>=15</v>
      </c>
      <c r="L108" s="76"/>
      <c r="M108" s="76"/>
      <c r="N108" s="76"/>
      <c r="O108" s="76"/>
      <c r="P108" s="76"/>
      <c r="Q108" s="76"/>
      <c r="R108" s="76"/>
      <c r="S108" s="76"/>
      <c r="T108" s="76"/>
      <c r="U108" s="76" t="str">
        <f ca="1">IFERROR(__xludf.DUMMYFUNCTION("""COMPUTED_VALUE"""),"=15")</f>
        <v>=15</v>
      </c>
      <c r="V108" s="76"/>
      <c r="W108" s="76"/>
      <c r="X108" s="76"/>
      <c r="Y108" s="76"/>
      <c r="Z108" s="76"/>
      <c r="AA108" s="76"/>
      <c r="AB108" s="76"/>
      <c r="AC108" s="76"/>
      <c r="AD108" s="76"/>
      <c r="AE108" s="76"/>
      <c r="AF108" s="76"/>
      <c r="AG108" s="76"/>
      <c r="AH108" s="76"/>
      <c r="AI108" s="76" t="str">
        <f ca="1">IFERROR(__xludf.DUMMYFUNCTION("""COMPUTED_VALUE"""),"=IF($AO$2=1;COUNTIF(Interface!$C$22:$C$27;$A108);0)")</f>
        <v>=IF($AO$2=1;COUNTIF(Interface!$C$22:$C$27;$A108);0)</v>
      </c>
      <c r="AJ108" s="76" t="str">
        <f ca="1">IFERROR(__xludf.DUMMYFUNCTION("""COMPUTED_VALUE"""),"=IF($AO$2=2;COUNTIF(Interface!$C$30:$C$35;$A108);0)")</f>
        <v>=IF($AO$2=2;COUNTIF(Interface!$C$30:$C$35;$A108);0)</v>
      </c>
      <c r="AK108" s="76"/>
      <c r="AL108" s="76"/>
      <c r="AM108" s="76" t="str">
        <f ca="1">IFERROR(__xludf.DUMMYFUNCTION("""COMPUTED_VALUE"""),"=COUNTIF(Interface!$O$18:$O$23;$A108)")</f>
        <v>=COUNTIF(Interface!$O$18:$O$23;$A108)</v>
      </c>
      <c r="AN108" s="76" t="str">
        <f ca="1">IFERROR(__xludf.DUMMYFUNCTION("""COMPUTED_VALUE"""),"=Image(""https://ddragon.leagueoflegends.com/cdn/12.22.1/img/item/1043.png"")")</f>
        <v>=Image("https://ddragon.leagueoflegends.com/cdn/12.22.1/img/item/1043.png")</v>
      </c>
      <c r="AO108" s="76" t="b">
        <f ca="1">IFERROR(__xludf.DUMMYFUNCTION("""COMPUTED_VALUE"""),FALSE)</f>
        <v>0</v>
      </c>
    </row>
    <row r="109" spans="1:41">
      <c r="A109" s="644" t="str">
        <f ca="1">IFERROR(__xludf.DUMMYFUNCTION("""COMPUTED_VALUE"""),"Redemption")</f>
        <v>Redemption</v>
      </c>
      <c r="B109" s="84" t="str">
        <f ca="1">IFERROR(__xludf.DUMMYFUNCTION("""COMPUTED_VALUE"""),"=2300")</f>
        <v>=2300</v>
      </c>
      <c r="C109" s="84" t="str">
        <f ca="1">IFERROR(__xludf.DUMMYFUNCTION("""COMPUTED_VALUE"""),"=250")</f>
        <v>=250</v>
      </c>
      <c r="D109" s="84" t="str">
        <f ca="1">IFERROR(__xludf.DUMMYFUNCTION("""COMPUTED_VALUE"""),"=IT_MPR")</f>
        <v>=IT_MPR</v>
      </c>
      <c r="E109" s="84"/>
      <c r="F109" s="84" t="str">
        <f ca="1">IFERROR(__xludf.DUMMYFUNCTION("""COMPUTED_VALUE"""),"=1")</f>
        <v>=1</v>
      </c>
      <c r="G109" s="646"/>
      <c r="H109" s="84"/>
      <c r="I109" s="646"/>
      <c r="J109" s="84"/>
      <c r="K109" s="84"/>
      <c r="L109" s="72"/>
      <c r="M109" s="72" t="str">
        <f ca="1">IFERROR(__xludf.DUMMYFUNCTION("""COMPUTED_VALUE"""),"=15")</f>
        <v>=15</v>
      </c>
      <c r="N109" s="72"/>
      <c r="O109" s="72"/>
      <c r="P109" s="72"/>
      <c r="Q109" s="72"/>
      <c r="R109" s="72"/>
      <c r="S109" s="72" t="str">
        <f ca="1">IFERROR(__xludf.DUMMYFUNCTION("""COMPUTED_VALUE"""),"=15")</f>
        <v>=15</v>
      </c>
      <c r="T109" s="72"/>
      <c r="U109" s="72"/>
      <c r="V109" s="72"/>
      <c r="W109" s="72"/>
      <c r="X109" s="72"/>
      <c r="Y109" s="72"/>
      <c r="Z109" s="72"/>
      <c r="AA109" s="72"/>
      <c r="AB109" s="72"/>
      <c r="AC109" s="72"/>
      <c r="AD109" s="72"/>
      <c r="AE109" s="72"/>
      <c r="AF109" s="72"/>
      <c r="AG109" s="72"/>
      <c r="AH109" s="72"/>
      <c r="AI109" s="72" t="str">
        <f ca="1">IFERROR(__xludf.DUMMYFUNCTION("""COMPUTED_VALUE"""),"=IF($AO$2=1;COUNTIF(Interface!$C$22:$C$27;$A109);0)")</f>
        <v>=IF($AO$2=1;COUNTIF(Interface!$C$22:$C$27;$A109);0)</v>
      </c>
      <c r="AJ109" s="72" t="str">
        <f ca="1">IFERROR(__xludf.DUMMYFUNCTION("""COMPUTED_VALUE"""),"=IF($AO$2=2;COUNTIF(Interface!$C$30:$C$35;$A109);0)")</f>
        <v>=IF($AO$2=2;COUNTIF(Interface!$C$30:$C$35;$A109);0)</v>
      </c>
      <c r="AK109" s="72"/>
      <c r="AL109" s="72"/>
      <c r="AM109" s="72" t="str">
        <f ca="1">IFERROR(__xludf.DUMMYFUNCTION("""COMPUTED_VALUE"""),"=COUNTIF(Interface!$O$18:$O$23;$A109)")</f>
        <v>=COUNTIF(Interface!$O$18:$O$23;$A109)</v>
      </c>
      <c r="AN109" s="72" t="str">
        <f ca="1">IFERROR(__xludf.DUMMYFUNCTION("""COMPUTED_VALUE"""),"=Image(""https://ddragon.leagueoflegends.com/cdn/12.22.1/img/item/3107.png"")")</f>
        <v>=Image("https://ddragon.leagueoflegends.com/cdn/12.22.1/img/item/3107.png")</v>
      </c>
      <c r="AO109" s="72" t="b">
        <f ca="1">IFERROR(__xludf.DUMMYFUNCTION("""COMPUTED_VALUE"""),TRUE)</f>
        <v>1</v>
      </c>
    </row>
    <row r="110" spans="1:41">
      <c r="A110" s="643" t="str">
        <f ca="1">IFERROR(__xludf.DUMMYFUNCTION("""COMPUTED_VALUE"""),"Rejuvenation Bead")</f>
        <v>Rejuvenation Bead</v>
      </c>
      <c r="B110" s="78" t="str">
        <f ca="1">IFERROR(__xludf.DUMMYFUNCTION("""COMPUTED_VALUE"""),"=300")</f>
        <v>=300</v>
      </c>
      <c r="C110" s="78"/>
      <c r="D110" s="78" t="str">
        <f ca="1">IFERROR(__xludf.DUMMYFUNCTION("""COMPUTED_VALUE"""),"=1")</f>
        <v>=1</v>
      </c>
      <c r="E110" s="78"/>
      <c r="F110" s="78"/>
      <c r="G110" s="78"/>
      <c r="H110" s="78"/>
      <c r="I110" s="78"/>
      <c r="J110" s="78"/>
      <c r="K110" s="78"/>
      <c r="L110" s="76"/>
      <c r="M110" s="76"/>
      <c r="N110" s="76"/>
      <c r="O110" s="76"/>
      <c r="P110" s="76"/>
      <c r="Q110" s="76"/>
      <c r="R110" s="76"/>
      <c r="S110" s="76"/>
      <c r="T110" s="76"/>
      <c r="U110" s="76"/>
      <c r="V110" s="76"/>
      <c r="W110" s="76"/>
      <c r="X110" s="76"/>
      <c r="Y110" s="76"/>
      <c r="Z110" s="76"/>
      <c r="AA110" s="76"/>
      <c r="AB110" s="76"/>
      <c r="AC110" s="76"/>
      <c r="AD110" s="76"/>
      <c r="AE110" s="76"/>
      <c r="AF110" s="76"/>
      <c r="AG110" s="76"/>
      <c r="AH110" s="76"/>
      <c r="AI110" s="76" t="str">
        <f ca="1">IFERROR(__xludf.DUMMYFUNCTION("""COMPUTED_VALUE"""),"=IF($AO$2=1;COUNTIF(Interface!$C$22:$C$27;$A110);0)")</f>
        <v>=IF($AO$2=1;COUNTIF(Interface!$C$22:$C$27;$A110);0)</v>
      </c>
      <c r="AJ110" s="76" t="str">
        <f ca="1">IFERROR(__xludf.DUMMYFUNCTION("""COMPUTED_VALUE"""),"=IF($AO$2=2;COUNTIF(Interface!$C$30:$C$35;$A110);0)")</f>
        <v>=IF($AO$2=2;COUNTIF(Interface!$C$30:$C$35;$A110);0)</v>
      </c>
      <c r="AK110" s="76"/>
      <c r="AL110" s="76"/>
      <c r="AM110" s="76" t="str">
        <f ca="1">IFERROR(__xludf.DUMMYFUNCTION("""COMPUTED_VALUE"""),"=COUNTIF(Interface!$O$18:$O$23;$A110)")</f>
        <v>=COUNTIF(Interface!$O$18:$O$23;$A110)</v>
      </c>
      <c r="AN110" s="76" t="str">
        <f ca="1">IFERROR(__xludf.DUMMYFUNCTION("""COMPUTED_VALUE"""),"=Image(""https://ddragon.leagueoflegends.com/cdn/12.22.1/img/item/1006.png"")")</f>
        <v>=Image("https://ddragon.leagueoflegends.com/cdn/12.22.1/img/item/1006.png")</v>
      </c>
      <c r="AO110" s="76" t="b">
        <f ca="1">IFERROR(__xludf.DUMMYFUNCTION("""COMPUTED_VALUE"""),FALSE)</f>
        <v>0</v>
      </c>
    </row>
    <row r="111" spans="1:41">
      <c r="A111" s="644" t="str">
        <f ca="1">IFERROR(__xludf.DUMMYFUNCTION("""COMPUTED_VALUE"""),"Relic Shield")</f>
        <v>Relic Shield</v>
      </c>
      <c r="B111" s="84" t="str">
        <f ca="1">IFERROR(__xludf.DUMMYFUNCTION("""COMPUTED_VALUE"""),"=400")</f>
        <v>=400</v>
      </c>
      <c r="C111" s="84" t="str">
        <f ca="1">IFERROR(__xludf.DUMMYFUNCTION("""COMPUTED_VALUE"""),"=30")</f>
        <v>=30</v>
      </c>
      <c r="D111" s="84" t="str">
        <f ca="1">IFERROR(__xludf.DUMMYFUNCTION("""COMPUTED_VALUE"""),"=0,5")</f>
        <v>=0,5</v>
      </c>
      <c r="E111" s="84"/>
      <c r="F111" s="84"/>
      <c r="G111" s="646"/>
      <c r="H111" s="84" t="str">
        <f ca="1">IFERROR(__xludf.DUMMYFUNCTION("""COMPUTED_VALUE"""),"=5")</f>
        <v>=5</v>
      </c>
      <c r="I111" s="84"/>
      <c r="J111" s="84"/>
      <c r="K111" s="84"/>
      <c r="L111" s="72"/>
      <c r="M111" s="72"/>
      <c r="N111" s="72"/>
      <c r="O111" s="72"/>
      <c r="P111" s="72"/>
      <c r="Q111" s="72"/>
      <c r="R111" s="72"/>
      <c r="S111" s="72"/>
      <c r="T111" s="72"/>
      <c r="U111" s="72"/>
      <c r="V111" s="72"/>
      <c r="W111" s="72"/>
      <c r="X111" s="72"/>
      <c r="Y111" s="72"/>
      <c r="Z111" s="72"/>
      <c r="AA111" s="72"/>
      <c r="AB111" s="72"/>
      <c r="AC111" s="72"/>
      <c r="AD111" s="72"/>
      <c r="AE111" s="72"/>
      <c r="AF111" s="72"/>
      <c r="AG111" s="72"/>
      <c r="AH111" s="72"/>
      <c r="AI111" s="72" t="str">
        <f ca="1">IFERROR(__xludf.DUMMYFUNCTION("""COMPUTED_VALUE"""),"=IF($AO$2=1;COUNTIF(Interface!$C$22:$C$27;$A111);0)")</f>
        <v>=IF($AO$2=1;COUNTIF(Interface!$C$22:$C$27;$A111);0)</v>
      </c>
      <c r="AJ111" s="72" t="str">
        <f ca="1">IFERROR(__xludf.DUMMYFUNCTION("""COMPUTED_VALUE"""),"=IF($AO$2=2;COUNTIF(Interface!$C$30:$C$35;$A111);0)")</f>
        <v>=IF($AO$2=2;COUNTIF(Interface!$C$30:$C$35;$A111);0)</v>
      </c>
      <c r="AK111" s="72"/>
      <c r="AL111" s="72"/>
      <c r="AM111" s="72" t="str">
        <f ca="1">IFERROR(__xludf.DUMMYFUNCTION("""COMPUTED_VALUE"""),"=COUNTIF(Interface!$O$18:$O$23;$A111)")</f>
        <v>=COUNTIF(Interface!$O$18:$O$23;$A111)</v>
      </c>
      <c r="AN111" s="72" t="str">
        <f ca="1">IFERROR(__xludf.DUMMYFUNCTION("""COMPUTED_VALUE"""),"=Image(""https://ddragon.leagueoflegends.com/cdn/12.22.1/img/item/3858.png"")")</f>
        <v>=Image("https://ddragon.leagueoflegends.com/cdn/12.22.1/img/item/3858.png")</v>
      </c>
      <c r="AO111" s="72" t="b">
        <f ca="1">IFERROR(__xludf.DUMMYFUNCTION("""COMPUTED_VALUE"""),FALSE)</f>
        <v>0</v>
      </c>
    </row>
    <row r="112" spans="1:41">
      <c r="A112" s="643" t="str">
        <f ca="1">IFERROR(__xludf.DUMMYFUNCTION("""COMPUTED_VALUE"""),"Ruby Crystal")</f>
        <v>Ruby Crystal</v>
      </c>
      <c r="B112" s="78" t="str">
        <f ca="1">IFERROR(__xludf.DUMMYFUNCTION("""COMPUTED_VALUE"""),"=400")</f>
        <v>=400</v>
      </c>
      <c r="C112" s="78" t="str">
        <f ca="1">IFERROR(__xludf.DUMMYFUNCTION("""COMPUTED_VALUE"""),"=150")</f>
        <v>=150</v>
      </c>
      <c r="D112" s="78"/>
      <c r="E112" s="78"/>
      <c r="F112" s="78"/>
      <c r="G112" s="78"/>
      <c r="H112" s="78"/>
      <c r="I112" s="78"/>
      <c r="J112" s="78"/>
      <c r="K112" s="78"/>
      <c r="L112" s="76"/>
      <c r="M112" s="76"/>
      <c r="N112" s="76"/>
      <c r="O112" s="76"/>
      <c r="P112" s="76"/>
      <c r="Q112" s="76"/>
      <c r="R112" s="76"/>
      <c r="S112" s="76"/>
      <c r="T112" s="76"/>
      <c r="U112" s="76"/>
      <c r="V112" s="76"/>
      <c r="W112" s="76"/>
      <c r="X112" s="76"/>
      <c r="Y112" s="76"/>
      <c r="Z112" s="76"/>
      <c r="AA112" s="76"/>
      <c r="AB112" s="76"/>
      <c r="AC112" s="76"/>
      <c r="AD112" s="76"/>
      <c r="AE112" s="76"/>
      <c r="AF112" s="76"/>
      <c r="AG112" s="76"/>
      <c r="AH112" s="76"/>
      <c r="AI112" s="76" t="str">
        <f ca="1">IFERROR(__xludf.DUMMYFUNCTION("""COMPUTED_VALUE"""),"=IF($AO$2=1;COUNTIF(Interface!$C$22:$C$27;$A112);0)")</f>
        <v>=IF($AO$2=1;COUNTIF(Interface!$C$22:$C$27;$A112);0)</v>
      </c>
      <c r="AJ112" s="76" t="str">
        <f ca="1">IFERROR(__xludf.DUMMYFUNCTION("""COMPUTED_VALUE"""),"=IF($AO$2=2;COUNTIF(Interface!$C$30:$C$35;$A112);0)")</f>
        <v>=IF($AO$2=2;COUNTIF(Interface!$C$30:$C$35;$A112);0)</v>
      </c>
      <c r="AK112" s="76"/>
      <c r="AL112" s="76"/>
      <c r="AM112" s="76" t="str">
        <f ca="1">IFERROR(__xludf.DUMMYFUNCTION("""COMPUTED_VALUE"""),"=COUNTIF(Interface!$O$18:$O$23;$A112)")</f>
        <v>=COUNTIF(Interface!$O$18:$O$23;$A112)</v>
      </c>
      <c r="AN112" s="76" t="str">
        <f ca="1">IFERROR(__xludf.DUMMYFUNCTION("""COMPUTED_VALUE"""),"=Image(""https://ddragon.leagueoflegends.com/cdn/12.22.1/img/item/1028.png"")")</f>
        <v>=Image("https://ddragon.leagueoflegends.com/cdn/12.22.1/img/item/1028.png")</v>
      </c>
      <c r="AO112" s="76" t="b">
        <f ca="1">IFERROR(__xludf.DUMMYFUNCTION("""COMPUTED_VALUE"""),FALSE)</f>
        <v>0</v>
      </c>
    </row>
    <row r="113" spans="1:41">
      <c r="A113" s="644" t="str">
        <f ca="1">IFERROR(__xludf.DUMMYFUNCTION("""COMPUTED_VALUE"""),"Runaan's Hurricane")</f>
        <v>Runaan's Hurricane</v>
      </c>
      <c r="B113" s="84" t="str">
        <f ca="1">IFERROR(__xludf.DUMMYFUNCTION("""COMPUTED_VALUE"""),"=2800")</f>
        <v>=2800</v>
      </c>
      <c r="C113" s="84"/>
      <c r="D113" s="84"/>
      <c r="E113" s="84"/>
      <c r="F113" s="84"/>
      <c r="G113" s="84"/>
      <c r="H113" s="84"/>
      <c r="I113" s="84"/>
      <c r="J113" s="84"/>
      <c r="K113" s="84" t="str">
        <f ca="1">IFERROR(__xludf.DUMMYFUNCTION("""COMPUTED_VALUE"""),"=40")</f>
        <v>=40</v>
      </c>
      <c r="L113" s="72" t="str">
        <f ca="1">IFERROR(__xludf.DUMMYFUNCTION("""COMPUTED_VALUE"""),"=20")</f>
        <v>=20</v>
      </c>
      <c r="M113" s="72"/>
      <c r="N113" s="72"/>
      <c r="O113" s="72"/>
      <c r="P113" s="72"/>
      <c r="Q113" s="72"/>
      <c r="R113" s="72" t="str">
        <f ca="1">IFERROR(__xludf.DUMMYFUNCTION("""COMPUTED_VALUE"""),"=7")</f>
        <v>=7</v>
      </c>
      <c r="S113" s="72"/>
      <c r="T113" s="72"/>
      <c r="U113" s="72" t="str">
        <f ca="1">IFERROR(__xludf.DUMMYFUNCTION("""COMPUTED_VALUE"""),"=15")</f>
        <v>=15</v>
      </c>
      <c r="V113" s="72"/>
      <c r="W113" s="72"/>
      <c r="X113" s="72"/>
      <c r="Y113" s="72"/>
      <c r="Z113" s="72"/>
      <c r="AA113" s="72"/>
      <c r="AB113" s="72"/>
      <c r="AC113" s="72"/>
      <c r="AD113" s="72"/>
      <c r="AE113" s="72"/>
      <c r="AF113" s="72"/>
      <c r="AG113" s="72"/>
      <c r="AH113" s="72"/>
      <c r="AI113" s="72" t="str">
        <f ca="1">IFERROR(__xludf.DUMMYFUNCTION("""COMPUTED_VALUE"""),"=IF($AO$2=1;COUNTIF(Interface!$C$22:$C$27;$A113);0)")</f>
        <v>=IF($AO$2=1;COUNTIF(Interface!$C$22:$C$27;$A113);0)</v>
      </c>
      <c r="AJ113" s="72" t="str">
        <f ca="1">IFERROR(__xludf.DUMMYFUNCTION("""COMPUTED_VALUE"""),"=IF($AO$2=2;COUNTIF(Interface!$C$30:$C$35;$A113);0)")</f>
        <v>=IF($AO$2=2;COUNTIF(Interface!$C$30:$C$35;$A113);0)</v>
      </c>
      <c r="AK113" s="72"/>
      <c r="AL113" s="72"/>
      <c r="AM113" s="72" t="str">
        <f ca="1">IFERROR(__xludf.DUMMYFUNCTION("""COMPUTED_VALUE"""),"=COUNTIF(Interface!$O$18:$O$23;$A113)")</f>
        <v>=COUNTIF(Interface!$O$18:$O$23;$A113)</v>
      </c>
      <c r="AN113" s="72" t="str">
        <f ca="1">IFERROR(__xludf.DUMMYFUNCTION("""COMPUTED_VALUE"""),"=Image(""https://ddragon.leagueoflegends.com/cdn/12.22.1/img/item/3085.png"")")</f>
        <v>=Image("https://ddragon.leagueoflegends.com/cdn/12.22.1/img/item/3085.png")</v>
      </c>
      <c r="AO113" s="72" t="b">
        <f ca="1">IFERROR(__xludf.DUMMYFUNCTION("""COMPUTED_VALUE"""),TRUE)</f>
        <v>1</v>
      </c>
    </row>
    <row r="114" spans="1:41">
      <c r="A114" s="643" t="str">
        <f ca="1">IFERROR(__xludf.DUMMYFUNCTION("""COMPUTED_VALUE"""),"Runesteel Spaulders")</f>
        <v>Runesteel Spaulders</v>
      </c>
      <c r="B114" s="78" t="str">
        <f ca="1">IFERROR(__xludf.DUMMYFUNCTION("""COMPUTED_VALUE"""),"=400")</f>
        <v>=400</v>
      </c>
      <c r="C114" s="78" t="str">
        <f ca="1">IFERROR(__xludf.DUMMYFUNCTION("""COMPUTED_VALUE"""),"=100")</f>
        <v>=100</v>
      </c>
      <c r="D114" s="78" t="str">
        <f ca="1">IFERROR(__xludf.DUMMYFUNCTION("""COMPUTED_VALUE"""),"=0,75")</f>
        <v>=0,75</v>
      </c>
      <c r="E114" s="78"/>
      <c r="F114" s="78"/>
      <c r="G114" s="78" t="str">
        <f ca="1">IFERROR(__xludf.DUMMYFUNCTION("""COMPUTED_VALUE"""),"=6")</f>
        <v>=6</v>
      </c>
      <c r="H114" s="78"/>
      <c r="I114" s="78"/>
      <c r="J114" s="78"/>
      <c r="K114" s="78"/>
      <c r="L114" s="76"/>
      <c r="M114" s="76"/>
      <c r="N114" s="76"/>
      <c r="O114" s="76"/>
      <c r="P114" s="76"/>
      <c r="Q114" s="76"/>
      <c r="R114" s="76"/>
      <c r="S114" s="76"/>
      <c r="T114" s="76"/>
      <c r="U114" s="76"/>
      <c r="V114" s="76"/>
      <c r="W114" s="76"/>
      <c r="X114" s="76"/>
      <c r="Y114" s="76"/>
      <c r="Z114" s="76"/>
      <c r="AA114" s="76"/>
      <c r="AB114" s="76"/>
      <c r="AC114" s="76"/>
      <c r="AD114" s="76"/>
      <c r="AE114" s="76"/>
      <c r="AF114" s="76"/>
      <c r="AG114" s="76"/>
      <c r="AH114" s="76"/>
      <c r="AI114" s="76" t="str">
        <f ca="1">IFERROR(__xludf.DUMMYFUNCTION("""COMPUTED_VALUE"""),"=IF($AO$2=1;COUNTIF(Interface!$C$22:$C$27;$A114);0)")</f>
        <v>=IF($AO$2=1;COUNTIF(Interface!$C$22:$C$27;$A114);0)</v>
      </c>
      <c r="AJ114" s="76" t="str">
        <f ca="1">IFERROR(__xludf.DUMMYFUNCTION("""COMPUTED_VALUE"""),"=IF($AO$2=2;COUNTIF(Interface!$C$30:$C$35;$A114);0)")</f>
        <v>=IF($AO$2=2;COUNTIF(Interface!$C$30:$C$35;$A114);0)</v>
      </c>
      <c r="AK114" s="76"/>
      <c r="AL114" s="76"/>
      <c r="AM114" s="76" t="str">
        <f ca="1">IFERROR(__xludf.DUMMYFUNCTION("""COMPUTED_VALUE"""),"=COUNTIF(Interface!$O$18:$O$23;$A114)")</f>
        <v>=COUNTIF(Interface!$O$18:$O$23;$A114)</v>
      </c>
      <c r="AN114" s="76" t="str">
        <f ca="1">IFERROR(__xludf.DUMMYFUNCTION("""COMPUTED_VALUE"""),"=Image(""https://ddragon.leagueoflegends.com/cdn/12.22.1/img/item/3855.png"")")</f>
        <v>=Image("https://ddragon.leagueoflegends.com/cdn/12.22.1/img/item/3855.png")</v>
      </c>
      <c r="AO114" s="76" t="b">
        <f ca="1">IFERROR(__xludf.DUMMYFUNCTION("""COMPUTED_VALUE"""),FALSE)</f>
        <v>0</v>
      </c>
    </row>
    <row r="115" spans="1:41">
      <c r="A115" s="644" t="str">
        <f ca="1">IFERROR(__xludf.DUMMYFUNCTION("""COMPUTED_VALUE"""),"Rylai's Crystal Scepter")</f>
        <v>Rylai's Crystal Scepter</v>
      </c>
      <c r="B115" s="84" t="str">
        <f ca="1">IFERROR(__xludf.DUMMYFUNCTION("""COMPUTED_VALUE"""),"=2600")</f>
        <v>=2600</v>
      </c>
      <c r="C115" s="84" t="str">
        <f ca="1">IFERROR(__xludf.DUMMYFUNCTION("""COMPUTED_VALUE"""),"=400")</f>
        <v>=400</v>
      </c>
      <c r="D115" s="84"/>
      <c r="E115" s="84"/>
      <c r="F115" s="84"/>
      <c r="G115" s="84"/>
      <c r="H115" s="84" t="str">
        <f ca="1">IFERROR(__xludf.DUMMYFUNCTION("""COMPUTED_VALUE"""),"=75")</f>
        <v>=75</v>
      </c>
      <c r="I115" s="84"/>
      <c r="J115" s="646"/>
      <c r="K115" s="84"/>
      <c r="L115" s="72"/>
      <c r="M115" s="72"/>
      <c r="N115" s="72"/>
      <c r="O115" s="72"/>
      <c r="P115" s="72"/>
      <c r="Q115" s="72"/>
      <c r="R115" s="72"/>
      <c r="S115" s="72"/>
      <c r="T115" s="72"/>
      <c r="U115" s="72"/>
      <c r="V115" s="72"/>
      <c r="W115" s="72"/>
      <c r="X115" s="72"/>
      <c r="Y115" s="72"/>
      <c r="Z115" s="72"/>
      <c r="AA115" s="72"/>
      <c r="AB115" s="72"/>
      <c r="AC115" s="72"/>
      <c r="AD115" s="72"/>
      <c r="AE115" s="72"/>
      <c r="AF115" s="72"/>
      <c r="AG115" s="72"/>
      <c r="AH115" s="72"/>
      <c r="AI115" s="72" t="str">
        <f ca="1">IFERROR(__xludf.DUMMYFUNCTION("""COMPUTED_VALUE"""),"=IF($AO$2=1;COUNTIF(Interface!$C$22:$C$27;$A115);0)")</f>
        <v>=IF($AO$2=1;COUNTIF(Interface!$C$22:$C$27;$A115);0)</v>
      </c>
      <c r="AJ115" s="72" t="str">
        <f ca="1">IFERROR(__xludf.DUMMYFUNCTION("""COMPUTED_VALUE"""),"=IF($AO$2=2;COUNTIF(Interface!$C$30:$C$35;$A115);0)")</f>
        <v>=IF($AO$2=2;COUNTIF(Interface!$C$30:$C$35;$A115);0)</v>
      </c>
      <c r="AK115" s="72"/>
      <c r="AL115" s="72"/>
      <c r="AM115" s="72" t="str">
        <f ca="1">IFERROR(__xludf.DUMMYFUNCTION("""COMPUTED_VALUE"""),"=COUNTIF(Interface!$O$18:$O$23;$A115)")</f>
        <v>=COUNTIF(Interface!$O$18:$O$23;$A115)</v>
      </c>
      <c r="AN115" s="72" t="str">
        <f ca="1">IFERROR(__xludf.DUMMYFUNCTION("""COMPUTED_VALUE"""),"=Image(""https://ddragon.leagueoflegends.com/cdn/12.22.1/img/item/3116.png"")")</f>
        <v>=Image("https://ddragon.leagueoflegends.com/cdn/12.22.1/img/item/3116.png")</v>
      </c>
      <c r="AO115" s="72" t="b">
        <f ca="1">IFERROR(__xludf.DUMMYFUNCTION("""COMPUTED_VALUE"""),TRUE)</f>
        <v>1</v>
      </c>
    </row>
    <row r="116" spans="1:41">
      <c r="A116" s="643" t="str">
        <f ca="1">IFERROR(__xludf.DUMMYFUNCTION("""COMPUTED_VALUE"""),"Sapphire Crystal")</f>
        <v>Sapphire Crystal</v>
      </c>
      <c r="B116" s="78" t="str">
        <f ca="1">IFERROR(__xludf.DUMMYFUNCTION("""COMPUTED_VALUE"""),"=350")</f>
        <v>=350</v>
      </c>
      <c r="C116" s="78"/>
      <c r="D116" s="78"/>
      <c r="E116" s="78" t="str">
        <f ca="1">IFERROR(__xludf.DUMMYFUNCTION("""COMPUTED_VALUE"""),"=250")</f>
        <v>=250</v>
      </c>
      <c r="F116" s="78"/>
      <c r="G116" s="78"/>
      <c r="H116" s="78"/>
      <c r="I116" s="78"/>
      <c r="J116" s="78"/>
      <c r="K116" s="78"/>
      <c r="L116" s="76"/>
      <c r="M116" s="76"/>
      <c r="N116" s="76"/>
      <c r="O116" s="76"/>
      <c r="P116" s="76"/>
      <c r="Q116" s="76"/>
      <c r="R116" s="76"/>
      <c r="S116" s="76"/>
      <c r="T116" s="76"/>
      <c r="U116" s="76"/>
      <c r="V116" s="76"/>
      <c r="W116" s="76"/>
      <c r="X116" s="76"/>
      <c r="Y116" s="76"/>
      <c r="Z116" s="76"/>
      <c r="AA116" s="76"/>
      <c r="AB116" s="76"/>
      <c r="AC116" s="76"/>
      <c r="AD116" s="76"/>
      <c r="AE116" s="76"/>
      <c r="AF116" s="76"/>
      <c r="AG116" s="76"/>
      <c r="AH116" s="76"/>
      <c r="AI116" s="76" t="str">
        <f ca="1">IFERROR(__xludf.DUMMYFUNCTION("""COMPUTED_VALUE"""),"=IF($AO$2=1;COUNTIF(Interface!$C$22:$C$27;$A116);0)")</f>
        <v>=IF($AO$2=1;COUNTIF(Interface!$C$22:$C$27;$A116);0)</v>
      </c>
      <c r="AJ116" s="76" t="str">
        <f ca="1">IFERROR(__xludf.DUMMYFUNCTION("""COMPUTED_VALUE"""),"=IF($AO$2=2;COUNTIF(Interface!$C$30:$C$35;$A116);0)")</f>
        <v>=IF($AO$2=2;COUNTIF(Interface!$C$30:$C$35;$A116);0)</v>
      </c>
      <c r="AK116" s="76"/>
      <c r="AL116" s="76"/>
      <c r="AM116" s="76" t="str">
        <f ca="1">IFERROR(__xludf.DUMMYFUNCTION("""COMPUTED_VALUE"""),"=COUNTIF(Interface!$O$18:$O$23;$A116)")</f>
        <v>=COUNTIF(Interface!$O$18:$O$23;$A116)</v>
      </c>
      <c r="AN116" s="76" t="str">
        <f ca="1">IFERROR(__xludf.DUMMYFUNCTION("""COMPUTED_VALUE"""),"=Image(""https://ddragon.leagueoflegends.com/cdn/12.22.1/img/item/1027.png"")")</f>
        <v>=Image("https://ddragon.leagueoflegends.com/cdn/12.22.1/img/item/1027.png")</v>
      </c>
      <c r="AO116" s="76" t="b">
        <f ca="1">IFERROR(__xludf.DUMMYFUNCTION("""COMPUTED_VALUE"""),FALSE)</f>
        <v>0</v>
      </c>
    </row>
    <row r="117" spans="1:41">
      <c r="A117" s="644" t="str">
        <f ca="1">IFERROR(__xludf.DUMMYFUNCTION("""COMPUTED_VALUE"""),"Seeker's Armguard")</f>
        <v>Seeker's Armguard</v>
      </c>
      <c r="B117" s="84" t="str">
        <f ca="1">IFERROR(__xludf.DUMMYFUNCTION("""COMPUTED_VALUE"""),"=1000")</f>
        <v>=1000</v>
      </c>
      <c r="C117" s="84"/>
      <c r="D117" s="84"/>
      <c r="E117" s="84"/>
      <c r="F117" s="84"/>
      <c r="G117" s="646"/>
      <c r="H117" s="84" t="str">
        <f ca="1">IFERROR(__xludf.DUMMYFUNCTION("""COMPUTED_VALUE"""),"=30")</f>
        <v>=30</v>
      </c>
      <c r="I117" s="84" t="str">
        <f ca="1">IFERROR(__xludf.DUMMYFUNCTION("""COMPUTED_VALUE"""),"=30")</f>
        <v>=30</v>
      </c>
      <c r="J117" s="84"/>
      <c r="K117" s="84"/>
      <c r="L117" s="72"/>
      <c r="M117" s="72"/>
      <c r="N117" s="72"/>
      <c r="O117" s="72"/>
      <c r="P117" s="72"/>
      <c r="Q117" s="72"/>
      <c r="R117" s="72"/>
      <c r="S117" s="72"/>
      <c r="T117" s="72"/>
      <c r="U117" s="72"/>
      <c r="V117" s="72"/>
      <c r="W117" s="72"/>
      <c r="X117" s="72"/>
      <c r="Y117" s="72"/>
      <c r="Z117" s="72"/>
      <c r="AA117" s="72"/>
      <c r="AB117" s="72"/>
      <c r="AC117" s="72"/>
      <c r="AD117" s="72"/>
      <c r="AE117" s="72"/>
      <c r="AF117" s="72"/>
      <c r="AG117" s="72"/>
      <c r="AH117" s="72"/>
      <c r="AI117" s="72" t="str">
        <f ca="1">IFERROR(__xludf.DUMMYFUNCTION("""COMPUTED_VALUE"""),"=IF($AO$2=1;COUNTIF(Interface!$C$22:$C$27;$A117);0)")</f>
        <v>=IF($AO$2=1;COUNTIF(Interface!$C$22:$C$27;$A117);0)</v>
      </c>
      <c r="AJ117" s="72" t="str">
        <f ca="1">IFERROR(__xludf.DUMMYFUNCTION("""COMPUTED_VALUE"""),"=IF($AO$2=2;COUNTIF(Interface!$C$30:$C$35;$A117);0)")</f>
        <v>=IF($AO$2=2;COUNTIF(Interface!$C$30:$C$35;$A117);0)</v>
      </c>
      <c r="AK117" s="72"/>
      <c r="AL117" s="72"/>
      <c r="AM117" s="72" t="str">
        <f ca="1">IFERROR(__xludf.DUMMYFUNCTION("""COMPUTED_VALUE"""),"=COUNTIF(Interface!$O$18:$O$23;$A117)")</f>
        <v>=COUNTIF(Interface!$O$18:$O$23;$A117)</v>
      </c>
      <c r="AN117" s="72" t="str">
        <f ca="1">IFERROR(__xludf.DUMMYFUNCTION("""COMPUTED_VALUE"""),"=Image(""https://ddragon.leagueoflegends.com/cdn/12.22.1/img/item/3191.png"")")</f>
        <v>=Image("https://ddragon.leagueoflegends.com/cdn/12.22.1/img/item/3191.png")</v>
      </c>
      <c r="AO117" s="72" t="b">
        <f ca="1">IFERROR(__xludf.DUMMYFUNCTION("""COMPUTED_VALUE"""),FALSE)</f>
        <v>0</v>
      </c>
    </row>
    <row r="118" spans="1:41">
      <c r="A118" s="643" t="str">
        <f ca="1">IFERROR(__xludf.DUMMYFUNCTION("""COMPUTED_VALUE"""),"Seraph's Embrace")</f>
        <v>Seraph's Embrace</v>
      </c>
      <c r="B118" s="78" t="str">
        <f ca="1">IFERROR(__xludf.DUMMYFUNCTION("""COMPUTED_VALUE"""),"=3000")</f>
        <v>=3000</v>
      </c>
      <c r="C118" s="78" t="str">
        <f ca="1">IFERROR(__xludf.DUMMYFUNCTION("""COMPUTED_VALUE"""),"=200")</f>
        <v>=200</v>
      </c>
      <c r="D118" s="78"/>
      <c r="E118" s="78" t="str">
        <f ca="1">IFERROR(__xludf.DUMMYFUNCTION("""COMPUTED_VALUE"""),"=860")</f>
        <v>=860</v>
      </c>
      <c r="F118" s="78"/>
      <c r="G118" s="78"/>
      <c r="H118" s="78" t="str">
        <f ca="1">IFERROR(__xludf.DUMMYFUNCTION("""COMPUTED_VALUE"""),"=70")</f>
        <v>=70</v>
      </c>
      <c r="I118" s="645"/>
      <c r="J118" s="78"/>
      <c r="K118" s="78"/>
      <c r="L118" s="76"/>
      <c r="M118" s="76" t="str">
        <f ca="1">IFERROR(__xludf.DUMMYFUNCTION("""COMPUTED_VALUE"""),"=10")</f>
        <v>=10</v>
      </c>
      <c r="N118" s="76"/>
      <c r="O118" s="76"/>
      <c r="P118" s="76"/>
      <c r="Q118" s="76"/>
      <c r="R118" s="76"/>
      <c r="S118" s="76"/>
      <c r="T118" s="76"/>
      <c r="U118" s="76"/>
      <c r="V118" s="76"/>
      <c r="W118" s="76"/>
      <c r="X118" s="76"/>
      <c r="Y118" s="76"/>
      <c r="Z118" s="76"/>
      <c r="AA118" s="76"/>
      <c r="AB118" s="76"/>
      <c r="AC118" s="76"/>
      <c r="AD118" s="76"/>
      <c r="AE118" s="76"/>
      <c r="AF118" s="76"/>
      <c r="AG118" s="76"/>
      <c r="AH118" s="76" t="str">
        <f ca="1">IFERROR(__xludf.DUMMYFUNCTION("""COMPUTED_VALUE"""),"=250 + 0,1 * Self_MP")</f>
        <v>=250 + 0,1 * Self_MP</v>
      </c>
      <c r="AI118" s="76" t="str">
        <f ca="1">IFERROR(__xludf.DUMMYFUNCTION("""COMPUTED_VALUE"""),"=IF($AO$2=1;COUNTIF(Interface!$C$22:$C$27;$A118);0)")</f>
        <v>=IF($AO$2=1;COUNTIF(Interface!$C$22:$C$27;$A118);0)</v>
      </c>
      <c r="AJ118" s="76" t="str">
        <f ca="1">IFERROR(__xludf.DUMMYFUNCTION("""COMPUTED_VALUE"""),"=IF($AO$2=2;COUNTIF(Interface!$C$30:$C$35;$A118);0)")</f>
        <v>=IF($AO$2=2;COUNTIF(Interface!$C$30:$C$35;$A118);0)</v>
      </c>
      <c r="AK118" s="76"/>
      <c r="AL118" s="76"/>
      <c r="AM118" s="76" t="str">
        <f ca="1">IFERROR(__xludf.DUMMYFUNCTION("""COMPUTED_VALUE"""),"=COUNTIF(Interface!$O$18:$O$23;$A118)")</f>
        <v>=COUNTIF(Interface!$O$18:$O$23;$A118)</v>
      </c>
      <c r="AN118" s="76" t="str">
        <f ca="1">IFERROR(__xludf.DUMMYFUNCTION("""COMPUTED_VALUE"""),"=Image(""https://ddragon.leagueoflegends.com/cdn/12.22.1/img/item/3040.png"")")</f>
        <v>=Image("https://ddragon.leagueoflegends.com/cdn/12.22.1/img/item/3040.png")</v>
      </c>
      <c r="AO118" s="76" t="b">
        <f ca="1">IFERROR(__xludf.DUMMYFUNCTION("""COMPUTED_VALUE"""),TRUE)</f>
        <v>1</v>
      </c>
    </row>
    <row r="119" spans="1:41">
      <c r="A119" s="644" t="str">
        <f ca="1">IFERROR(__xludf.DUMMYFUNCTION("""COMPUTED_VALUE"""),"Serpent's Fang")</f>
        <v>Serpent's Fang</v>
      </c>
      <c r="B119" s="84" t="str">
        <f ca="1">IFERROR(__xludf.DUMMYFUNCTION("""COMPUTED_VALUE"""),"=2600")</f>
        <v>=2600</v>
      </c>
      <c r="C119" s="84"/>
      <c r="D119" s="84"/>
      <c r="E119" s="84"/>
      <c r="F119" s="84"/>
      <c r="G119" s="84" t="str">
        <f ca="1">IFERROR(__xludf.DUMMYFUNCTION("""COMPUTED_VALUE"""),"=55")</f>
        <v>=55</v>
      </c>
      <c r="H119" s="84"/>
      <c r="I119" s="84"/>
      <c r="J119" s="84"/>
      <c r="K119" s="84"/>
      <c r="L119" s="72"/>
      <c r="M119" s="72"/>
      <c r="N119" s="72"/>
      <c r="O119" s="72" t="str">
        <f ca="1">IFERROR(__xludf.DUMMYFUNCTION("""COMPUTED_VALUE"""),"=12")</f>
        <v>=12</v>
      </c>
      <c r="P119" s="72"/>
      <c r="Q119" s="72"/>
      <c r="R119" s="72"/>
      <c r="S119" s="72"/>
      <c r="T119" s="72"/>
      <c r="U119" s="72"/>
      <c r="V119" s="72"/>
      <c r="W119" s="72"/>
      <c r="X119" s="72"/>
      <c r="Y119" s="72"/>
      <c r="Z119" s="72"/>
      <c r="AA119" s="72"/>
      <c r="AB119" s="72"/>
      <c r="AC119" s="72"/>
      <c r="AD119" s="72"/>
      <c r="AE119" s="72"/>
      <c r="AF119" s="72"/>
      <c r="AG119" s="72"/>
      <c r="AH119" s="72"/>
      <c r="AI119" s="72" t="str">
        <f ca="1">IFERROR(__xludf.DUMMYFUNCTION("""COMPUTED_VALUE"""),"=IF($AO$2=1;COUNTIF(Interface!$C$22:$C$27;$A119);0)")</f>
        <v>=IF($AO$2=1;COUNTIF(Interface!$C$22:$C$27;$A119);0)</v>
      </c>
      <c r="AJ119" s="72" t="str">
        <f ca="1">IFERROR(__xludf.DUMMYFUNCTION("""COMPUTED_VALUE"""),"=IF($AO$2=2;COUNTIF(Interface!$C$30:$C$35;$A119);0)")</f>
        <v>=IF($AO$2=2;COUNTIF(Interface!$C$30:$C$35;$A119);0)</v>
      </c>
      <c r="AK119" s="72"/>
      <c r="AL119" s="72"/>
      <c r="AM119" s="72" t="str">
        <f ca="1">IFERROR(__xludf.DUMMYFUNCTION("""COMPUTED_VALUE"""),"=COUNTIF(Interface!$O$18:$O$23;$A119)")</f>
        <v>=COUNTIF(Interface!$O$18:$O$23;$A119)</v>
      </c>
      <c r="AN119" s="72" t="str">
        <f ca="1">IFERROR(__xludf.DUMMYFUNCTION("""COMPUTED_VALUE"""),"=Image(""https://ddragon.leagueoflegends.com/cdn/12.22.1/img/item/6695.png"")")</f>
        <v>=Image("https://ddragon.leagueoflegends.com/cdn/12.22.1/img/item/6695.png")</v>
      </c>
      <c r="AO119" s="72" t="b">
        <f ca="1">IFERROR(__xludf.DUMMYFUNCTION("""COMPUTED_VALUE"""),TRUE)</f>
        <v>1</v>
      </c>
    </row>
    <row r="120" spans="1:41">
      <c r="A120" s="643" t="str">
        <f ca="1">IFERROR(__xludf.DUMMYFUNCTION("""COMPUTED_VALUE"""),"Serrated Dirk")</f>
        <v>Serrated Dirk</v>
      </c>
      <c r="B120" s="78" t="str">
        <f ca="1">IFERROR(__xludf.DUMMYFUNCTION("""COMPUTED_VALUE"""),"=1100")</f>
        <v>=1100</v>
      </c>
      <c r="C120" s="78"/>
      <c r="D120" s="78"/>
      <c r="E120" s="78"/>
      <c r="F120" s="78"/>
      <c r="G120" s="78" t="str">
        <f ca="1">IFERROR(__xludf.DUMMYFUNCTION("""COMPUTED_VALUE"""),"=30")</f>
        <v>=30</v>
      </c>
      <c r="H120" s="645"/>
      <c r="I120" s="78"/>
      <c r="J120" s="78"/>
      <c r="K120" s="78"/>
      <c r="L120" s="76"/>
      <c r="M120" s="76"/>
      <c r="N120" s="76"/>
      <c r="O120" s="76" t="str">
        <f ca="1">IFERROR(__xludf.DUMMYFUNCTION("""COMPUTED_VALUE"""),"=10")</f>
        <v>=10</v>
      </c>
      <c r="P120" s="76"/>
      <c r="Q120" s="76"/>
      <c r="R120" s="76"/>
      <c r="S120" s="76"/>
      <c r="T120" s="76"/>
      <c r="U120" s="76"/>
      <c r="V120" s="76"/>
      <c r="W120" s="76"/>
      <c r="X120" s="76"/>
      <c r="Y120" s="76"/>
      <c r="Z120" s="76"/>
      <c r="AA120" s="76"/>
      <c r="AB120" s="76"/>
      <c r="AC120" s="76"/>
      <c r="AD120" s="76"/>
      <c r="AE120" s="76"/>
      <c r="AF120" s="76"/>
      <c r="AG120" s="76"/>
      <c r="AH120" s="76"/>
      <c r="AI120" s="76" t="str">
        <f ca="1">IFERROR(__xludf.DUMMYFUNCTION("""COMPUTED_VALUE"""),"=IF($AO$2=1;COUNTIF(Interface!$C$22:$C$27;$A120);0)")</f>
        <v>=IF($AO$2=1;COUNTIF(Interface!$C$22:$C$27;$A120);0)</v>
      </c>
      <c r="AJ120" s="76" t="str">
        <f ca="1">IFERROR(__xludf.DUMMYFUNCTION("""COMPUTED_VALUE"""),"=IF($AO$2=2;COUNTIF(Interface!$C$30:$C$35;$A120);0)")</f>
        <v>=IF($AO$2=2;COUNTIF(Interface!$C$30:$C$35;$A120);0)</v>
      </c>
      <c r="AK120" s="76"/>
      <c r="AL120" s="76"/>
      <c r="AM120" s="76" t="str">
        <f ca="1">IFERROR(__xludf.DUMMYFUNCTION("""COMPUTED_VALUE"""),"=COUNTIF(Interface!$O$18:$O$23;$A120)")</f>
        <v>=COUNTIF(Interface!$O$18:$O$23;$A120)</v>
      </c>
      <c r="AN120" s="76" t="str">
        <f ca="1">IFERROR(__xludf.DUMMYFUNCTION("""COMPUTED_VALUE"""),"=Image(""https://ddragon.leagueoflegends.com/cdn/12.22.1/img/item/3134.png"")")</f>
        <v>=Image("https://ddragon.leagueoflegends.com/cdn/12.22.1/img/item/3134.png")</v>
      </c>
      <c r="AO120" s="76" t="b">
        <f ca="1">IFERROR(__xludf.DUMMYFUNCTION("""COMPUTED_VALUE"""),FALSE)</f>
        <v>0</v>
      </c>
    </row>
    <row r="121" spans="1:41">
      <c r="A121" s="644" t="str">
        <f ca="1">IFERROR(__xludf.DUMMYFUNCTION("""COMPUTED_VALUE"""),"Serylda's Grudge")</f>
        <v>Serylda's Grudge</v>
      </c>
      <c r="B121" s="84" t="str">
        <f ca="1">IFERROR(__xludf.DUMMYFUNCTION("""COMPUTED_VALUE"""),"=3200")</f>
        <v>=3200</v>
      </c>
      <c r="C121" s="84"/>
      <c r="D121" s="84"/>
      <c r="E121" s="84"/>
      <c r="F121" s="84"/>
      <c r="G121" s="646" t="str">
        <f ca="1">IFERROR(__xludf.DUMMYFUNCTION("""COMPUTED_VALUE"""),"=45")</f>
        <v>=45</v>
      </c>
      <c r="H121" s="646"/>
      <c r="I121" s="84"/>
      <c r="J121" s="84"/>
      <c r="K121" s="84"/>
      <c r="L121" s="72"/>
      <c r="M121" s="72" t="str">
        <f ca="1">IFERROR(__xludf.DUMMYFUNCTION("""COMPUTED_VALUE"""),"=20")</f>
        <v>=20</v>
      </c>
      <c r="N121" s="72"/>
      <c r="O121" s="72"/>
      <c r="P121" s="72"/>
      <c r="Q121" s="72"/>
      <c r="R121" s="72"/>
      <c r="S121" s="72"/>
      <c r="T121" s="72"/>
      <c r="U121" s="72"/>
      <c r="V121" s="72"/>
      <c r="W121" s="72"/>
      <c r="X121" s="72"/>
      <c r="Y121" s="72" t="str">
        <f ca="1">IFERROR(__xludf.DUMMYFUNCTION("""COMPUTED_VALUE"""),"=30")</f>
        <v>=30</v>
      </c>
      <c r="Z121" s="72"/>
      <c r="AA121" s="72"/>
      <c r="AB121" s="72"/>
      <c r="AC121" s="72"/>
      <c r="AD121" s="72"/>
      <c r="AE121" s="72"/>
      <c r="AF121" s="72"/>
      <c r="AG121" s="72"/>
      <c r="AH121" s="72"/>
      <c r="AI121" s="72" t="str">
        <f ca="1">IFERROR(__xludf.DUMMYFUNCTION("""COMPUTED_VALUE"""),"=IF($AO$2=1;COUNTIF(Interface!$C$22:$C$27;$A121);0)")</f>
        <v>=IF($AO$2=1;COUNTIF(Interface!$C$22:$C$27;$A121);0)</v>
      </c>
      <c r="AJ121" s="72" t="str">
        <f ca="1">IFERROR(__xludf.DUMMYFUNCTION("""COMPUTED_VALUE"""),"=IF($AO$2=2;COUNTIF(Interface!$C$30:$C$35;$A121);0)")</f>
        <v>=IF($AO$2=2;COUNTIF(Interface!$C$30:$C$35;$A121);0)</v>
      </c>
      <c r="AK121" s="72"/>
      <c r="AL121" s="72"/>
      <c r="AM121" s="72" t="str">
        <f ca="1">IFERROR(__xludf.DUMMYFUNCTION("""COMPUTED_VALUE"""),"=COUNTIF(Interface!$O$18:$O$23;$A121)")</f>
        <v>=COUNTIF(Interface!$O$18:$O$23;$A121)</v>
      </c>
      <c r="AN121" s="72" t="str">
        <f ca="1">IFERROR(__xludf.DUMMYFUNCTION("""COMPUTED_VALUE"""),"=Image(""https://ddragon.leagueoflegends.com/cdn/12.22.1/img/item/6694.png"")")</f>
        <v>=Image("https://ddragon.leagueoflegends.com/cdn/12.22.1/img/item/6694.png")</v>
      </c>
      <c r="AO121" s="72" t="b">
        <f ca="1">IFERROR(__xludf.DUMMYFUNCTION("""COMPUTED_VALUE"""),TRUE)</f>
        <v>1</v>
      </c>
    </row>
    <row r="122" spans="1:41">
      <c r="A122" s="643" t="str">
        <f ca="1">IFERROR(__xludf.DUMMYFUNCTION("""COMPUTED_VALUE"""),"Shadowflame")</f>
        <v>Shadowflame</v>
      </c>
      <c r="B122" s="78" t="str">
        <f ca="1">IFERROR(__xludf.DUMMYFUNCTION("""COMPUTED_VALUE"""),"=3000")</f>
        <v>=3000</v>
      </c>
      <c r="C122" s="78" t="str">
        <f ca="1">IFERROR(__xludf.DUMMYFUNCTION("""COMPUTED_VALUE"""),"=200")</f>
        <v>=200</v>
      </c>
      <c r="D122" s="78"/>
      <c r="E122" s="78"/>
      <c r="F122" s="78"/>
      <c r="G122" s="645"/>
      <c r="H122" s="645" t="str">
        <f ca="1">IFERROR(__xludf.DUMMYFUNCTION("""COMPUTED_VALUE"""),"=100")</f>
        <v>=100</v>
      </c>
      <c r="I122" s="645"/>
      <c r="J122" s="78"/>
      <c r="K122" s="78"/>
      <c r="L122" s="76"/>
      <c r="M122" s="76"/>
      <c r="N122" s="76"/>
      <c r="O122" s="76"/>
      <c r="P122" s="76" t="str">
        <f ca="1">IFERROR(__xludf.DUMMYFUNCTION("""COMPUTED_VALUE"""),"=10 + 10 * IF(OR(E_CHPV &lt;= 1000; Steroid_Items); 1; IF(E_CHPV &gt;= 2500; 0; 1 - (E_CHPV - 1000) / (1500)))")</f>
        <v>=10 + 10 * IF(OR(E_CHPV &lt;= 1000; Steroid_Items); 1; IF(E_CHPV &gt;= 2500; 0; 1 - (E_CHPV - 1000) / (1500)))</v>
      </c>
      <c r="Q122" s="76"/>
      <c r="R122" s="76"/>
      <c r="S122" s="76"/>
      <c r="T122" s="76"/>
      <c r="U122" s="76"/>
      <c r="V122" s="76"/>
      <c r="W122" s="76"/>
      <c r="X122" s="76"/>
      <c r="Y122" s="76"/>
      <c r="Z122" s="76"/>
      <c r="AA122" s="76"/>
      <c r="AB122" s="76"/>
      <c r="AC122" s="76"/>
      <c r="AD122" s="76"/>
      <c r="AE122" s="76"/>
      <c r="AF122" s="76"/>
      <c r="AG122" s="76"/>
      <c r="AH122" s="76"/>
      <c r="AI122" s="76" t="str">
        <f ca="1">IFERROR(__xludf.DUMMYFUNCTION("""COMPUTED_VALUE"""),"=IF($AO$2=1;COUNTIF(Interface!$C$22:$C$27;$A122);0)")</f>
        <v>=IF($AO$2=1;COUNTIF(Interface!$C$22:$C$27;$A122);0)</v>
      </c>
      <c r="AJ122" s="76" t="str">
        <f ca="1">IFERROR(__xludf.DUMMYFUNCTION("""COMPUTED_VALUE"""),"=IF($AO$2=2;COUNTIF(Interface!$C$30:$C$35;$A122);0)")</f>
        <v>=IF($AO$2=2;COUNTIF(Interface!$C$30:$C$35;$A122);0)</v>
      </c>
      <c r="AK122" s="76"/>
      <c r="AL122" s="76"/>
      <c r="AM122" s="76" t="str">
        <f ca="1">IFERROR(__xludf.DUMMYFUNCTION("""COMPUTED_VALUE"""),"=COUNTIF(Interface!$O$18:$O$23;$A122)")</f>
        <v>=COUNTIF(Interface!$O$18:$O$23;$A122)</v>
      </c>
      <c r="AN122" s="76" t="str">
        <f ca="1">IFERROR(__xludf.DUMMYFUNCTION("""COMPUTED_VALUE"""),"=Image(""https://ddragon.leagueoflegends.com/cdn/12.22.1/img/item/4645.png"")")</f>
        <v>=Image("https://ddragon.leagueoflegends.com/cdn/12.22.1/img/item/4645.png")</v>
      </c>
      <c r="AO122" s="76" t="b">
        <f ca="1">IFERROR(__xludf.DUMMYFUNCTION("""COMPUTED_VALUE"""),TRUE)</f>
        <v>1</v>
      </c>
    </row>
    <row r="123" spans="1:41">
      <c r="A123" s="644" t="str">
        <f ca="1">IFERROR(__xludf.DUMMYFUNCTION("""COMPUTED_VALUE"""),"Shard of True Ice")</f>
        <v>Shard of True Ice</v>
      </c>
      <c r="B123" s="84" t="str">
        <f ca="1">IFERROR(__xludf.DUMMYFUNCTION("""COMPUTED_VALUE"""),"=400")</f>
        <v>=400</v>
      </c>
      <c r="C123" s="84" t="str">
        <f ca="1">IFERROR(__xludf.DUMMYFUNCTION("""COMPUTED_VALUE"""),"=75")</f>
        <v>=75</v>
      </c>
      <c r="D123" s="84"/>
      <c r="E123" s="84"/>
      <c r="F123" s="84" t="str">
        <f ca="1">IFERROR(__xludf.DUMMYFUNCTION("""COMPUTED_VALUE"""),"=1")</f>
        <v>=1</v>
      </c>
      <c r="G123" s="84"/>
      <c r="H123" s="84" t="str">
        <f ca="1">IFERROR(__xludf.DUMMYFUNCTION("""COMPUTED_VALUE"""),"=40")</f>
        <v>=40</v>
      </c>
      <c r="I123" s="84"/>
      <c r="J123" s="84"/>
      <c r="K123" s="84"/>
      <c r="L123" s="72"/>
      <c r="M123" s="72"/>
      <c r="N123" s="72"/>
      <c r="O123" s="72"/>
      <c r="P123" s="72"/>
      <c r="Q123" s="72"/>
      <c r="R123" s="72"/>
      <c r="S123" s="72"/>
      <c r="T123" s="72"/>
      <c r="U123" s="72"/>
      <c r="V123" s="72"/>
      <c r="W123" s="72"/>
      <c r="X123" s="72"/>
      <c r="Y123" s="72"/>
      <c r="Z123" s="72"/>
      <c r="AA123" s="72"/>
      <c r="AB123" s="72"/>
      <c r="AC123" s="72"/>
      <c r="AD123" s="72"/>
      <c r="AE123" s="72"/>
      <c r="AF123" s="72"/>
      <c r="AG123" s="72"/>
      <c r="AH123" s="72"/>
      <c r="AI123" s="72" t="str">
        <f ca="1">IFERROR(__xludf.DUMMYFUNCTION("""COMPUTED_VALUE"""),"=IF($AO$2=1;COUNTIF(Interface!$C$22:$C$27;$A123);0)")</f>
        <v>=IF($AO$2=1;COUNTIF(Interface!$C$22:$C$27;$A123);0)</v>
      </c>
      <c r="AJ123" s="72" t="str">
        <f ca="1">IFERROR(__xludf.DUMMYFUNCTION("""COMPUTED_VALUE"""),"=IF($AO$2=2;COUNTIF(Interface!$C$30:$C$35;$A123);0)")</f>
        <v>=IF($AO$2=2;COUNTIF(Interface!$C$30:$C$35;$A123);0)</v>
      </c>
      <c r="AK123" s="72"/>
      <c r="AL123" s="72"/>
      <c r="AM123" s="72" t="str">
        <f ca="1">IFERROR(__xludf.DUMMYFUNCTION("""COMPUTED_VALUE"""),"=COUNTIF(Interface!$O$18:$O$23;$A123)")</f>
        <v>=COUNTIF(Interface!$O$18:$O$23;$A123)</v>
      </c>
      <c r="AN123" s="72" t="str">
        <f ca="1">IFERROR(__xludf.DUMMYFUNCTION("""COMPUTED_VALUE"""),"=Image(""https://ddragon.leagueoflegends.com/cdn/12.22.1/img/item/3853.png"")")</f>
        <v>=Image("https://ddragon.leagueoflegends.com/cdn/12.22.1/img/item/3853.png")</v>
      </c>
      <c r="AO123" s="72" t="b">
        <f ca="1">IFERROR(__xludf.DUMMYFUNCTION("""COMPUTED_VALUE"""),TRUE)</f>
        <v>1</v>
      </c>
    </row>
    <row r="124" spans="1:41">
      <c r="A124" s="643" t="str">
        <f ca="1">IFERROR(__xludf.DUMMYFUNCTION("""COMPUTED_VALUE"""),"Sheen")</f>
        <v>Sheen</v>
      </c>
      <c r="B124" s="78" t="str">
        <f ca="1">IFERROR(__xludf.DUMMYFUNCTION("""COMPUTED_VALUE"""),"=700")</f>
        <v>=700</v>
      </c>
      <c r="C124" s="78"/>
      <c r="D124" s="78"/>
      <c r="E124" s="78"/>
      <c r="F124" s="78"/>
      <c r="G124" s="78"/>
      <c r="H124" s="78"/>
      <c r="I124" s="78"/>
      <c r="J124" s="78"/>
      <c r="K124" s="78"/>
      <c r="L124" s="76"/>
      <c r="M124" s="76"/>
      <c r="N124" s="76"/>
      <c r="O124" s="76"/>
      <c r="P124" s="76"/>
      <c r="Q124" s="76"/>
      <c r="R124" s="76"/>
      <c r="S124" s="76"/>
      <c r="T124" s="76"/>
      <c r="U124" s="76"/>
      <c r="V124" s="76"/>
      <c r="W124" s="76"/>
      <c r="X124" s="76" t="str">
        <f ca="1">IFERROR(__xludf.DUMMYFUNCTION("""COMPUTED_VALUE"""),"=Self_BaAD*MOD_Phys")</f>
        <v>=Self_BaAD*MOD_Phys</v>
      </c>
      <c r="Y124" s="76"/>
      <c r="Z124" s="76"/>
      <c r="AA124" s="76"/>
      <c r="AB124" s="76"/>
      <c r="AC124" s="76"/>
      <c r="AD124" s="76"/>
      <c r="AE124" s="76"/>
      <c r="AF124" s="76"/>
      <c r="AG124" s="76"/>
      <c r="AH124" s="76"/>
      <c r="AI124" s="76" t="str">
        <f ca="1">IFERROR(__xludf.DUMMYFUNCTION("""COMPUTED_VALUE"""),"=IF($AO$2=1;COUNTIF(Interface!$C$22:$C$27;$A124);0)")</f>
        <v>=IF($AO$2=1;COUNTIF(Interface!$C$22:$C$27;$A124);0)</v>
      </c>
      <c r="AJ124" s="76" t="str">
        <f ca="1">IFERROR(__xludf.DUMMYFUNCTION("""COMPUTED_VALUE"""),"=IF($AO$2=2;COUNTIF(Interface!$C$30:$C$35;$A124);0)")</f>
        <v>=IF($AO$2=2;COUNTIF(Interface!$C$30:$C$35;$A124);0)</v>
      </c>
      <c r="AK124" s="76"/>
      <c r="AL124" s="76"/>
      <c r="AM124" s="76" t="str">
        <f ca="1">IFERROR(__xludf.DUMMYFUNCTION("""COMPUTED_VALUE"""),"=COUNTIF(Interface!$O$18:$O$23;$A124)")</f>
        <v>=COUNTIF(Interface!$O$18:$O$23;$A124)</v>
      </c>
      <c r="AN124" s="76" t="str">
        <f ca="1">IFERROR(__xludf.DUMMYFUNCTION("""COMPUTED_VALUE"""),"=Image(""https://ddragon.leagueoflegends.com/cdn/12.22.1/img/item/3057.png"")")</f>
        <v>=Image("https://ddragon.leagueoflegends.com/cdn/12.22.1/img/item/3057.png")</v>
      </c>
      <c r="AO124" s="76" t="b">
        <f ca="1">IFERROR(__xludf.DUMMYFUNCTION("""COMPUTED_VALUE"""),FALSE)</f>
        <v>0</v>
      </c>
    </row>
    <row r="125" spans="1:41">
      <c r="A125" s="644" t="str">
        <f ca="1">IFERROR(__xludf.DUMMYFUNCTION("""COMPUTED_VALUE"""),"Silvermere Dawn")</f>
        <v>Silvermere Dawn</v>
      </c>
      <c r="B125" s="84" t="str">
        <f ca="1">IFERROR(__xludf.DUMMYFUNCTION("""COMPUTED_VALUE"""),"=3000")</f>
        <v>=3000</v>
      </c>
      <c r="C125" s="84" t="str">
        <f ca="1">IFERROR(__xludf.DUMMYFUNCTION("""COMPUTED_VALUE"""),"=300")</f>
        <v>=300</v>
      </c>
      <c r="D125" s="84"/>
      <c r="E125" s="84"/>
      <c r="F125" s="84"/>
      <c r="G125" s="646" t="str">
        <f ca="1">IFERROR(__xludf.DUMMYFUNCTION("""COMPUTED_VALUE"""),"=40")</f>
        <v>=40</v>
      </c>
      <c r="H125" s="84"/>
      <c r="I125" s="84"/>
      <c r="J125" s="84" t="str">
        <f ca="1">IFERROR(__xludf.DUMMYFUNCTION("""COMPUTED_VALUE"""),"=40")</f>
        <v>=40</v>
      </c>
      <c r="K125" s="84"/>
      <c r="L125" s="72"/>
      <c r="M125" s="72"/>
      <c r="N125" s="72"/>
      <c r="O125" s="72"/>
      <c r="P125" s="72"/>
      <c r="Q125" s="72"/>
      <c r="R125" s="72"/>
      <c r="S125" s="72"/>
      <c r="T125" s="72"/>
      <c r="U125" s="72"/>
      <c r="V125" s="72"/>
      <c r="W125" s="72"/>
      <c r="X125" s="72"/>
      <c r="Y125" s="72"/>
      <c r="Z125" s="72"/>
      <c r="AA125" s="72"/>
      <c r="AB125" s="72"/>
      <c r="AC125" s="72"/>
      <c r="AD125" s="72"/>
      <c r="AE125" s="72"/>
      <c r="AF125" s="72"/>
      <c r="AG125" s="72"/>
      <c r="AH125" s="72"/>
      <c r="AI125" s="72" t="str">
        <f ca="1">IFERROR(__xludf.DUMMYFUNCTION("""COMPUTED_VALUE"""),"=IF($AO$2=1;COUNTIF(Interface!$C$22:$C$27;$A125);0)")</f>
        <v>=IF($AO$2=1;COUNTIF(Interface!$C$22:$C$27;$A125);0)</v>
      </c>
      <c r="AJ125" s="72" t="str">
        <f ca="1">IFERROR(__xludf.DUMMYFUNCTION("""COMPUTED_VALUE"""),"=IF($AO$2=2;COUNTIF(Interface!$C$30:$C$35;$A125);0)")</f>
        <v>=IF($AO$2=2;COUNTIF(Interface!$C$30:$C$35;$A125);0)</v>
      </c>
      <c r="AK125" s="72"/>
      <c r="AL125" s="72"/>
      <c r="AM125" s="72" t="str">
        <f ca="1">IFERROR(__xludf.DUMMYFUNCTION("""COMPUTED_VALUE"""),"=COUNTIF(Interface!$O$18:$O$23;$A125)")</f>
        <v>=COUNTIF(Interface!$O$18:$O$23;$A125)</v>
      </c>
      <c r="AN125" s="72" t="str">
        <f ca="1">IFERROR(__xludf.DUMMYFUNCTION("""COMPUTED_VALUE"""),"=Image(""https://ddragon.leagueoflegends.com/cdn/12.22.1/img/item/6035.png"")")</f>
        <v>=Image("https://ddragon.leagueoflegends.com/cdn/12.22.1/img/item/6035.png")</v>
      </c>
      <c r="AO125" s="72" t="b">
        <f ca="1">IFERROR(__xludf.DUMMYFUNCTION("""COMPUTED_VALUE"""),TRUE)</f>
        <v>1</v>
      </c>
    </row>
    <row r="126" spans="1:41">
      <c r="A126" s="643" t="str">
        <f ca="1">IFERROR(__xludf.DUMMYFUNCTION("""COMPUTED_VALUE"""),"Sorcerer's Shoes")</f>
        <v>Sorcerer's Shoes</v>
      </c>
      <c r="B126" s="78" t="str">
        <f ca="1">IFERROR(__xludf.DUMMYFUNCTION("""COMPUTED_VALUE"""),"=1100")</f>
        <v>=1100</v>
      </c>
      <c r="C126" s="78"/>
      <c r="D126" s="78"/>
      <c r="E126" s="78"/>
      <c r="F126" s="78"/>
      <c r="G126" s="645"/>
      <c r="H126" s="645"/>
      <c r="I126" s="78"/>
      <c r="J126" s="78"/>
      <c r="K126" s="78"/>
      <c r="L126" s="76"/>
      <c r="M126" s="76"/>
      <c r="N126" s="76"/>
      <c r="O126" s="76"/>
      <c r="P126" s="76" t="str">
        <f ca="1">IFERROR(__xludf.DUMMYFUNCTION("""COMPUTED_VALUE"""),"=18")</f>
        <v>=18</v>
      </c>
      <c r="Q126" s="76" t="str">
        <f ca="1">IFERROR(__xludf.DUMMYFUNCTION("""COMPUTED_VALUE"""),"=45")</f>
        <v>=45</v>
      </c>
      <c r="R126" s="76"/>
      <c r="S126" s="76"/>
      <c r="T126" s="76"/>
      <c r="U126" s="76"/>
      <c r="V126" s="76"/>
      <c r="W126" s="76"/>
      <c r="X126" s="76"/>
      <c r="Y126" s="76"/>
      <c r="Z126" s="76"/>
      <c r="AA126" s="76"/>
      <c r="AB126" s="76"/>
      <c r="AC126" s="76"/>
      <c r="AD126" s="76"/>
      <c r="AE126" s="76"/>
      <c r="AF126" s="76"/>
      <c r="AG126" s="76"/>
      <c r="AH126" s="76"/>
      <c r="AI126" s="76" t="str">
        <f ca="1">IFERROR(__xludf.DUMMYFUNCTION("""COMPUTED_VALUE"""),"=IF($AO$2=1;COUNTIF(Interface!$C$22:$C$27;$A126);0)")</f>
        <v>=IF($AO$2=1;COUNTIF(Interface!$C$22:$C$27;$A126);0)</v>
      </c>
      <c r="AJ126" s="76" t="str">
        <f ca="1">IFERROR(__xludf.DUMMYFUNCTION("""COMPUTED_VALUE"""),"=IF($AO$2=2;COUNTIF(Interface!$C$30:$C$35;$A126);0)")</f>
        <v>=IF($AO$2=2;COUNTIF(Interface!$C$30:$C$35;$A126);0)</v>
      </c>
      <c r="AK126" s="76"/>
      <c r="AL126" s="76"/>
      <c r="AM126" s="76" t="str">
        <f ca="1">IFERROR(__xludf.DUMMYFUNCTION("""COMPUTED_VALUE"""),"=COUNTIF(Interface!$O$18:$O$23;$A126)")</f>
        <v>=COUNTIF(Interface!$O$18:$O$23;$A126)</v>
      </c>
      <c r="AN126" s="76" t="str">
        <f ca="1">IFERROR(__xludf.DUMMYFUNCTION("""COMPUTED_VALUE"""),"=Image(""https://ddragon.leagueoflegends.com/cdn/12.22.1/img/item/3020.png"")")</f>
        <v>=Image("https://ddragon.leagueoflegends.com/cdn/12.22.1/img/item/3020.png")</v>
      </c>
      <c r="AO126" s="76" t="b">
        <f ca="1">IFERROR(__xludf.DUMMYFUNCTION("""COMPUTED_VALUE"""),FALSE)</f>
        <v>0</v>
      </c>
    </row>
    <row r="127" spans="1:41">
      <c r="A127" s="644" t="str">
        <f ca="1">IFERROR(__xludf.DUMMYFUNCTION("""COMPUTED_VALUE"""),"Spear of Shojin")</f>
        <v>Spear of Shojin</v>
      </c>
      <c r="B127" s="84" t="str">
        <f ca="1">IFERROR(__xludf.DUMMYFUNCTION("""COMPUTED_VALUE"""),"=3400")</f>
        <v>=3400</v>
      </c>
      <c r="C127" s="84" t="str">
        <f ca="1">IFERROR(__xludf.DUMMYFUNCTION("""COMPUTED_VALUE"""),"=300")</f>
        <v>=300</v>
      </c>
      <c r="D127" s="84"/>
      <c r="E127" s="84"/>
      <c r="F127" s="84"/>
      <c r="G127" s="646" t="str">
        <f ca="1">IFERROR(__xludf.DUMMYFUNCTION("""COMPUTED_VALUE"""),"=65")</f>
        <v>=65</v>
      </c>
      <c r="H127" s="84"/>
      <c r="I127" s="84"/>
      <c r="J127" s="84"/>
      <c r="K127" s="84"/>
      <c r="L127" s="72"/>
      <c r="M127" s="72" t="str">
        <f ca="1">IFERROR(__xludf.DUMMYFUNCTION("""COMPUTED_VALUE"""),"=20")</f>
        <v>=20</v>
      </c>
      <c r="N127" s="72"/>
      <c r="O127" s="72"/>
      <c r="P127" s="72"/>
      <c r="Q127" s="72"/>
      <c r="R127" s="72"/>
      <c r="S127" s="72"/>
      <c r="T127" s="72"/>
      <c r="U127" s="72"/>
      <c r="V127" s="72"/>
      <c r="W127" s="72"/>
      <c r="X127" s="72"/>
      <c r="Y127" s="72"/>
      <c r="Z127" s="72"/>
      <c r="AA127" s="72"/>
      <c r="AB127" s="72"/>
      <c r="AC127" s="72"/>
      <c r="AD127" s="72"/>
      <c r="AE127" s="72"/>
      <c r="AF127" s="72"/>
      <c r="AG127" s="72"/>
      <c r="AH127" s="72"/>
      <c r="AI127" s="72" t="str">
        <f ca="1">IFERROR(__xludf.DUMMYFUNCTION("""COMPUTED_VALUE"""),"=IF($AO$2=1;COUNTIF(Interface!$C$22:$C$27;$A127);0)")</f>
        <v>=IF($AO$2=1;COUNTIF(Interface!$C$22:$C$27;$A127);0)</v>
      </c>
      <c r="AJ127" s="72" t="str">
        <f ca="1">IFERROR(__xludf.DUMMYFUNCTION("""COMPUTED_VALUE"""),"=IF($AO$2=2;COUNTIF(Interface!$C$30:$C$35;$A127);0)")</f>
        <v>=IF($AO$2=2;COUNTIF(Interface!$C$30:$C$35;$A127);0)</v>
      </c>
      <c r="AK127" s="72"/>
      <c r="AL127" s="72"/>
      <c r="AM127" s="72" t="str">
        <f ca="1">IFERROR(__xludf.DUMMYFUNCTION("""COMPUTED_VALUE"""),"=COUNTIF(Interface!$O$18:$O$23;$A127)")</f>
        <v>=COUNTIF(Interface!$O$18:$O$23;$A127)</v>
      </c>
      <c r="AN127" s="72" t="str">
        <f ca="1">IFERROR(__xludf.DUMMYFUNCTION("""COMPUTED_VALUE"""),"=Image(""https://ddragon.leagueoflegends.com/cdn/12.22.1/img/item/3161.png"")")</f>
        <v>=Image("https://ddragon.leagueoflegends.com/cdn/12.22.1/img/item/3161.png")</v>
      </c>
      <c r="AO127" s="72" t="b">
        <f ca="1">IFERROR(__xludf.DUMMYFUNCTION("""COMPUTED_VALUE"""),TRUE)</f>
        <v>1</v>
      </c>
    </row>
    <row r="128" spans="1:41">
      <c r="A128" s="643" t="str">
        <f ca="1">IFERROR(__xludf.DUMMYFUNCTION("""COMPUTED_VALUE"""),"Spectral Sickle")</f>
        <v>Spectral Sickle</v>
      </c>
      <c r="B128" s="78" t="str">
        <f ca="1">IFERROR(__xludf.DUMMYFUNCTION("""COMPUTED_VALUE"""),"=400")</f>
        <v>=400</v>
      </c>
      <c r="C128" s="78" t="str">
        <f ca="1">IFERROR(__xludf.DUMMYFUNCTION("""COMPUTED_VALUE"""),"=10")</f>
        <v>=10</v>
      </c>
      <c r="D128" s="78"/>
      <c r="E128" s="78"/>
      <c r="F128" s="78" t="str">
        <f ca="1">IFERROR(__xludf.DUMMYFUNCTION("""COMPUTED_VALUE"""),"=0,25")</f>
        <v>=0,25</v>
      </c>
      <c r="G128" s="645" t="str">
        <f ca="1">IFERROR(__xludf.DUMMYFUNCTION("""COMPUTED_VALUE"""),"=5")</f>
        <v>=5</v>
      </c>
      <c r="H128" s="78"/>
      <c r="I128" s="78"/>
      <c r="J128" s="645"/>
      <c r="K128" s="78"/>
      <c r="L128" s="76"/>
      <c r="M128" s="76"/>
      <c r="N128" s="76"/>
      <c r="O128" s="76"/>
      <c r="P128" s="76"/>
      <c r="Q128" s="76"/>
      <c r="R128" s="76"/>
      <c r="S128" s="76"/>
      <c r="T128" s="76"/>
      <c r="U128" s="76"/>
      <c r="V128" s="76"/>
      <c r="W128" s="76"/>
      <c r="X128" s="76"/>
      <c r="Y128" s="76"/>
      <c r="Z128" s="76"/>
      <c r="AA128" s="76"/>
      <c r="AB128" s="76"/>
      <c r="AC128" s="76"/>
      <c r="AD128" s="76"/>
      <c r="AE128" s="76"/>
      <c r="AF128" s="76"/>
      <c r="AG128" s="76"/>
      <c r="AH128" s="76"/>
      <c r="AI128" s="76" t="str">
        <f ca="1">IFERROR(__xludf.DUMMYFUNCTION("""COMPUTED_VALUE"""),"=IF($AO$2=1;COUNTIF(Interface!$C$22:$C$27;$A128);0)")</f>
        <v>=IF($AO$2=1;COUNTIF(Interface!$C$22:$C$27;$A128);0)</v>
      </c>
      <c r="AJ128" s="76" t="str">
        <f ca="1">IFERROR(__xludf.DUMMYFUNCTION("""COMPUTED_VALUE"""),"=IF($AO$2=2;COUNTIF(Interface!$C$30:$C$35;$A128);0)")</f>
        <v>=IF($AO$2=2;COUNTIF(Interface!$C$30:$C$35;$A128);0)</v>
      </c>
      <c r="AK128" s="76"/>
      <c r="AL128" s="76"/>
      <c r="AM128" s="76" t="str">
        <f ca="1">IFERROR(__xludf.DUMMYFUNCTION("""COMPUTED_VALUE"""),"=COUNTIF(Interface!$O$18:$O$23;$A128)")</f>
        <v>=COUNTIF(Interface!$O$18:$O$23;$A128)</v>
      </c>
      <c r="AN128" s="76" t="str">
        <f ca="1">IFERROR(__xludf.DUMMYFUNCTION("""COMPUTED_VALUE"""),"=Image(""https://ddragon.leagueoflegends.com/cdn/12.22.1/img/item/3862.png"")")</f>
        <v>=Image("https://ddragon.leagueoflegends.com/cdn/12.22.1/img/item/3862.png")</v>
      </c>
      <c r="AO128" s="76" t="b">
        <f ca="1">IFERROR(__xludf.DUMMYFUNCTION("""COMPUTED_VALUE"""),FALSE)</f>
        <v>0</v>
      </c>
    </row>
    <row r="129" spans="1:41">
      <c r="A129" s="644" t="str">
        <f ca="1">IFERROR(__xludf.DUMMYFUNCTION("""COMPUTED_VALUE"""),"Spectre's Cowl")</f>
        <v>Spectre's Cowl</v>
      </c>
      <c r="B129" s="84" t="str">
        <f ca="1">IFERROR(__xludf.DUMMYFUNCTION("""COMPUTED_VALUE"""),"=1250")</f>
        <v>=1250</v>
      </c>
      <c r="C129" s="84" t="str">
        <f ca="1">IFERROR(__xludf.DUMMYFUNCTION("""COMPUTED_VALUE"""),"=250")</f>
        <v>=250</v>
      </c>
      <c r="D129" s="84"/>
      <c r="E129" s="84"/>
      <c r="F129" s="84"/>
      <c r="G129" s="646"/>
      <c r="H129" s="646"/>
      <c r="I129" s="646"/>
      <c r="J129" s="646" t="str">
        <f ca="1">IFERROR(__xludf.DUMMYFUNCTION("""COMPUTED_VALUE"""),"=25")</f>
        <v>=25</v>
      </c>
      <c r="K129" s="84"/>
      <c r="L129" s="72"/>
      <c r="M129" s="72"/>
      <c r="N129" s="72"/>
      <c r="O129" s="72"/>
      <c r="P129" s="72"/>
      <c r="Q129" s="72"/>
      <c r="R129" s="72"/>
      <c r="S129" s="72"/>
      <c r="T129" s="72"/>
      <c r="U129" s="72"/>
      <c r="V129" s="72"/>
      <c r="W129" s="72"/>
      <c r="X129" s="72"/>
      <c r="Y129" s="72"/>
      <c r="Z129" s="72"/>
      <c r="AA129" s="72"/>
      <c r="AB129" s="72"/>
      <c r="AC129" s="72"/>
      <c r="AD129" s="72"/>
      <c r="AE129" s="72"/>
      <c r="AF129" s="72"/>
      <c r="AG129" s="72"/>
      <c r="AH129" s="72"/>
      <c r="AI129" s="72" t="str">
        <f ca="1">IFERROR(__xludf.DUMMYFUNCTION("""COMPUTED_VALUE"""),"=IF($AO$2=1;COUNTIF(Interface!$C$22:$C$27;$A129);0)")</f>
        <v>=IF($AO$2=1;COUNTIF(Interface!$C$22:$C$27;$A129);0)</v>
      </c>
      <c r="AJ129" s="72" t="str">
        <f ca="1">IFERROR(__xludf.DUMMYFUNCTION("""COMPUTED_VALUE"""),"=IF($AO$2=2;COUNTIF(Interface!$C$30:$C$35;$A129);0)")</f>
        <v>=IF($AO$2=2;COUNTIF(Interface!$C$30:$C$35;$A129);0)</v>
      </c>
      <c r="AK129" s="72"/>
      <c r="AL129" s="72"/>
      <c r="AM129" s="72" t="str">
        <f ca="1">IFERROR(__xludf.DUMMYFUNCTION("""COMPUTED_VALUE"""),"=COUNTIF(Interface!$O$18:$O$23;$A129)")</f>
        <v>=COUNTIF(Interface!$O$18:$O$23;$A129)</v>
      </c>
      <c r="AN129" s="72" t="str">
        <f ca="1">IFERROR(__xludf.DUMMYFUNCTION("""COMPUTED_VALUE"""),"=Image(""https://ddragon.leagueoflegends.com/cdn/12.22.1/img/item/3211.png"")")</f>
        <v>=Image("https://ddragon.leagueoflegends.com/cdn/12.22.1/img/item/3211.png")</v>
      </c>
      <c r="AO129" s="72" t="b">
        <f ca="1">IFERROR(__xludf.DUMMYFUNCTION("""COMPUTED_VALUE"""),FALSE)</f>
        <v>0</v>
      </c>
    </row>
    <row r="130" spans="1:41">
      <c r="A130" s="643" t="str">
        <f ca="1">IFERROR(__xludf.DUMMYFUNCTION("""COMPUTED_VALUE"""),"Spellthief's Edge")</f>
        <v>Spellthief's Edge</v>
      </c>
      <c r="B130" s="78" t="str">
        <f ca="1">IFERROR(__xludf.DUMMYFUNCTION("""COMPUTED_VALUE"""),"=400")</f>
        <v>=400</v>
      </c>
      <c r="C130" s="78" t="str">
        <f ca="1">IFERROR(__xludf.DUMMYFUNCTION("""COMPUTED_VALUE"""),"=10")</f>
        <v>=10</v>
      </c>
      <c r="D130" s="78"/>
      <c r="E130" s="78"/>
      <c r="F130" s="78" t="str">
        <f ca="1">IFERROR(__xludf.DUMMYFUNCTION("""COMPUTED_VALUE"""),"=0,25")</f>
        <v>=0,25</v>
      </c>
      <c r="G130" s="78"/>
      <c r="H130" s="78" t="str">
        <f ca="1">IFERROR(__xludf.DUMMYFUNCTION("""COMPUTED_VALUE"""),"=8")</f>
        <v>=8</v>
      </c>
      <c r="I130" s="78"/>
      <c r="J130" s="78"/>
      <c r="K130" s="78"/>
      <c r="L130" s="76"/>
      <c r="M130" s="76"/>
      <c r="N130" s="76"/>
      <c r="O130" s="76"/>
      <c r="P130" s="76"/>
      <c r="Q130" s="76"/>
      <c r="R130" s="76"/>
      <c r="S130" s="76"/>
      <c r="T130" s="76"/>
      <c r="U130" s="76"/>
      <c r="V130" s="76"/>
      <c r="W130" s="76"/>
      <c r="X130" s="76"/>
      <c r="Y130" s="76"/>
      <c r="Z130" s="76"/>
      <c r="AA130" s="76"/>
      <c r="AB130" s="76"/>
      <c r="AC130" s="76"/>
      <c r="AD130" s="76"/>
      <c r="AE130" s="76"/>
      <c r="AF130" s="76"/>
      <c r="AG130" s="76"/>
      <c r="AH130" s="76"/>
      <c r="AI130" s="76" t="str">
        <f ca="1">IFERROR(__xludf.DUMMYFUNCTION("""COMPUTED_VALUE"""),"=IF($AO$2=1;COUNTIF(Interface!$C$22:$C$27;$A130);0)")</f>
        <v>=IF($AO$2=1;COUNTIF(Interface!$C$22:$C$27;$A130);0)</v>
      </c>
      <c r="AJ130" s="76" t="str">
        <f ca="1">IFERROR(__xludf.DUMMYFUNCTION("""COMPUTED_VALUE"""),"=IF($AO$2=2;COUNTIF(Interface!$C$30:$C$35;$A130);0)")</f>
        <v>=IF($AO$2=2;COUNTIF(Interface!$C$30:$C$35;$A130);0)</v>
      </c>
      <c r="AK130" s="76"/>
      <c r="AL130" s="76"/>
      <c r="AM130" s="76" t="str">
        <f ca="1">IFERROR(__xludf.DUMMYFUNCTION("""COMPUTED_VALUE"""),"=COUNTIF(Interface!$O$18:$O$23;$A130)")</f>
        <v>=COUNTIF(Interface!$O$18:$O$23;$A130)</v>
      </c>
      <c r="AN130" s="76" t="str">
        <f ca="1">IFERROR(__xludf.DUMMYFUNCTION("""COMPUTED_VALUE"""),"=Image(""https://ddragon.leagueoflegends.com/cdn/12.22.1/img/item/3850.png"")")</f>
        <v>=Image("https://ddragon.leagueoflegends.com/cdn/12.22.1/img/item/3850.png")</v>
      </c>
      <c r="AO130" s="76" t="b">
        <f ca="1">IFERROR(__xludf.DUMMYFUNCTION("""COMPUTED_VALUE"""),FALSE)</f>
        <v>0</v>
      </c>
    </row>
    <row r="131" spans="1:41">
      <c r="A131" s="644" t="str">
        <f ca="1">IFERROR(__xludf.DUMMYFUNCTION("""COMPUTED_VALUE"""),"Spirit Visage")</f>
        <v>Spirit Visage</v>
      </c>
      <c r="B131" s="84" t="str">
        <f ca="1">IFERROR(__xludf.DUMMYFUNCTION("""COMPUTED_VALUE"""),"=2900")</f>
        <v>=2900</v>
      </c>
      <c r="C131" s="84" t="str">
        <f ca="1">IFERROR(__xludf.DUMMYFUNCTION("""COMPUTED_VALUE"""),"=450")</f>
        <v>=450</v>
      </c>
      <c r="D131" s="84"/>
      <c r="E131" s="84"/>
      <c r="F131" s="84"/>
      <c r="G131" s="84"/>
      <c r="H131" s="84"/>
      <c r="I131" s="84"/>
      <c r="J131" s="84" t="str">
        <f ca="1">IFERROR(__xludf.DUMMYFUNCTION("""COMPUTED_VALUE"""),"=50")</f>
        <v>=50</v>
      </c>
      <c r="K131" s="84"/>
      <c r="L131" s="72"/>
      <c r="M131" s="72" t="str">
        <f ca="1">IFERROR(__xludf.DUMMYFUNCTION("""COMPUTED_VALUE"""),"=10")</f>
        <v>=10</v>
      </c>
      <c r="N131" s="72"/>
      <c r="O131" s="72"/>
      <c r="P131" s="72"/>
      <c r="Q131" s="72"/>
      <c r="R131" s="72"/>
      <c r="S131" s="72"/>
      <c r="T131" s="72"/>
      <c r="U131" s="72"/>
      <c r="V131" s="72"/>
      <c r="W131" s="72"/>
      <c r="X131" s="72"/>
      <c r="Y131" s="72"/>
      <c r="Z131" s="72"/>
      <c r="AA131" s="72"/>
      <c r="AB131" s="72"/>
      <c r="AC131" s="72"/>
      <c r="AD131" s="72"/>
      <c r="AE131" s="72"/>
      <c r="AF131" s="72"/>
      <c r="AG131" s="72"/>
      <c r="AH131" s="72"/>
      <c r="AI131" s="72" t="str">
        <f ca="1">IFERROR(__xludf.DUMMYFUNCTION("""COMPUTED_VALUE"""),"=IF($AO$2=1;COUNTIF(Interface!$C$22:$C$27;$A131);0)")</f>
        <v>=IF($AO$2=1;COUNTIF(Interface!$C$22:$C$27;$A131);0)</v>
      </c>
      <c r="AJ131" s="72" t="str">
        <f ca="1">IFERROR(__xludf.DUMMYFUNCTION("""COMPUTED_VALUE"""),"=IF($AO$2=2;COUNTIF(Interface!$C$30:$C$35;$A131);0)")</f>
        <v>=IF($AO$2=2;COUNTIF(Interface!$C$30:$C$35;$A131);0)</v>
      </c>
      <c r="AK131" s="72"/>
      <c r="AL131" s="72"/>
      <c r="AM131" s="72" t="str">
        <f ca="1">IFERROR(__xludf.DUMMYFUNCTION("""COMPUTED_VALUE"""),"=COUNTIF(Interface!$O$18:$O$23;$A131)")</f>
        <v>=COUNTIF(Interface!$O$18:$O$23;$A131)</v>
      </c>
      <c r="AN131" s="72" t="str">
        <f ca="1">IFERROR(__xludf.DUMMYFUNCTION("""COMPUTED_VALUE"""),"=Image(""https://ddragon.leagueoflegends.com/cdn/12.22.1/img/item/3065.png"")")</f>
        <v>=Image("https://ddragon.leagueoflegends.com/cdn/12.22.1/img/item/3065.png")</v>
      </c>
      <c r="AO131" s="72" t="b">
        <f ca="1">IFERROR(__xludf.DUMMYFUNCTION("""COMPUTED_VALUE"""),TRUE)</f>
        <v>1</v>
      </c>
    </row>
    <row r="132" spans="1:41">
      <c r="A132" s="643" t="str">
        <f ca="1">IFERROR(__xludf.DUMMYFUNCTION("""COMPUTED_VALUE"""),"Staff of Flowing Water")</f>
        <v>Staff of Flowing Water</v>
      </c>
      <c r="B132" s="78" t="str">
        <f ca="1">IFERROR(__xludf.DUMMYFUNCTION("""COMPUTED_VALUE"""),"=2100")</f>
        <v>=2100</v>
      </c>
      <c r="C132" s="78"/>
      <c r="D132" s="78"/>
      <c r="E132" s="78"/>
      <c r="F132" s="78" t="str">
        <f ca="1">IFERROR(__xludf.DUMMYFUNCTION("""COMPUTED_VALUE"""),"=0,75")</f>
        <v>=0,75</v>
      </c>
      <c r="G132" s="78"/>
      <c r="H132" s="78" t="str">
        <f ca="1">IFERROR(__xludf.DUMMYFUNCTION("""COMPUTED_VALUE"""),"=35")</f>
        <v>=35</v>
      </c>
      <c r="I132" s="78"/>
      <c r="J132" s="78"/>
      <c r="K132" s="78"/>
      <c r="L132" s="76"/>
      <c r="M132" s="76"/>
      <c r="N132" s="76"/>
      <c r="O132" s="76"/>
      <c r="P132" s="76"/>
      <c r="Q132" s="76"/>
      <c r="R132" s="76" t="str">
        <f ca="1">IFERROR(__xludf.DUMMYFUNCTION("""COMPUTED_VALUE"""),"=5")</f>
        <v>=5</v>
      </c>
      <c r="S132" s="76" t="str">
        <f ca="1">IFERROR(__xludf.DUMMYFUNCTION("""COMPUTED_VALUE"""),"=8")</f>
        <v>=8</v>
      </c>
      <c r="T132" s="76"/>
      <c r="U132" s="76"/>
      <c r="V132" s="76"/>
      <c r="W132" s="76"/>
      <c r="X132" s="76"/>
      <c r="Y132" s="76"/>
      <c r="Z132" s="76"/>
      <c r="AA132" s="76"/>
      <c r="AB132" s="76"/>
      <c r="AC132" s="76"/>
      <c r="AD132" s="76"/>
      <c r="AE132" s="76"/>
      <c r="AF132" s="76"/>
      <c r="AG132" s="76"/>
      <c r="AH132" s="76"/>
      <c r="AI132" s="76" t="str">
        <f ca="1">IFERROR(__xludf.DUMMYFUNCTION("""COMPUTED_VALUE"""),"=IF($AO$2=1;COUNTIF(Interface!$C$22:$C$27;$A132);0)")</f>
        <v>=IF($AO$2=1;COUNTIF(Interface!$C$22:$C$27;$A132);0)</v>
      </c>
      <c r="AJ132" s="76" t="str">
        <f ca="1">IFERROR(__xludf.DUMMYFUNCTION("""COMPUTED_VALUE"""),"=IF($AO$2=2;COUNTIF(Interface!$C$30:$C$35;$A132);0)")</f>
        <v>=IF($AO$2=2;COUNTIF(Interface!$C$30:$C$35;$A132);0)</v>
      </c>
      <c r="AK132" s="76"/>
      <c r="AL132" s="76"/>
      <c r="AM132" s="76" t="str">
        <f ca="1">IFERROR(__xludf.DUMMYFUNCTION("""COMPUTED_VALUE"""),"=COUNTIF(Interface!$O$18:$O$23;$A132)")</f>
        <v>=COUNTIF(Interface!$O$18:$O$23;$A132)</v>
      </c>
      <c r="AN132" s="76" t="str">
        <f ca="1">IFERROR(__xludf.DUMMYFUNCTION("""COMPUTED_VALUE"""),"=Image(""https://ddragon.leagueoflegends.com/cdn/12.22.1/img/item/6616.png"")")</f>
        <v>=Image("https://ddragon.leagueoflegends.com/cdn/12.22.1/img/item/6616.png")</v>
      </c>
      <c r="AO132" s="76" t="b">
        <f ca="1">IFERROR(__xludf.DUMMYFUNCTION("""COMPUTED_VALUE"""),TRUE)</f>
        <v>1</v>
      </c>
    </row>
    <row r="133" spans="1:41">
      <c r="A133" s="644" t="str">
        <f ca="1">IFERROR(__xludf.DUMMYFUNCTION("""COMPUTED_VALUE"""),"Statikk Shiv")</f>
        <v>Statikk Shiv</v>
      </c>
      <c r="B133" s="84" t="str">
        <f ca="1">IFERROR(__xludf.DUMMYFUNCTION("""COMPUTED_VALUE"""),"=3000")</f>
        <v>=3000</v>
      </c>
      <c r="C133" s="84"/>
      <c r="D133" s="84"/>
      <c r="E133" s="84"/>
      <c r="F133" s="84"/>
      <c r="G133" s="84" t="str">
        <f ca="1">IFERROR(__xludf.DUMMYFUNCTION("""COMPUTED_VALUE"""),"=45")</f>
        <v>=45</v>
      </c>
      <c r="H133" s="84"/>
      <c r="I133" s="84"/>
      <c r="J133" s="84"/>
      <c r="K133" s="84" t="str">
        <f ca="1">IFERROR(__xludf.DUMMYFUNCTION("""COMPUTED_VALUE"""),"=25")</f>
        <v>=25</v>
      </c>
      <c r="L133" s="72" t="str">
        <f ca="1">IFERROR(__xludf.DUMMYFUNCTION("""COMPUTED_VALUE"""),"=20")</f>
        <v>=20</v>
      </c>
      <c r="M133" s="72"/>
      <c r="N133" s="72"/>
      <c r="O133" s="72"/>
      <c r="P133" s="72"/>
      <c r="Q133" s="72"/>
      <c r="R133" s="72"/>
      <c r="S133" s="72"/>
      <c r="T133" s="72"/>
      <c r="U133" s="72"/>
      <c r="V133" s="72" t="str">
        <f ca="1">IFERROR(__xludf.DUMMYFUNCTION("""COMPUTED_VALUE"""),"=100 + (80/12) * MAX((Self_Level - 6); 0) + 0,5 * Self_AP")</f>
        <v>=100 + (80/12) * MAX((Self_Level - 6); 0) + 0,5 * Self_AP</v>
      </c>
      <c r="W133" s="72"/>
      <c r="X133" s="72"/>
      <c r="Y133" s="72"/>
      <c r="Z133" s="72"/>
      <c r="AA133" s="72"/>
      <c r="AB133" s="72"/>
      <c r="AC133" s="72"/>
      <c r="AD133" s="72"/>
      <c r="AE133" s="72"/>
      <c r="AF133" s="72"/>
      <c r="AG133" s="72"/>
      <c r="AH133" s="72"/>
      <c r="AI133" s="72" t="str">
        <f ca="1">IFERROR(__xludf.DUMMYFUNCTION("""COMPUTED_VALUE"""),"=IF($AO$2=1;COUNTIF(Interface!$C$22:$C$27;$A133);0)")</f>
        <v>=IF($AO$2=1;COUNTIF(Interface!$C$22:$C$27;$A133);0)</v>
      </c>
      <c r="AJ133" s="72" t="str">
        <f ca="1">IFERROR(__xludf.DUMMYFUNCTION("""COMPUTED_VALUE"""),"=IF($AO$2=2;COUNTIF(Interface!$C$30:$C$35;$A133);0)")</f>
        <v>=IF($AO$2=2;COUNTIF(Interface!$C$30:$C$35;$A133);0)</v>
      </c>
      <c r="AK133" s="72"/>
      <c r="AL133" s="72"/>
      <c r="AM133" s="72" t="str">
        <f ca="1">IFERROR(__xludf.DUMMYFUNCTION("""COMPUTED_VALUE"""),"=COUNTIF(Interface!$O$18:$O$23;$A133)")</f>
        <v>=COUNTIF(Interface!$O$18:$O$23;$A133)</v>
      </c>
      <c r="AN133" s="72" t="str">
        <f ca="1">IFERROR(__xludf.DUMMYFUNCTION("""COMPUTED_VALUE"""),"=Image(""https://ddragon.leagueoflegends.com/cdn/13.10.1/img/item/3087.png"")")</f>
        <v>=Image("https://ddragon.leagueoflegends.com/cdn/13.10.1/img/item/3087.png")</v>
      </c>
      <c r="AO133" s="72" t="b">
        <f ca="1">IFERROR(__xludf.DUMMYFUNCTION("""COMPUTED_VALUE"""),TRUE)</f>
        <v>1</v>
      </c>
    </row>
    <row r="134" spans="1:41">
      <c r="A134" s="643" t="str">
        <f ca="1">IFERROR(__xludf.DUMMYFUNCTION("""COMPUTED_VALUE"""),"Steel Shoulderguards")</f>
        <v>Steel Shoulderguards</v>
      </c>
      <c r="B134" s="78" t="str">
        <f ca="1">IFERROR(__xludf.DUMMYFUNCTION("""COMPUTED_VALUE"""),"=400")</f>
        <v>=400</v>
      </c>
      <c r="C134" s="78" t="str">
        <f ca="1">IFERROR(__xludf.DUMMYFUNCTION("""COMPUTED_VALUE"""),"=30")</f>
        <v>=30</v>
      </c>
      <c r="D134" s="78" t="str">
        <f ca="1">IFERROR(__xludf.DUMMYFUNCTION("""COMPUTED_VALUE"""),"=0,5")</f>
        <v>=0,5</v>
      </c>
      <c r="E134" s="78"/>
      <c r="F134" s="78"/>
      <c r="G134" s="645" t="str">
        <f ca="1">IFERROR(__xludf.DUMMYFUNCTION("""COMPUTED_VALUE"""),"=3")</f>
        <v>=3</v>
      </c>
      <c r="H134" s="78"/>
      <c r="I134" s="78"/>
      <c r="J134" s="78"/>
      <c r="K134" s="78"/>
      <c r="L134" s="76"/>
      <c r="M134" s="76"/>
      <c r="N134" s="76"/>
      <c r="O134" s="76"/>
      <c r="P134" s="76"/>
      <c r="Q134" s="76"/>
      <c r="R134" s="76"/>
      <c r="S134" s="76"/>
      <c r="T134" s="76"/>
      <c r="U134" s="76"/>
      <c r="V134" s="76"/>
      <c r="W134" s="76"/>
      <c r="X134" s="76"/>
      <c r="Y134" s="76"/>
      <c r="Z134" s="76"/>
      <c r="AA134" s="76"/>
      <c r="AB134" s="76"/>
      <c r="AC134" s="76"/>
      <c r="AD134" s="76"/>
      <c r="AE134" s="76"/>
      <c r="AF134" s="76"/>
      <c r="AG134" s="76"/>
      <c r="AH134" s="76"/>
      <c r="AI134" s="76" t="str">
        <f ca="1">IFERROR(__xludf.DUMMYFUNCTION("""COMPUTED_VALUE"""),"=IF($AO$2=1;COUNTIF(Interface!$C$22:$C$27;$A134);0)")</f>
        <v>=IF($AO$2=1;COUNTIF(Interface!$C$22:$C$27;$A134);0)</v>
      </c>
      <c r="AJ134" s="76" t="str">
        <f ca="1">IFERROR(__xludf.DUMMYFUNCTION("""COMPUTED_VALUE"""),"=IF($AO$2=2;COUNTIF(Interface!$C$30:$C$35;$A134);0)")</f>
        <v>=IF($AO$2=2;COUNTIF(Interface!$C$30:$C$35;$A134);0)</v>
      </c>
      <c r="AK134" s="76"/>
      <c r="AL134" s="76"/>
      <c r="AM134" s="76" t="str">
        <f ca="1">IFERROR(__xludf.DUMMYFUNCTION("""COMPUTED_VALUE"""),"=COUNTIF(Interface!$O$18:$O$23;$A134)")</f>
        <v>=COUNTIF(Interface!$O$18:$O$23;$A134)</v>
      </c>
      <c r="AN134" s="76" t="str">
        <f ca="1">IFERROR(__xludf.DUMMYFUNCTION("""COMPUTED_VALUE"""),"=Image(""https://ddragon.leagueoflegends.com/cdn/12.22.1/img/item/3854.png"")")</f>
        <v>=Image("https://ddragon.leagueoflegends.com/cdn/12.22.1/img/item/3854.png")</v>
      </c>
      <c r="AO134" s="76" t="b">
        <f ca="1">IFERROR(__xludf.DUMMYFUNCTION("""COMPUTED_VALUE"""),FALSE)</f>
        <v>0</v>
      </c>
    </row>
    <row r="135" spans="1:41">
      <c r="A135" s="644" t="str">
        <f ca="1">IFERROR(__xludf.DUMMYFUNCTION("""COMPUTED_VALUE"""),"Sterak's Gage")</f>
        <v>Sterak's Gage</v>
      </c>
      <c r="B135" s="84" t="str">
        <f ca="1">IFERROR(__xludf.DUMMYFUNCTION("""COMPUTED_VALUE"""),"=3100")</f>
        <v>=3100</v>
      </c>
      <c r="C135" s="84" t="str">
        <f ca="1">IFERROR(__xludf.DUMMYFUNCTION("""COMPUTED_VALUE"""),"=400")</f>
        <v>=400</v>
      </c>
      <c r="D135" s="84"/>
      <c r="E135" s="84"/>
      <c r="F135" s="84"/>
      <c r="G135" s="84" t="str">
        <f ca="1">IFERROR(__xludf.DUMMYFUNCTION("""COMPUTED_VALUE"""),"=0,5 * Self_BaAD")</f>
        <v>=0,5 * Self_BaAD</v>
      </c>
      <c r="H135" s="84"/>
      <c r="I135" s="646"/>
      <c r="J135" s="84"/>
      <c r="K135" s="84"/>
      <c r="L135" s="72"/>
      <c r="M135" s="72"/>
      <c r="N135" s="72"/>
      <c r="O135" s="72"/>
      <c r="P135" s="72"/>
      <c r="Q135" s="72"/>
      <c r="R135" s="72"/>
      <c r="S135" s="72"/>
      <c r="T135" s="72"/>
      <c r="U135" s="72"/>
      <c r="V135" s="72"/>
      <c r="W135" s="72"/>
      <c r="X135" s="72"/>
      <c r="Y135" s="72"/>
      <c r="Z135" s="72"/>
      <c r="AA135" s="72"/>
      <c r="AB135" s="72"/>
      <c r="AC135" s="72"/>
      <c r="AD135" s="72"/>
      <c r="AE135" s="72"/>
      <c r="AF135" s="72"/>
      <c r="AG135" s="72"/>
      <c r="AH135" s="72" t="str">
        <f ca="1">IFERROR(__xludf.DUMMYFUNCTION("""COMPUTED_VALUE"""),"=0,8 * Self_BoHP")</f>
        <v>=0,8 * Self_BoHP</v>
      </c>
      <c r="AI135" s="72" t="str">
        <f ca="1">IFERROR(__xludf.DUMMYFUNCTION("""COMPUTED_VALUE"""),"=IF($AO$2=1;COUNTIF(Interface!$C$22:$C$27;$A135);0)")</f>
        <v>=IF($AO$2=1;COUNTIF(Interface!$C$22:$C$27;$A135);0)</v>
      </c>
      <c r="AJ135" s="72" t="str">
        <f ca="1">IFERROR(__xludf.DUMMYFUNCTION("""COMPUTED_VALUE"""),"=IF($AO$2=2;COUNTIF(Interface!$C$30:$C$35;$A135);0)")</f>
        <v>=IF($AO$2=2;COUNTIF(Interface!$C$30:$C$35;$A135);0)</v>
      </c>
      <c r="AK135" s="72"/>
      <c r="AL135" s="72"/>
      <c r="AM135" s="72" t="str">
        <f ca="1">IFERROR(__xludf.DUMMYFUNCTION("""COMPUTED_VALUE"""),"=COUNTIF(Interface!$O$18:$O$23;$A135)")</f>
        <v>=COUNTIF(Interface!$O$18:$O$23;$A135)</v>
      </c>
      <c r="AN135" s="72" t="str">
        <f ca="1">IFERROR(__xludf.DUMMYFUNCTION("""COMPUTED_VALUE"""),"=Image(""https://ddragon.leagueoflegends.com/cdn/12.22.1/img/item/3053.png"")")</f>
        <v>=Image("https://ddragon.leagueoflegends.com/cdn/12.22.1/img/item/3053.png")</v>
      </c>
      <c r="AO135" s="72" t="b">
        <f ca="1">IFERROR(__xludf.DUMMYFUNCTION("""COMPUTED_VALUE"""),TRUE)</f>
        <v>1</v>
      </c>
    </row>
    <row r="136" spans="1:41">
      <c r="A136" s="643" t="str">
        <f ca="1">IFERROR(__xludf.DUMMYFUNCTION("""COMPUTED_VALUE"""),"Stormrazor")</f>
        <v>Stormrazor</v>
      </c>
      <c r="B136" s="78" t="str">
        <f ca="1">IFERROR(__xludf.DUMMYFUNCTION("""COMPUTED_VALUE"""),"=3000")</f>
        <v>=3000</v>
      </c>
      <c r="C136" s="78"/>
      <c r="D136" s="78"/>
      <c r="E136" s="78"/>
      <c r="F136" s="78"/>
      <c r="G136" s="78" t="str">
        <f ca="1">IFERROR(__xludf.DUMMYFUNCTION("""COMPUTED_VALUE"""),"=50")</f>
        <v>=50</v>
      </c>
      <c r="H136" s="78"/>
      <c r="I136" s="78"/>
      <c r="J136" s="78"/>
      <c r="K136" s="78" t="str">
        <f ca="1">IFERROR(__xludf.DUMMYFUNCTION("""COMPUTED_VALUE"""),"=15")</f>
        <v>=15</v>
      </c>
      <c r="L136" s="76" t="str">
        <f ca="1">IFERROR(__xludf.DUMMYFUNCTION("""COMPUTED_VALUE"""),"=20")</f>
        <v>=20</v>
      </c>
      <c r="M136" s="76"/>
      <c r="N136" s="76"/>
      <c r="O136" s="76"/>
      <c r="P136" s="76"/>
      <c r="Q136" s="76"/>
      <c r="R136" s="76"/>
      <c r="S136" s="76"/>
      <c r="T136" s="76"/>
      <c r="U136" s="76"/>
      <c r="V136" s="76" t="str">
        <f ca="1">IFERROR(__xludf.DUMMYFUNCTION("""COMPUTED_VALUE"""),"=15 + 0,6 * Self_AD + 0,5 * Self_AP")</f>
        <v>=15 + 0,6 * Self_AD + 0,5 * Self_AP</v>
      </c>
      <c r="W136" s="76"/>
      <c r="X136" s="76"/>
      <c r="Y136" s="76"/>
      <c r="Z136" s="76"/>
      <c r="AA136" s="76"/>
      <c r="AB136" s="76"/>
      <c r="AC136" s="76"/>
      <c r="AD136" s="76"/>
      <c r="AE136" s="76"/>
      <c r="AF136" s="76"/>
      <c r="AG136" s="76"/>
      <c r="AH136" s="76"/>
      <c r="AI136" s="76" t="str">
        <f ca="1">IFERROR(__xludf.DUMMYFUNCTION("""COMPUTED_VALUE"""),"=IF($AO$2=1;COUNTIF(Interface!$C$22:$C$27;$A136);0)")</f>
        <v>=IF($AO$2=1;COUNTIF(Interface!$C$22:$C$27;$A136);0)</v>
      </c>
      <c r="AJ136" s="76" t="str">
        <f ca="1">IFERROR(__xludf.DUMMYFUNCTION("""COMPUTED_VALUE"""),"=IF($AO$2=2;COUNTIF(Interface!$C$30:$C$35;$A136);0)")</f>
        <v>=IF($AO$2=2;COUNTIF(Interface!$C$30:$C$35;$A136);0)</v>
      </c>
      <c r="AK136" s="76"/>
      <c r="AL136" s="76"/>
      <c r="AM136" s="76" t="str">
        <f ca="1">IFERROR(__xludf.DUMMYFUNCTION("""COMPUTED_VALUE"""),"=COUNTIF(Interface!$O$18:$O$23;$A136)")</f>
        <v>=COUNTIF(Interface!$O$18:$O$23;$A136)</v>
      </c>
      <c r="AN136" s="76" t="str">
        <f ca="1">IFERROR(__xludf.DUMMYFUNCTION("""COMPUTED_VALUE"""),"=Image(""https://ddragon.leagueoflegends.com/cdn/12.22.1/img/item/3095.png"")")</f>
        <v>=Image("https://ddragon.leagueoflegends.com/cdn/12.22.1/img/item/3095.png")</v>
      </c>
      <c r="AO136" s="76" t="b">
        <f ca="1">IFERROR(__xludf.DUMMYFUNCTION("""COMPUTED_VALUE"""),TRUE)</f>
        <v>1</v>
      </c>
    </row>
    <row r="137" spans="1:41">
      <c r="A137" s="644" t="str">
        <f ca="1">IFERROR(__xludf.DUMMYFUNCTION("""COMPUTED_VALUE"""),"Sunfire Aegis")</f>
        <v>Sunfire Aegis</v>
      </c>
      <c r="B137" s="84" t="str">
        <f ca="1">IFERROR(__xludf.DUMMYFUNCTION("""COMPUTED_VALUE"""),"=2700")</f>
        <v>=2700</v>
      </c>
      <c r="C137" s="84" t="str">
        <f ca="1">IFERROR(__xludf.DUMMYFUNCTION("""COMPUTED_VALUE"""),"=500")</f>
        <v>=500</v>
      </c>
      <c r="D137" s="84"/>
      <c r="E137" s="84"/>
      <c r="F137" s="84"/>
      <c r="G137" s="84"/>
      <c r="H137" s="84"/>
      <c r="I137" s="84" t="str">
        <f ca="1">IFERROR(__xludf.DUMMYFUNCTION("""COMPUTED_VALUE"""),"=50")</f>
        <v>=50</v>
      </c>
      <c r="J137" s="84"/>
      <c r="K137" s="84"/>
      <c r="L137" s="72"/>
      <c r="M137" s="72"/>
      <c r="N137" s="72"/>
      <c r="O137" s="72"/>
      <c r="P137" s="72"/>
      <c r="Q137" s="72"/>
      <c r="R137" s="72"/>
      <c r="S137" s="72"/>
      <c r="T137" s="72"/>
      <c r="U137" s="72"/>
      <c r="V137" s="72"/>
      <c r="W137" s="72"/>
      <c r="X137" s="72"/>
      <c r="Y137" s="72"/>
      <c r="Z137" s="72"/>
      <c r="AA137" s="72"/>
      <c r="AB137" s="72"/>
      <c r="AC137" s="72"/>
      <c r="AD137" s="72"/>
      <c r="AE137" s="72"/>
      <c r="AF137" s="72"/>
      <c r="AG137" s="72"/>
      <c r="AH137" s="72"/>
      <c r="AI137" s="72" t="str">
        <f ca="1">IFERROR(__xludf.DUMMYFUNCTION("""COMPUTED_VALUE"""),"=IF($AO$2=1;COUNTIF(Interface!$C$22:$C$27;$A137);0)")</f>
        <v>=IF($AO$2=1;COUNTIF(Interface!$C$22:$C$27;$A137);0)</v>
      </c>
      <c r="AJ137" s="72" t="str">
        <f ca="1">IFERROR(__xludf.DUMMYFUNCTION("""COMPUTED_VALUE"""),"=IF($AO$2=2;COUNTIF(Interface!$C$30:$C$35;$A137);0)")</f>
        <v>=IF($AO$2=2;COUNTIF(Interface!$C$30:$C$35;$A137);0)</v>
      </c>
      <c r="AK137" s="72"/>
      <c r="AL137" s="72"/>
      <c r="AM137" s="72" t="str">
        <f ca="1">IFERROR(__xludf.DUMMYFUNCTION("""COMPUTED_VALUE"""),"=COUNTIF(Interface!$O$18:$O$23;$A137)")</f>
        <v>=COUNTIF(Interface!$O$18:$O$23;$A137)</v>
      </c>
      <c r="AN137" s="72" t="str">
        <f ca="1">IFERROR(__xludf.DUMMYFUNCTION("""COMPUTED_VALUE"""),"=Image(""https://ddragon.leagueoflegends.com/cdn/12.22.1/img/item/3068.png"")")</f>
        <v>=Image("https://ddragon.leagueoflegends.com/cdn/12.22.1/img/item/3068.png")</v>
      </c>
      <c r="AO137" s="72" t="b">
        <f ca="1">IFERROR(__xludf.DUMMYFUNCTION("""COMPUTED_VALUE"""),TRUE)</f>
        <v>1</v>
      </c>
    </row>
    <row r="138" spans="1:41">
      <c r="A138" s="643" t="str">
        <f ca="1">IFERROR(__xludf.DUMMYFUNCTION("""COMPUTED_VALUE"""),"Targon's Buckler")</f>
        <v>Targon's Buckler</v>
      </c>
      <c r="B138" s="78" t="str">
        <f ca="1">IFERROR(__xludf.DUMMYFUNCTION("""COMPUTED_VALUE"""),"=400")</f>
        <v>=400</v>
      </c>
      <c r="C138" s="78" t="str">
        <f ca="1">IFERROR(__xludf.DUMMYFUNCTION("""COMPUTED_VALUE"""),"=100")</f>
        <v>=100</v>
      </c>
      <c r="D138" s="78" t="str">
        <f ca="1">IFERROR(__xludf.DUMMYFUNCTION("""COMPUTED_VALUE"""),"=0,75")</f>
        <v>=0,75</v>
      </c>
      <c r="E138" s="78"/>
      <c r="F138" s="78"/>
      <c r="G138" s="78"/>
      <c r="H138" s="78" t="str">
        <f ca="1">IFERROR(__xludf.DUMMYFUNCTION("""COMPUTED_VALUE"""),"=10")</f>
        <v>=10</v>
      </c>
      <c r="I138" s="645"/>
      <c r="J138" s="78"/>
      <c r="K138" s="78"/>
      <c r="L138" s="76"/>
      <c r="M138" s="76"/>
      <c r="N138" s="76"/>
      <c r="O138" s="76"/>
      <c r="P138" s="76"/>
      <c r="Q138" s="76"/>
      <c r="R138" s="76"/>
      <c r="S138" s="76"/>
      <c r="T138" s="76"/>
      <c r="U138" s="76"/>
      <c r="V138" s="76"/>
      <c r="W138" s="76"/>
      <c r="X138" s="76"/>
      <c r="Y138" s="76"/>
      <c r="Z138" s="76"/>
      <c r="AA138" s="76"/>
      <c r="AB138" s="76"/>
      <c r="AC138" s="76"/>
      <c r="AD138" s="76"/>
      <c r="AE138" s="76"/>
      <c r="AF138" s="76"/>
      <c r="AG138" s="76"/>
      <c r="AH138" s="76"/>
      <c r="AI138" s="76" t="str">
        <f ca="1">IFERROR(__xludf.DUMMYFUNCTION("""COMPUTED_VALUE"""),"=IF($AO$2=1;COUNTIF(Interface!$C$22:$C$27;$A138);0)")</f>
        <v>=IF($AO$2=1;COUNTIF(Interface!$C$22:$C$27;$A138);0)</v>
      </c>
      <c r="AJ138" s="76" t="str">
        <f ca="1">IFERROR(__xludf.DUMMYFUNCTION("""COMPUTED_VALUE"""),"=IF($AO$2=2;COUNTIF(Interface!$C$30:$C$35;$A138);0)")</f>
        <v>=IF($AO$2=2;COUNTIF(Interface!$C$30:$C$35;$A138);0)</v>
      </c>
      <c r="AK138" s="76"/>
      <c r="AL138" s="76"/>
      <c r="AM138" s="76" t="str">
        <f ca="1">IFERROR(__xludf.DUMMYFUNCTION("""COMPUTED_VALUE"""),"=COUNTIF(Interface!$O$18:$O$23;$A138)")</f>
        <v>=COUNTIF(Interface!$O$18:$O$23;$A138)</v>
      </c>
      <c r="AN138" s="76" t="str">
        <f ca="1">IFERROR(__xludf.DUMMYFUNCTION("""COMPUTED_VALUE"""),"=Image(""https://ddragon.leagueoflegends.com/cdn/12.22.1/img/item/3859.png"")")</f>
        <v>=Image("https://ddragon.leagueoflegends.com/cdn/12.22.1/img/item/3859.png")</v>
      </c>
      <c r="AO138" s="76" t="b">
        <f ca="1">IFERROR(__xludf.DUMMYFUNCTION("""COMPUTED_VALUE"""),FALSE)</f>
        <v>0</v>
      </c>
    </row>
    <row r="139" spans="1:41">
      <c r="A139" s="644" t="str">
        <f ca="1">IFERROR(__xludf.DUMMYFUNCTION("""COMPUTED_VALUE"""),"Tear of the Goddess")</f>
        <v>Tear of the Goddess</v>
      </c>
      <c r="B139" s="84" t="str">
        <f ca="1">IFERROR(__xludf.DUMMYFUNCTION("""COMPUTED_VALUE"""),"=400")</f>
        <v>=400</v>
      </c>
      <c r="C139" s="84"/>
      <c r="D139" s="84"/>
      <c r="E139" s="84" t="str">
        <f ca="1">IFERROR(__xludf.DUMMYFUNCTION("""COMPUTED_VALUE"""),"=240")</f>
        <v>=240</v>
      </c>
      <c r="F139" s="84"/>
      <c r="G139" s="646"/>
      <c r="H139" s="84"/>
      <c r="I139" s="84"/>
      <c r="J139" s="84"/>
      <c r="K139" s="84"/>
      <c r="L139" s="72"/>
      <c r="M139" s="72"/>
      <c r="N139" s="72"/>
      <c r="O139" s="72"/>
      <c r="P139" s="72"/>
      <c r="Q139" s="72"/>
      <c r="R139" s="72"/>
      <c r="S139" s="72"/>
      <c r="T139" s="72"/>
      <c r="U139" s="72"/>
      <c r="V139" s="72"/>
      <c r="W139" s="72"/>
      <c r="X139" s="72"/>
      <c r="Y139" s="72"/>
      <c r="Z139" s="72"/>
      <c r="AA139" s="72"/>
      <c r="AB139" s="72"/>
      <c r="AC139" s="72"/>
      <c r="AD139" s="72"/>
      <c r="AE139" s="72"/>
      <c r="AF139" s="72"/>
      <c r="AG139" s="72"/>
      <c r="AH139" s="72"/>
      <c r="AI139" s="72" t="str">
        <f ca="1">IFERROR(__xludf.DUMMYFUNCTION("""COMPUTED_VALUE"""),"=IF($AO$2=1;COUNTIF(Interface!$C$22:$C$27;$A139);0)")</f>
        <v>=IF($AO$2=1;COUNTIF(Interface!$C$22:$C$27;$A139);0)</v>
      </c>
      <c r="AJ139" s="72" t="str">
        <f ca="1">IFERROR(__xludf.DUMMYFUNCTION("""COMPUTED_VALUE"""),"=IF($AO$2=2;COUNTIF(Interface!$C$30:$C$35;$A139);0)")</f>
        <v>=IF($AO$2=2;COUNTIF(Interface!$C$30:$C$35;$A139);0)</v>
      </c>
      <c r="AK139" s="72"/>
      <c r="AL139" s="72"/>
      <c r="AM139" s="72" t="str">
        <f ca="1">IFERROR(__xludf.DUMMYFUNCTION("""COMPUTED_VALUE"""),"=COUNTIF(Interface!$O$18:$O$23;$A139)")</f>
        <v>=COUNTIF(Interface!$O$18:$O$23;$A139)</v>
      </c>
      <c r="AN139" s="72" t="str">
        <f ca="1">IFERROR(__xludf.DUMMYFUNCTION("""COMPUTED_VALUE"""),"=Image(""https://ddragon.leagueoflegends.com/cdn/12.22.1/img/item/3070.png"")")</f>
        <v>=Image("https://ddragon.leagueoflegends.com/cdn/12.22.1/img/item/3070.png")</v>
      </c>
      <c r="AO139" s="72" t="b">
        <f ca="1">IFERROR(__xludf.DUMMYFUNCTION("""COMPUTED_VALUE"""),FALSE)</f>
        <v>0</v>
      </c>
    </row>
    <row r="140" spans="1:41">
      <c r="A140" s="643" t="str">
        <f ca="1">IFERROR(__xludf.DUMMYFUNCTION("""COMPUTED_VALUE"""),"The Collector")</f>
        <v>The Collector</v>
      </c>
      <c r="B140" s="78" t="str">
        <f ca="1">IFERROR(__xludf.DUMMYFUNCTION("""COMPUTED_VALUE"""),"=3000")</f>
        <v>=3000</v>
      </c>
      <c r="C140" s="78"/>
      <c r="D140" s="78"/>
      <c r="E140" s="78"/>
      <c r="F140" s="78"/>
      <c r="G140" s="78" t="str">
        <f ca="1">IFERROR(__xludf.DUMMYFUNCTION("""COMPUTED_VALUE"""),"=55")</f>
        <v>=55</v>
      </c>
      <c r="H140" s="78"/>
      <c r="I140" s="78"/>
      <c r="J140" s="78"/>
      <c r="K140" s="78"/>
      <c r="L140" s="76" t="str">
        <f ca="1">IFERROR(__xludf.DUMMYFUNCTION("""COMPUTED_VALUE"""),"=20")</f>
        <v>=20</v>
      </c>
      <c r="M140" s="76"/>
      <c r="N140" s="76"/>
      <c r="O140" s="76" t="str">
        <f ca="1">IFERROR(__xludf.DUMMYFUNCTION("""COMPUTED_VALUE"""),"=18")</f>
        <v>=18</v>
      </c>
      <c r="P140" s="76"/>
      <c r="Q140" s="76"/>
      <c r="R140" s="76"/>
      <c r="S140" s="76"/>
      <c r="T140" s="76"/>
      <c r="U140" s="76"/>
      <c r="V140" s="76"/>
      <c r="W140" s="76"/>
      <c r="X140" s="76"/>
      <c r="Y140" s="76"/>
      <c r="Z140" s="76"/>
      <c r="AA140" s="76"/>
      <c r="AB140" s="76"/>
      <c r="AC140" s="76"/>
      <c r="AD140" s="76"/>
      <c r="AE140" s="76"/>
      <c r="AF140" s="76"/>
      <c r="AG140" s="76"/>
      <c r="AH140" s="76"/>
      <c r="AI140" s="76" t="str">
        <f ca="1">IFERROR(__xludf.DUMMYFUNCTION("""COMPUTED_VALUE"""),"=IF($AO$2=1;COUNTIF(Interface!$C$22:$C$27;$A140);0)")</f>
        <v>=IF($AO$2=1;COUNTIF(Interface!$C$22:$C$27;$A140);0)</v>
      </c>
      <c r="AJ140" s="76" t="str">
        <f ca="1">IFERROR(__xludf.DUMMYFUNCTION("""COMPUTED_VALUE"""),"=IF($AO$2=2;COUNTIF(Interface!$C$30:$C$35;$A140);0)")</f>
        <v>=IF($AO$2=2;COUNTIF(Interface!$C$30:$C$35;$A140);0)</v>
      </c>
      <c r="AK140" s="76"/>
      <c r="AL140" s="76"/>
      <c r="AM140" s="76" t="str">
        <f ca="1">IFERROR(__xludf.DUMMYFUNCTION("""COMPUTED_VALUE"""),"=COUNTIF(Interface!$O$18:$O$23;$A140)")</f>
        <v>=COUNTIF(Interface!$O$18:$O$23;$A140)</v>
      </c>
      <c r="AN140" s="76" t="str">
        <f ca="1">IFERROR(__xludf.DUMMYFUNCTION("""COMPUTED_VALUE"""),"=Image(""https://ddragon.leagueoflegends.com/cdn/12.22.1/img/item/6676.png"")")</f>
        <v>=Image("https://ddragon.leagueoflegends.com/cdn/12.22.1/img/item/6676.png")</v>
      </c>
      <c r="AO140" s="76" t="b">
        <f ca="1">IFERROR(__xludf.DUMMYFUNCTION("""COMPUTED_VALUE"""),TRUE)</f>
        <v>1</v>
      </c>
    </row>
    <row r="141" spans="1:41">
      <c r="A141" s="644" t="str">
        <f ca="1">IFERROR(__xludf.DUMMYFUNCTION("""COMPUTED_VALUE"""),"Thornmail")</f>
        <v>Thornmail</v>
      </c>
      <c r="B141" s="84" t="str">
        <f ca="1">IFERROR(__xludf.DUMMYFUNCTION("""COMPUTED_VALUE"""),"=2700")</f>
        <v>=2700</v>
      </c>
      <c r="C141" s="84" t="str">
        <f ca="1">IFERROR(__xludf.DUMMYFUNCTION("""COMPUTED_VALUE"""),"=350")</f>
        <v>=350</v>
      </c>
      <c r="D141" s="84"/>
      <c r="E141" s="84"/>
      <c r="F141" s="84"/>
      <c r="G141" s="84"/>
      <c r="H141" s="84"/>
      <c r="I141" s="84" t="str">
        <f ca="1">IFERROR(__xludf.DUMMYFUNCTION("""COMPUTED_VALUE"""),"=60")</f>
        <v>=60</v>
      </c>
      <c r="J141" s="84"/>
      <c r="K141" s="84"/>
      <c r="L141" s="72"/>
      <c r="M141" s="72"/>
      <c r="N141" s="72"/>
      <c r="O141" s="72"/>
      <c r="P141" s="72"/>
      <c r="Q141" s="72"/>
      <c r="R141" s="72"/>
      <c r="S141" s="72"/>
      <c r="T141" s="72"/>
      <c r="U141" s="72"/>
      <c r="V141" s="72"/>
      <c r="W141" s="72"/>
      <c r="X141" s="72"/>
      <c r="Y141" s="72"/>
      <c r="Z141" s="72"/>
      <c r="AA141" s="72"/>
      <c r="AB141" s="72"/>
      <c r="AC141" s="72"/>
      <c r="AD141" s="72"/>
      <c r="AE141" s="72"/>
      <c r="AF141" s="72"/>
      <c r="AG141" s="72"/>
      <c r="AH141" s="72"/>
      <c r="AI141" s="72" t="str">
        <f ca="1">IFERROR(__xludf.DUMMYFUNCTION("""COMPUTED_VALUE"""),"=IF($AO$2=1;COUNTIF(Interface!$C$22:$C$27;$A141);0)")</f>
        <v>=IF($AO$2=1;COUNTIF(Interface!$C$22:$C$27;$A141);0)</v>
      </c>
      <c r="AJ141" s="72" t="str">
        <f ca="1">IFERROR(__xludf.DUMMYFUNCTION("""COMPUTED_VALUE"""),"=IF($AO$2=2;COUNTIF(Interface!$C$30:$C$35;$A141);0)")</f>
        <v>=IF($AO$2=2;COUNTIF(Interface!$C$30:$C$35;$A141);0)</v>
      </c>
      <c r="AK141" s="72"/>
      <c r="AL141" s="72"/>
      <c r="AM141" s="72" t="str">
        <f ca="1">IFERROR(__xludf.DUMMYFUNCTION("""COMPUTED_VALUE"""),"=COUNTIF(Interface!$O$18:$O$23;$A141)")</f>
        <v>=COUNTIF(Interface!$O$18:$O$23;$A141)</v>
      </c>
      <c r="AN141" s="72" t="str">
        <f ca="1">IFERROR(__xludf.DUMMYFUNCTION("""COMPUTED_VALUE"""),"=Image(""https://ddragon.leagueoflegends.com/cdn/12.22.1/img/item/3075.png"")")</f>
        <v>=Image("https://ddragon.leagueoflegends.com/cdn/12.22.1/img/item/3075.png")</v>
      </c>
      <c r="AO141" s="72" t="b">
        <f ca="1">IFERROR(__xludf.DUMMYFUNCTION("""COMPUTED_VALUE"""),TRUE)</f>
        <v>1</v>
      </c>
    </row>
    <row r="142" spans="1:41">
      <c r="A142" s="643" t="str">
        <f ca="1">IFERROR(__xludf.DUMMYFUNCTION("""COMPUTED_VALUE"""),"Tiamat")</f>
        <v>Tiamat</v>
      </c>
      <c r="B142" s="78" t="str">
        <f ca="1">IFERROR(__xludf.DUMMYFUNCTION("""COMPUTED_VALUE"""),"=1200")</f>
        <v>=1200</v>
      </c>
      <c r="C142" s="78"/>
      <c r="D142" s="78"/>
      <c r="E142" s="78"/>
      <c r="F142" s="78"/>
      <c r="G142" s="78" t="str">
        <f ca="1">IFERROR(__xludf.DUMMYFUNCTION("""COMPUTED_VALUE"""),"=25")</f>
        <v>=25</v>
      </c>
      <c r="H142" s="78"/>
      <c r="I142" s="78"/>
      <c r="J142" s="78"/>
      <c r="K142" s="78"/>
      <c r="L142" s="76"/>
      <c r="M142" s="76"/>
      <c r="N142" s="76"/>
      <c r="O142" s="76"/>
      <c r="P142" s="76"/>
      <c r="Q142" s="76"/>
      <c r="R142" s="76"/>
      <c r="S142" s="76"/>
      <c r="T142" s="76"/>
      <c r="U142" s="76"/>
      <c r="V142" s="76"/>
      <c r="W142" s="76"/>
      <c r="X142" s="76"/>
      <c r="Y142" s="76"/>
      <c r="Z142" s="76"/>
      <c r="AA142" s="76"/>
      <c r="AB142" s="76"/>
      <c r="AC142" s="76"/>
      <c r="AD142" s="76"/>
      <c r="AE142" s="76"/>
      <c r="AF142" s="76"/>
      <c r="AG142" s="76"/>
      <c r="AH142" s="76"/>
      <c r="AI142" s="76" t="str">
        <f ca="1">IFERROR(__xludf.DUMMYFUNCTION("""COMPUTED_VALUE"""),"=IF($AO$2=1;COUNTIF(Interface!$C$22:$C$27;$A142);0)")</f>
        <v>=IF($AO$2=1;COUNTIF(Interface!$C$22:$C$27;$A142);0)</v>
      </c>
      <c r="AJ142" s="76" t="str">
        <f ca="1">IFERROR(__xludf.DUMMYFUNCTION("""COMPUTED_VALUE"""),"=IF($AO$2=2;COUNTIF(Interface!$C$30:$C$35;$A142);0)")</f>
        <v>=IF($AO$2=2;COUNTIF(Interface!$C$30:$C$35;$A142);0)</v>
      </c>
      <c r="AK142" s="76"/>
      <c r="AL142" s="76"/>
      <c r="AM142" s="76" t="str">
        <f ca="1">IFERROR(__xludf.DUMMYFUNCTION("""COMPUTED_VALUE"""),"=COUNTIF(Interface!$O$18:$O$23;$A142)")</f>
        <v>=COUNTIF(Interface!$O$18:$O$23;$A142)</v>
      </c>
      <c r="AN142" s="76" t="str">
        <f ca="1">IFERROR(__xludf.DUMMYFUNCTION("""COMPUTED_VALUE"""),"=Image(""https://ddragon.leagueoflegends.com/cdn/12.22.1/img/item/3077.png"")")</f>
        <v>=Image("https://ddragon.leagueoflegends.com/cdn/12.22.1/img/item/3077.png")</v>
      </c>
      <c r="AO142" s="76" t="b">
        <f ca="1">IFERROR(__xludf.DUMMYFUNCTION("""COMPUTED_VALUE"""),FALSE)</f>
        <v>0</v>
      </c>
    </row>
    <row r="143" spans="1:41">
      <c r="A143" s="644" t="str">
        <f ca="1">IFERROR(__xludf.DUMMYFUNCTION("""COMPUTED_VALUE"""),"Titanic Hydra")</f>
        <v>Titanic Hydra</v>
      </c>
      <c r="B143" s="84" t="str">
        <f ca="1">IFERROR(__xludf.DUMMYFUNCTION("""COMPUTED_VALUE"""),"=3300")</f>
        <v>=3300</v>
      </c>
      <c r="C143" s="84" t="str">
        <f ca="1">IFERROR(__xludf.DUMMYFUNCTION("""COMPUTED_VALUE"""),"=500")</f>
        <v>=500</v>
      </c>
      <c r="D143" s="84"/>
      <c r="E143" s="84"/>
      <c r="F143" s="84"/>
      <c r="G143" s="84" t="str">
        <f ca="1">IFERROR(__xludf.DUMMYFUNCTION("""COMPUTED_VALUE"""),"=30")</f>
        <v>=30</v>
      </c>
      <c r="H143" s="84"/>
      <c r="I143" s="84"/>
      <c r="J143" s="84"/>
      <c r="K143" s="84"/>
      <c r="L143" s="72"/>
      <c r="M143" s="72"/>
      <c r="N143" s="72"/>
      <c r="O143" s="72"/>
      <c r="P143" s="72"/>
      <c r="Q143" s="72"/>
      <c r="R143" s="72"/>
      <c r="S143" s="72"/>
      <c r="T143" s="72" t="str">
        <f ca="1">IFERROR(__xludf.DUMMYFUNCTION("""COMPUTED_VALUE"""),"=if(VLOOKUP(Name;Champs!A2:AE200;31;False);1;0,75) * (5 + 0,015 * Self_MHP)")</f>
        <v>=if(VLOOKUP(Name;Champs!A2:AE200;31;False);1;0,75) * (5 + 0,015 * Self_MHP)</v>
      </c>
      <c r="U143" s="72"/>
      <c r="V143" s="72"/>
      <c r="W143" s="72"/>
      <c r="X143" s="72"/>
      <c r="Y143" s="72"/>
      <c r="Z143" s="72"/>
      <c r="AA143" s="72"/>
      <c r="AB143" s="72"/>
      <c r="AC143" s="72"/>
      <c r="AD143" s="72"/>
      <c r="AE143" s="72"/>
      <c r="AF143" s="72"/>
      <c r="AG143" s="72"/>
      <c r="AH143" s="72"/>
      <c r="AI143" s="72" t="str">
        <f ca="1">IFERROR(__xludf.DUMMYFUNCTION("""COMPUTED_VALUE"""),"=IF($AO$2=1;COUNTIF(Interface!$C$22:$C$27;$A143);0)")</f>
        <v>=IF($AO$2=1;COUNTIF(Interface!$C$22:$C$27;$A143);0)</v>
      </c>
      <c r="AJ143" s="72" t="str">
        <f ca="1">IFERROR(__xludf.DUMMYFUNCTION("""COMPUTED_VALUE"""),"=IF($AO$2=2;COUNTIF(Interface!$C$30:$C$35;$A143);0)")</f>
        <v>=IF($AO$2=2;COUNTIF(Interface!$C$30:$C$35;$A143);0)</v>
      </c>
      <c r="AK143" s="72"/>
      <c r="AL143" s="72"/>
      <c r="AM143" s="72" t="str">
        <f ca="1">IFERROR(__xludf.DUMMYFUNCTION("""COMPUTED_VALUE"""),"=COUNTIF(Interface!$O$18:$O$23;$A143)")</f>
        <v>=COUNTIF(Interface!$O$18:$O$23;$A143)</v>
      </c>
      <c r="AN143" s="72" t="str">
        <f ca="1">IFERROR(__xludf.DUMMYFUNCTION("""COMPUTED_VALUE"""),"=Image(""https://ddragon.leagueoflegends.com/cdn/12.22.1/img/item/3748.png"")")</f>
        <v>=Image("https://ddragon.leagueoflegends.com/cdn/12.22.1/img/item/3748.png")</v>
      </c>
      <c r="AO143" s="72" t="b">
        <f ca="1">IFERROR(__xludf.DUMMYFUNCTION("""COMPUTED_VALUE"""),TRUE)</f>
        <v>1</v>
      </c>
    </row>
    <row r="144" spans="1:41">
      <c r="A144" s="643" t="str">
        <f ca="1">IFERROR(__xludf.DUMMYFUNCTION("""COMPUTED_VALUE"""),"Turbo Chemtank")</f>
        <v>Turbo Chemtank</v>
      </c>
      <c r="B144" s="78" t="str">
        <f ca="1">IFERROR(__xludf.DUMMYFUNCTION("""COMPUTED_VALUE"""),"=2800")</f>
        <v>=2800</v>
      </c>
      <c r="C144" s="78" t="str">
        <f ca="1">IFERROR(__xludf.DUMMYFUNCTION("""COMPUTED_VALUE"""),"=500")</f>
        <v>=500</v>
      </c>
      <c r="D144" s="78"/>
      <c r="E144" s="78"/>
      <c r="F144" s="78"/>
      <c r="G144" s="78"/>
      <c r="H144" s="78"/>
      <c r="I144" s="78"/>
      <c r="J144" s="78" t="str">
        <f ca="1">IFERROR(__xludf.DUMMYFUNCTION("""COMPUTED_VALUE"""),"=50")</f>
        <v>=50</v>
      </c>
      <c r="K144" s="78"/>
      <c r="L144" s="76"/>
      <c r="M144" s="76" t="str">
        <f ca="1">IFERROR(__xludf.DUMMYFUNCTION("""COMPUTED_VALUE"""),"=10")</f>
        <v>=10</v>
      </c>
      <c r="N144" s="76"/>
      <c r="O144" s="76"/>
      <c r="P144" s="76"/>
      <c r="Q144" s="76"/>
      <c r="R144" s="76"/>
      <c r="S144" s="76"/>
      <c r="T144" s="76"/>
      <c r="U144" s="76"/>
      <c r="V144" s="76"/>
      <c r="W144" s="76"/>
      <c r="X144" s="76"/>
      <c r="Y144" s="76"/>
      <c r="Z144" s="76"/>
      <c r="AA144" s="76"/>
      <c r="AB144" s="76"/>
      <c r="AC144" s="76"/>
      <c r="AD144" s="76"/>
      <c r="AE144" s="76"/>
      <c r="AF144" s="76"/>
      <c r="AG144" s="76"/>
      <c r="AH144" s="76"/>
      <c r="AI144" s="76" t="str">
        <f ca="1">IFERROR(__xludf.DUMMYFUNCTION("""COMPUTED_VALUE"""),"=IF($AO$2=1;COUNTIF(Interface!$C$22:$C$27;$A144);0)")</f>
        <v>=IF($AO$2=1;COUNTIF(Interface!$C$22:$C$27;$A144);0)</v>
      </c>
      <c r="AJ144" s="76" t="str">
        <f ca="1">IFERROR(__xludf.DUMMYFUNCTION("""COMPUTED_VALUE"""),"=IF($AO$2=2;COUNTIF(Interface!$C$30:$C$35;$A144);0)")</f>
        <v>=IF($AO$2=2;COUNTIF(Interface!$C$30:$C$35;$A144);0)</v>
      </c>
      <c r="AK144" s="76"/>
      <c r="AL144" s="76"/>
      <c r="AM144" s="76" t="str">
        <f ca="1">IFERROR(__xludf.DUMMYFUNCTION("""COMPUTED_VALUE"""),"=COUNTIF(Interface!$O$18:$O$23;$A144)")</f>
        <v>=COUNTIF(Interface!$O$18:$O$23;$A144)</v>
      </c>
      <c r="AN144" s="76" t="str">
        <f ca="1">IFERROR(__xludf.DUMMYFUNCTION("""COMPUTED_VALUE"""),"=Image(""https://ddragon.leagueoflegends.com/cdn/12.22.1/img/item/6664.png"")")</f>
        <v>=Image("https://ddragon.leagueoflegends.com/cdn/12.22.1/img/item/6664.png")</v>
      </c>
      <c r="AO144" s="76" t="b">
        <f ca="1">IFERROR(__xludf.DUMMYFUNCTION("""COMPUTED_VALUE"""),TRUE)</f>
        <v>1</v>
      </c>
    </row>
    <row r="145" spans="1:41">
      <c r="A145" s="644" t="str">
        <f ca="1">IFERROR(__xludf.DUMMYFUNCTION("""COMPUTED_VALUE"""),"Umbral Glaive")</f>
        <v>Umbral Glaive</v>
      </c>
      <c r="B145" s="84" t="str">
        <f ca="1">IFERROR(__xludf.DUMMYFUNCTION("""COMPUTED_VALUE"""),"=2300")</f>
        <v>=2300</v>
      </c>
      <c r="C145" s="84"/>
      <c r="D145" s="84"/>
      <c r="E145" s="84"/>
      <c r="F145" s="84"/>
      <c r="G145" s="84" t="str">
        <f ca="1">IFERROR(__xludf.DUMMYFUNCTION("""COMPUTED_VALUE"""),"=50")</f>
        <v>=50</v>
      </c>
      <c r="H145" s="84"/>
      <c r="I145" s="84"/>
      <c r="J145" s="84"/>
      <c r="K145" s="84"/>
      <c r="L145" s="72"/>
      <c r="M145" s="72" t="str">
        <f ca="1">IFERROR(__xludf.DUMMYFUNCTION("""COMPUTED_VALUE"""),"=15")</f>
        <v>=15</v>
      </c>
      <c r="N145" s="72"/>
      <c r="O145" s="72" t="str">
        <f ca="1">IFERROR(__xludf.DUMMYFUNCTION("""COMPUTED_VALUE"""),"=10")</f>
        <v>=10</v>
      </c>
      <c r="P145" s="72"/>
      <c r="Q145" s="72"/>
      <c r="R145" s="72"/>
      <c r="S145" s="72"/>
      <c r="T145" s="72"/>
      <c r="U145" s="72"/>
      <c r="V145" s="72"/>
      <c r="W145" s="72"/>
      <c r="X145" s="72"/>
      <c r="Y145" s="72"/>
      <c r="Z145" s="72"/>
      <c r="AA145" s="72"/>
      <c r="AB145" s="72"/>
      <c r="AC145" s="72"/>
      <c r="AD145" s="72"/>
      <c r="AE145" s="72"/>
      <c r="AF145" s="72"/>
      <c r="AG145" s="72"/>
      <c r="AH145" s="72"/>
      <c r="AI145" s="72" t="str">
        <f ca="1">IFERROR(__xludf.DUMMYFUNCTION("""COMPUTED_VALUE"""),"=IF($AO$2=1;COUNTIF(Interface!$C$22:$C$27;$A145);0)")</f>
        <v>=IF($AO$2=1;COUNTIF(Interface!$C$22:$C$27;$A145);0)</v>
      </c>
      <c r="AJ145" s="72" t="str">
        <f ca="1">IFERROR(__xludf.DUMMYFUNCTION("""COMPUTED_VALUE"""),"=IF($AO$2=2;COUNTIF(Interface!$C$30:$C$35;$A145);0)")</f>
        <v>=IF($AO$2=2;COUNTIF(Interface!$C$30:$C$35;$A145);0)</v>
      </c>
      <c r="AK145" s="72"/>
      <c r="AL145" s="72"/>
      <c r="AM145" s="72" t="str">
        <f ca="1">IFERROR(__xludf.DUMMYFUNCTION("""COMPUTED_VALUE"""),"=COUNTIF(Interface!$O$18:$O$23;$A145)")</f>
        <v>=COUNTIF(Interface!$O$18:$O$23;$A145)</v>
      </c>
      <c r="AN145" s="72" t="str">
        <f ca="1">IFERROR(__xludf.DUMMYFUNCTION("""COMPUTED_VALUE"""),"=Image(""https://ddragon.leagueoflegends.com/cdn/12.22.1/img/item/3179.png"")")</f>
        <v>=Image("https://ddragon.leagueoflegends.com/cdn/12.22.1/img/item/3179.png")</v>
      </c>
      <c r="AO145" s="72" t="b">
        <f ca="1">IFERROR(__xludf.DUMMYFUNCTION("""COMPUTED_VALUE"""),TRUE)</f>
        <v>1</v>
      </c>
    </row>
    <row r="146" spans="1:41">
      <c r="A146" s="643" t="str">
        <f ca="1">IFERROR(__xludf.DUMMYFUNCTION("""COMPUTED_VALUE"""),"Vampiric Scepter")</f>
        <v>Vampiric Scepter</v>
      </c>
      <c r="B146" s="78" t="str">
        <f ca="1">IFERROR(__xludf.DUMMYFUNCTION("""COMPUTED_VALUE"""),"=900")</f>
        <v>=900</v>
      </c>
      <c r="C146" s="78"/>
      <c r="D146" s="78"/>
      <c r="E146" s="78"/>
      <c r="F146" s="78"/>
      <c r="G146" s="78" t="str">
        <f ca="1">IFERROR(__xludf.DUMMYFUNCTION("""COMPUTED_VALUE"""),"=15")</f>
        <v>=15</v>
      </c>
      <c r="H146" s="78"/>
      <c r="I146" s="78"/>
      <c r="J146" s="78"/>
      <c r="K146" s="78"/>
      <c r="L146" s="76"/>
      <c r="M146" s="76"/>
      <c r="N146" s="76" t="str">
        <f ca="1">IFERROR(__xludf.DUMMYFUNCTION("""COMPUTED_VALUE"""),"=7")</f>
        <v>=7</v>
      </c>
      <c r="O146" s="76"/>
      <c r="P146" s="76"/>
      <c r="Q146" s="76"/>
      <c r="R146" s="76"/>
      <c r="S146" s="76"/>
      <c r="T146" s="76"/>
      <c r="U146" s="76"/>
      <c r="V146" s="76"/>
      <c r="W146" s="76"/>
      <c r="X146" s="76"/>
      <c r="Y146" s="76"/>
      <c r="Z146" s="76"/>
      <c r="AA146" s="76"/>
      <c r="AB146" s="76"/>
      <c r="AC146" s="76"/>
      <c r="AD146" s="76"/>
      <c r="AE146" s="76"/>
      <c r="AF146" s="76"/>
      <c r="AG146" s="76"/>
      <c r="AH146" s="76"/>
      <c r="AI146" s="76" t="str">
        <f ca="1">IFERROR(__xludf.DUMMYFUNCTION("""COMPUTED_VALUE"""),"=IF($AO$2=1;COUNTIF(Interface!$C$22:$C$27;$A146);0)")</f>
        <v>=IF($AO$2=1;COUNTIF(Interface!$C$22:$C$27;$A146);0)</v>
      </c>
      <c r="AJ146" s="76" t="str">
        <f ca="1">IFERROR(__xludf.DUMMYFUNCTION("""COMPUTED_VALUE"""),"=IF($AO$2=2;COUNTIF(Interface!$C$30:$C$35;$A146);0)")</f>
        <v>=IF($AO$2=2;COUNTIF(Interface!$C$30:$C$35;$A146);0)</v>
      </c>
      <c r="AK146" s="76"/>
      <c r="AL146" s="76"/>
      <c r="AM146" s="76" t="str">
        <f ca="1">IFERROR(__xludf.DUMMYFUNCTION("""COMPUTED_VALUE"""),"=COUNTIF(Interface!$O$18:$O$23;$A146)")</f>
        <v>=COUNTIF(Interface!$O$18:$O$23;$A146)</v>
      </c>
      <c r="AN146" s="76" t="str">
        <f ca="1">IFERROR(__xludf.DUMMYFUNCTION("""COMPUTED_VALUE"""),"=Image(""https://ddragon.leagueoflegends.com/cdn/12.22.1/img/item/1053.png"")")</f>
        <v>=Image("https://ddragon.leagueoflegends.com/cdn/12.22.1/img/item/1053.png")</v>
      </c>
      <c r="AO146" s="76" t="b">
        <f ca="1">IFERROR(__xludf.DUMMYFUNCTION("""COMPUTED_VALUE"""),FALSE)</f>
        <v>0</v>
      </c>
    </row>
    <row r="147" spans="1:41">
      <c r="A147" s="644" t="str">
        <f ca="1">IFERROR(__xludf.DUMMYFUNCTION("""COMPUTED_VALUE"""),"Verdant Barrier")</f>
        <v>Verdant Barrier</v>
      </c>
      <c r="B147" s="84" t="str">
        <f ca="1">IFERROR(__xludf.DUMMYFUNCTION("""COMPUTED_VALUE"""),"=1000")</f>
        <v>=1000</v>
      </c>
      <c r="C147" s="84"/>
      <c r="D147" s="84"/>
      <c r="E147" s="84"/>
      <c r="F147" s="84"/>
      <c r="G147" s="84"/>
      <c r="H147" s="84" t="str">
        <f ca="1">IFERROR(__xludf.DUMMYFUNCTION("""COMPUTED_VALUE"""),"=20")</f>
        <v>=20</v>
      </c>
      <c r="I147" s="84"/>
      <c r="J147" s="84" t="str">
        <f ca="1">IFERROR(__xludf.DUMMYFUNCTION("""COMPUTED_VALUE"""),"=34")</f>
        <v>=34</v>
      </c>
      <c r="K147" s="84"/>
      <c r="L147" s="72"/>
      <c r="M147" s="72"/>
      <c r="N147" s="72"/>
      <c r="O147" s="72"/>
      <c r="P147" s="72"/>
      <c r="Q147" s="72"/>
      <c r="R147" s="72"/>
      <c r="S147" s="72"/>
      <c r="T147" s="72"/>
      <c r="U147" s="72"/>
      <c r="V147" s="72"/>
      <c r="W147" s="72"/>
      <c r="X147" s="72"/>
      <c r="Y147" s="72"/>
      <c r="Z147" s="72"/>
      <c r="AA147" s="72"/>
      <c r="AB147" s="72"/>
      <c r="AC147" s="72"/>
      <c r="AD147" s="72"/>
      <c r="AE147" s="72"/>
      <c r="AF147" s="72"/>
      <c r="AG147" s="72"/>
      <c r="AH147" s="72"/>
      <c r="AI147" s="72" t="str">
        <f ca="1">IFERROR(__xludf.DUMMYFUNCTION("""COMPUTED_VALUE"""),"=IF($AO$2=1;COUNTIF(Interface!$C$22:$C$27;$A147);0)")</f>
        <v>=IF($AO$2=1;COUNTIF(Interface!$C$22:$C$27;$A147);0)</v>
      </c>
      <c r="AJ147" s="72" t="str">
        <f ca="1">IFERROR(__xludf.DUMMYFUNCTION("""COMPUTED_VALUE"""),"=IF($AO$2=2;COUNTIF(Interface!$C$30:$C$35;$A147);0)")</f>
        <v>=IF($AO$2=2;COUNTIF(Interface!$C$30:$C$35;$A147);0)</v>
      </c>
      <c r="AK147" s="72"/>
      <c r="AL147" s="72"/>
      <c r="AM147" s="72" t="str">
        <f ca="1">IFERROR(__xludf.DUMMYFUNCTION("""COMPUTED_VALUE"""),"=COUNTIF(Interface!$O$18:$O$23;$A147)")</f>
        <v>=COUNTIF(Interface!$O$18:$O$23;$A147)</v>
      </c>
      <c r="AN147" s="72" t="str">
        <f ca="1">IFERROR(__xludf.DUMMYFUNCTION("""COMPUTED_VALUE"""),"=Image(""https://ddragon.leagueoflegends.com/cdn/12.22.1/img/item/4632.png"")")</f>
        <v>=Image("https://ddragon.leagueoflegends.com/cdn/12.22.1/img/item/4632.png")</v>
      </c>
      <c r="AO147" s="72" t="b">
        <f ca="1">IFERROR(__xludf.DUMMYFUNCTION("""COMPUTED_VALUE"""),FALSE)</f>
        <v>0</v>
      </c>
    </row>
    <row r="148" spans="1:41">
      <c r="A148" s="643" t="str">
        <f ca="1">IFERROR(__xludf.DUMMYFUNCTION("""COMPUTED_VALUE"""),"Vigilant Wardstone")</f>
        <v>Vigilant Wardstone</v>
      </c>
      <c r="B148" s="78" t="str">
        <f ca="1">IFERROR(__xludf.DUMMYFUNCTION("""COMPUTED_VALUE"""),"=2300")</f>
        <v>=2300</v>
      </c>
      <c r="C148" s="78" t="str">
        <f ca="1">IFERROR(__xludf.DUMMYFUNCTION("""COMPUTED_VALUE"""),"=250")</f>
        <v>=250</v>
      </c>
      <c r="D148" s="78"/>
      <c r="E148" s="78"/>
      <c r="F148" s="78" t="str">
        <f ca="1">IFERROR(__xludf.DUMMYFUNCTION("""COMPUTED_VALUE"""),"=0,5")</f>
        <v>=0,5</v>
      </c>
      <c r="G148" s="78"/>
      <c r="H148" s="645"/>
      <c r="I148" s="78"/>
      <c r="J148" s="78"/>
      <c r="K148" s="78"/>
      <c r="L148" s="76"/>
      <c r="M148" s="76" t="str">
        <f ca="1">IFERROR(__xludf.DUMMYFUNCTION("""COMPUTED_VALUE"""),"=10")</f>
        <v>=10</v>
      </c>
      <c r="N148" s="76"/>
      <c r="O148" s="76"/>
      <c r="P148" s="76"/>
      <c r="Q148" s="76"/>
      <c r="R148" s="76"/>
      <c r="S148" s="76"/>
      <c r="T148" s="76"/>
      <c r="U148" s="76"/>
      <c r="V148" s="76"/>
      <c r="W148" s="76"/>
      <c r="X148" s="76"/>
      <c r="Y148" s="76"/>
      <c r="Z148" s="76"/>
      <c r="AA148" s="76"/>
      <c r="AB148" s="76"/>
      <c r="AC148" s="76"/>
      <c r="AD148" s="76"/>
      <c r="AE148" s="76"/>
      <c r="AF148" s="76"/>
      <c r="AG148" s="76"/>
      <c r="AH148" s="76"/>
      <c r="AI148" s="76" t="str">
        <f ca="1">IFERROR(__xludf.DUMMYFUNCTION("""COMPUTED_VALUE"""),"=IF($AO$2=1;COUNTIF(Interface!$C$22:$C$27;$A148);0)")</f>
        <v>=IF($AO$2=1;COUNTIF(Interface!$C$22:$C$27;$A148);0)</v>
      </c>
      <c r="AJ148" s="76" t="str">
        <f ca="1">IFERROR(__xludf.DUMMYFUNCTION("""COMPUTED_VALUE"""),"=IF($AO$2=2;COUNTIF(Interface!$C$30:$C$35;$A148);0)")</f>
        <v>=IF($AO$2=2;COUNTIF(Interface!$C$30:$C$35;$A148);0)</v>
      </c>
      <c r="AK148" s="76"/>
      <c r="AL148" s="76"/>
      <c r="AM148" s="76" t="str">
        <f ca="1">IFERROR(__xludf.DUMMYFUNCTION("""COMPUTED_VALUE"""),"=COUNTIF(Interface!$O$18:$O$23;$A148)")</f>
        <v>=COUNTIF(Interface!$O$18:$O$23;$A148)</v>
      </c>
      <c r="AN148" s="76" t="str">
        <f ca="1">IFERROR(__xludf.DUMMYFUNCTION("""COMPUTED_VALUE"""),"=Image(""https://ddragon.leagueoflegends.com/cdn/12.22.1/img/item/4643.png"")")</f>
        <v>=Image("https://ddragon.leagueoflegends.com/cdn/12.22.1/img/item/4643.png")</v>
      </c>
      <c r="AO148" s="76" t="b">
        <f ca="1">IFERROR(__xludf.DUMMYFUNCTION("""COMPUTED_VALUE"""),TRUE)</f>
        <v>1</v>
      </c>
    </row>
    <row r="149" spans="1:41">
      <c r="A149" s="644" t="str">
        <f ca="1">IFERROR(__xludf.DUMMYFUNCTION("""COMPUTED_VALUE"""),"Void Staff")</f>
        <v>Void Staff</v>
      </c>
      <c r="B149" s="84" t="str">
        <f ca="1">IFERROR(__xludf.DUMMYFUNCTION("""COMPUTED_VALUE"""),"=2800")</f>
        <v>=2800</v>
      </c>
      <c r="C149" s="84"/>
      <c r="D149" s="84"/>
      <c r="E149" s="84"/>
      <c r="F149" s="84"/>
      <c r="G149" s="646"/>
      <c r="H149" s="84" t="str">
        <f ca="1">IFERROR(__xludf.DUMMYFUNCTION("""COMPUTED_VALUE"""),"=65")</f>
        <v>=65</v>
      </c>
      <c r="I149" s="84"/>
      <c r="J149" s="84"/>
      <c r="K149" s="84"/>
      <c r="L149" s="72"/>
      <c r="M149" s="72"/>
      <c r="N149" s="72"/>
      <c r="O149" s="72"/>
      <c r="P149" s="72"/>
      <c r="Q149" s="72"/>
      <c r="R149" s="72"/>
      <c r="S149" s="72"/>
      <c r="T149" s="72"/>
      <c r="U149" s="72"/>
      <c r="V149" s="72"/>
      <c r="W149" s="72"/>
      <c r="X149" s="72"/>
      <c r="Y149" s="72"/>
      <c r="Z149" s="72" t="str">
        <f ca="1">IFERROR(__xludf.DUMMYFUNCTION("""COMPUTED_VALUE"""),"=40")</f>
        <v>=40</v>
      </c>
      <c r="AA149" s="72"/>
      <c r="AB149" s="72"/>
      <c r="AC149" s="72"/>
      <c r="AD149" s="72"/>
      <c r="AE149" s="72"/>
      <c r="AF149" s="72"/>
      <c r="AG149" s="72"/>
      <c r="AH149" s="72"/>
      <c r="AI149" s="72" t="str">
        <f ca="1">IFERROR(__xludf.DUMMYFUNCTION("""COMPUTED_VALUE"""),"=IF($AO$2=1;COUNTIF(Interface!$C$22:$C$27;$A149);0)")</f>
        <v>=IF($AO$2=1;COUNTIF(Interface!$C$22:$C$27;$A149);0)</v>
      </c>
      <c r="AJ149" s="72" t="str">
        <f ca="1">IFERROR(__xludf.DUMMYFUNCTION("""COMPUTED_VALUE"""),"=IF($AO$2=2;COUNTIF(Interface!$C$30:$C$35;$A149);0)")</f>
        <v>=IF($AO$2=2;COUNTIF(Interface!$C$30:$C$35;$A149);0)</v>
      </c>
      <c r="AK149" s="72"/>
      <c r="AL149" s="72"/>
      <c r="AM149" s="72" t="str">
        <f ca="1">IFERROR(__xludf.DUMMYFUNCTION("""COMPUTED_VALUE"""),"=COUNTIF(Interface!$O$18:$O$23;$A149)")</f>
        <v>=COUNTIF(Interface!$O$18:$O$23;$A149)</v>
      </c>
      <c r="AN149" s="72" t="str">
        <f ca="1">IFERROR(__xludf.DUMMYFUNCTION("""COMPUTED_VALUE"""),"=Image(""https://ddragon.leagueoflegends.com/cdn/12.22.1/img/item/3135.png"")")</f>
        <v>=Image("https://ddragon.leagueoflegends.com/cdn/12.22.1/img/item/3135.png")</v>
      </c>
      <c r="AO149" s="72" t="b">
        <f ca="1">IFERROR(__xludf.DUMMYFUNCTION("""COMPUTED_VALUE"""),TRUE)</f>
        <v>1</v>
      </c>
    </row>
    <row r="150" spans="1:41">
      <c r="A150" s="643" t="str">
        <f ca="1">IFERROR(__xludf.DUMMYFUNCTION("""COMPUTED_VALUE"""),"Warden's Mail")</f>
        <v>Warden's Mail</v>
      </c>
      <c r="B150" s="78" t="str">
        <f ca="1">IFERROR(__xludf.DUMMYFUNCTION("""COMPUTED_VALUE"""),"=1000")</f>
        <v>=1000</v>
      </c>
      <c r="C150" s="78"/>
      <c r="D150" s="78"/>
      <c r="E150" s="78"/>
      <c r="F150" s="78"/>
      <c r="G150" s="78"/>
      <c r="H150" s="78"/>
      <c r="I150" s="645" t="str">
        <f ca="1">IFERROR(__xludf.DUMMYFUNCTION("""COMPUTED_VALUE"""),"=40")</f>
        <v>=40</v>
      </c>
      <c r="J150" s="78"/>
      <c r="K150" s="78"/>
      <c r="L150" s="76"/>
      <c r="M150" s="76"/>
      <c r="N150" s="76"/>
      <c r="O150" s="76"/>
      <c r="P150" s="76"/>
      <c r="Q150" s="76"/>
      <c r="R150" s="76"/>
      <c r="S150" s="76"/>
      <c r="T150" s="76"/>
      <c r="U150" s="76"/>
      <c r="V150" s="76"/>
      <c r="W150" s="76"/>
      <c r="X150" s="76"/>
      <c r="Y150" s="76"/>
      <c r="Z150" s="76"/>
      <c r="AA150" s="76"/>
      <c r="AB150" s="76"/>
      <c r="AC150" s="76"/>
      <c r="AD150" s="76"/>
      <c r="AE150" s="76"/>
      <c r="AF150" s="76"/>
      <c r="AG150" s="76"/>
      <c r="AH150" s="76"/>
      <c r="AI150" s="76" t="str">
        <f ca="1">IFERROR(__xludf.DUMMYFUNCTION("""COMPUTED_VALUE"""),"=IF($AO$2=1;COUNTIF(Interface!$C$22:$C$27;$A150);0)")</f>
        <v>=IF($AO$2=1;COUNTIF(Interface!$C$22:$C$27;$A150);0)</v>
      </c>
      <c r="AJ150" s="76" t="str">
        <f ca="1">IFERROR(__xludf.DUMMYFUNCTION("""COMPUTED_VALUE"""),"=IF($AO$2=2;COUNTIF(Interface!$C$30:$C$35;$A150);0)")</f>
        <v>=IF($AO$2=2;COUNTIF(Interface!$C$30:$C$35;$A150);0)</v>
      </c>
      <c r="AK150" s="76"/>
      <c r="AL150" s="76"/>
      <c r="AM150" s="76" t="str">
        <f ca="1">IFERROR(__xludf.DUMMYFUNCTION("""COMPUTED_VALUE"""),"=COUNTIF(Interface!$O$18:$O$23;$A150)")</f>
        <v>=COUNTIF(Interface!$O$18:$O$23;$A150)</v>
      </c>
      <c r="AN150" s="76" t="str">
        <f ca="1">IFERROR(__xludf.DUMMYFUNCTION("""COMPUTED_VALUE"""),"=Image(""https://ddragon.leagueoflegends.com/cdn/12.22.1/img/item/3082.png"")")</f>
        <v>=Image("https://ddragon.leagueoflegends.com/cdn/12.22.1/img/item/3082.png")</v>
      </c>
      <c r="AO150" s="76" t="b">
        <f ca="1">IFERROR(__xludf.DUMMYFUNCTION("""COMPUTED_VALUE"""),FALSE)</f>
        <v>0</v>
      </c>
    </row>
    <row r="151" spans="1:41">
      <c r="A151" s="644" t="str">
        <f ca="1">IFERROR(__xludf.DUMMYFUNCTION("""COMPUTED_VALUE"""),"Warmog's Armor")</f>
        <v>Warmog's Armor</v>
      </c>
      <c r="B151" s="84" t="str">
        <f ca="1">IFERROR(__xludf.DUMMYFUNCTION("""COMPUTED_VALUE"""),"=3000")</f>
        <v>=3000</v>
      </c>
      <c r="C151" s="84" t="str">
        <f ca="1">IFERROR(__xludf.DUMMYFUNCTION("""COMPUTED_VALUE"""),"=800")</f>
        <v>=800</v>
      </c>
      <c r="D151" s="84" t="str">
        <f ca="1">IFERROR(__xludf.DUMMYFUNCTION("""COMPUTED_VALUE"""),"=2")</f>
        <v>=2</v>
      </c>
      <c r="E151" s="84"/>
      <c r="F151" s="84"/>
      <c r="G151" s="84"/>
      <c r="H151" s="84"/>
      <c r="I151" s="84"/>
      <c r="J151" s="84"/>
      <c r="K151" s="84"/>
      <c r="L151" s="72"/>
      <c r="M151" s="72" t="str">
        <f ca="1">IFERROR(__xludf.DUMMYFUNCTION("""COMPUTED_VALUE"""),"=10")</f>
        <v>=10</v>
      </c>
      <c r="N151" s="72"/>
      <c r="O151" s="72"/>
      <c r="P151" s="72"/>
      <c r="Q151" s="72"/>
      <c r="R151" s="72"/>
      <c r="S151" s="72"/>
      <c r="T151" s="72"/>
      <c r="U151" s="72"/>
      <c r="V151" s="72"/>
      <c r="W151" s="72"/>
      <c r="X151" s="72"/>
      <c r="Y151" s="72"/>
      <c r="Z151" s="72"/>
      <c r="AA151" s="72"/>
      <c r="AB151" s="72"/>
      <c r="AC151" s="72"/>
      <c r="AD151" s="72"/>
      <c r="AE151" s="72"/>
      <c r="AF151" s="72"/>
      <c r="AG151" s="72"/>
      <c r="AH151" s="72"/>
      <c r="AI151" s="72" t="str">
        <f ca="1">IFERROR(__xludf.DUMMYFUNCTION("""COMPUTED_VALUE"""),"=IF($AO$2=1;COUNTIF(Interface!$C$22:$C$27;$A151);0)")</f>
        <v>=IF($AO$2=1;COUNTIF(Interface!$C$22:$C$27;$A151);0)</v>
      </c>
      <c r="AJ151" s="72" t="str">
        <f ca="1">IFERROR(__xludf.DUMMYFUNCTION("""COMPUTED_VALUE"""),"=IF($AO$2=2;COUNTIF(Interface!$C$30:$C$35;$A151);0)")</f>
        <v>=IF($AO$2=2;COUNTIF(Interface!$C$30:$C$35;$A151);0)</v>
      </c>
      <c r="AK151" s="72"/>
      <c r="AL151" s="72"/>
      <c r="AM151" s="72" t="str">
        <f ca="1">IFERROR(__xludf.DUMMYFUNCTION("""COMPUTED_VALUE"""),"=COUNTIF(Interface!$O$18:$O$23;$A151)")</f>
        <v>=COUNTIF(Interface!$O$18:$O$23;$A151)</v>
      </c>
      <c r="AN151" s="72" t="str">
        <f ca="1">IFERROR(__xludf.DUMMYFUNCTION("""COMPUTED_VALUE"""),"=Image(""https://ddragon.leagueoflegends.com/cdn/12.22.1/img/item/3083.png"")")</f>
        <v>=Image("https://ddragon.leagueoflegends.com/cdn/12.22.1/img/item/3083.png")</v>
      </c>
      <c r="AO151" s="72" t="b">
        <f ca="1">IFERROR(__xludf.DUMMYFUNCTION("""COMPUTED_VALUE"""),TRUE)</f>
        <v>1</v>
      </c>
    </row>
    <row r="152" spans="1:41">
      <c r="A152" s="643" t="str">
        <f ca="1">IFERROR(__xludf.DUMMYFUNCTION("""COMPUTED_VALUE"""),"Watchful Wardstone")</f>
        <v>Watchful Wardstone</v>
      </c>
      <c r="B152" s="78" t="str">
        <f ca="1">IFERROR(__xludf.DUMMYFUNCTION("""COMPUTED_VALUE"""),"=1100")</f>
        <v>=1100</v>
      </c>
      <c r="C152" s="78" t="str">
        <f ca="1">IFERROR(__xludf.DUMMYFUNCTION("""COMPUTED_VALUE"""),"=150")</f>
        <v>=150</v>
      </c>
      <c r="D152" s="78"/>
      <c r="E152" s="78"/>
      <c r="F152" s="78" t="str">
        <f ca="1">IFERROR(__xludf.DUMMYFUNCTION("""COMPUTED_VALUE"""),"=0,5")</f>
        <v>=0,5</v>
      </c>
      <c r="G152" s="78"/>
      <c r="H152" s="645"/>
      <c r="I152" s="78"/>
      <c r="J152" s="78"/>
      <c r="K152" s="78"/>
      <c r="L152" s="76"/>
      <c r="M152" s="76" t="str">
        <f ca="1">IFERROR(__xludf.DUMMYFUNCTION("""COMPUTED_VALUE"""),"=10")</f>
        <v>=10</v>
      </c>
      <c r="N152" s="76"/>
      <c r="O152" s="76"/>
      <c r="P152" s="76"/>
      <c r="Q152" s="76"/>
      <c r="R152" s="76"/>
      <c r="S152" s="76"/>
      <c r="T152" s="76"/>
      <c r="U152" s="76"/>
      <c r="V152" s="76"/>
      <c r="W152" s="76"/>
      <c r="X152" s="76"/>
      <c r="Y152" s="76"/>
      <c r="Z152" s="76"/>
      <c r="AA152" s="76"/>
      <c r="AB152" s="76"/>
      <c r="AC152" s="76"/>
      <c r="AD152" s="76"/>
      <c r="AE152" s="76"/>
      <c r="AF152" s="76"/>
      <c r="AG152" s="76"/>
      <c r="AH152" s="76"/>
      <c r="AI152" s="76" t="str">
        <f ca="1">IFERROR(__xludf.DUMMYFUNCTION("""COMPUTED_VALUE"""),"=IF($AO$2=1;COUNTIF(Interface!$C$22:$C$27;$A152);0)")</f>
        <v>=IF($AO$2=1;COUNTIF(Interface!$C$22:$C$27;$A152);0)</v>
      </c>
      <c r="AJ152" s="76" t="str">
        <f ca="1">IFERROR(__xludf.DUMMYFUNCTION("""COMPUTED_VALUE"""),"=IF($AO$2=2;COUNTIF(Interface!$C$30:$C$35;$A152);0)")</f>
        <v>=IF($AO$2=2;COUNTIF(Interface!$C$30:$C$35;$A152);0)</v>
      </c>
      <c r="AK152" s="76"/>
      <c r="AL152" s="76"/>
      <c r="AM152" s="76" t="str">
        <f ca="1">IFERROR(__xludf.DUMMYFUNCTION("""COMPUTED_VALUE"""),"=COUNTIF(Interface!$O$18:$O$23;$A152)")</f>
        <v>=COUNTIF(Interface!$O$18:$O$23;$A152)</v>
      </c>
      <c r="AN152" s="76" t="str">
        <f ca="1">IFERROR(__xludf.DUMMYFUNCTION("""COMPUTED_VALUE"""),"=Image(""https://ddragon.leagueoflegends.com/cdn/12.22.1/img/item/4638.png"")")</f>
        <v>=Image("https://ddragon.leagueoflegends.com/cdn/12.22.1/img/item/4638.png")</v>
      </c>
      <c r="AO152" s="76" t="b">
        <f ca="1">IFERROR(__xludf.DUMMYFUNCTION("""COMPUTED_VALUE"""),TRUE)</f>
        <v>1</v>
      </c>
    </row>
    <row r="153" spans="1:41">
      <c r="A153" s="644" t="str">
        <f ca="1">IFERROR(__xludf.DUMMYFUNCTION("""COMPUTED_VALUE"""),"Winged Moonplate")</f>
        <v>Winged Moonplate</v>
      </c>
      <c r="B153" s="84" t="str">
        <f ca="1">IFERROR(__xludf.DUMMYFUNCTION("""COMPUTED_VALUE"""),"=800")</f>
        <v>=800</v>
      </c>
      <c r="C153" s="84" t="str">
        <f ca="1">IFERROR(__xludf.DUMMYFUNCTION("""COMPUTED_VALUE"""),"=150")</f>
        <v>=150</v>
      </c>
      <c r="D153" s="84"/>
      <c r="E153" s="84"/>
      <c r="F153" s="84"/>
      <c r="G153" s="84"/>
      <c r="H153" s="84"/>
      <c r="I153" s="646"/>
      <c r="J153" s="84"/>
      <c r="K153" s="646"/>
      <c r="L153" s="72"/>
      <c r="M153" s="72"/>
      <c r="N153" s="72"/>
      <c r="O153" s="72"/>
      <c r="P153" s="72"/>
      <c r="Q153" s="72"/>
      <c r="R153" s="72" t="str">
        <f ca="1">IFERROR(__xludf.DUMMYFUNCTION("""COMPUTED_VALUE"""),"=5")</f>
        <v>=5</v>
      </c>
      <c r="S153" s="72"/>
      <c r="T153" s="72"/>
      <c r="U153" s="72"/>
      <c r="V153" s="72"/>
      <c r="W153" s="72"/>
      <c r="X153" s="72"/>
      <c r="Y153" s="72"/>
      <c r="Z153" s="72"/>
      <c r="AA153" s="72"/>
      <c r="AB153" s="72"/>
      <c r="AC153" s="72"/>
      <c r="AD153" s="72"/>
      <c r="AE153" s="72"/>
      <c r="AF153" s="72"/>
      <c r="AG153" s="72"/>
      <c r="AH153" s="72"/>
      <c r="AI153" s="72" t="str">
        <f ca="1">IFERROR(__xludf.DUMMYFUNCTION("""COMPUTED_VALUE"""),"=IF($AO$2=1;COUNTIF(Interface!$C$22:$C$27;$A153);0)")</f>
        <v>=IF($AO$2=1;COUNTIF(Interface!$C$22:$C$27;$A153);0)</v>
      </c>
      <c r="AJ153" s="72" t="str">
        <f ca="1">IFERROR(__xludf.DUMMYFUNCTION("""COMPUTED_VALUE"""),"=IF($AO$2=2;COUNTIF(Interface!$C$30:$C$35;$A153);0)")</f>
        <v>=IF($AO$2=2;COUNTIF(Interface!$C$30:$C$35;$A153);0)</v>
      </c>
      <c r="AK153" s="72"/>
      <c r="AL153" s="72"/>
      <c r="AM153" s="72" t="str">
        <f ca="1">IFERROR(__xludf.DUMMYFUNCTION("""COMPUTED_VALUE"""),"=COUNTIF(Interface!$O$18:$O$23;$A153)")</f>
        <v>=COUNTIF(Interface!$O$18:$O$23;$A153)</v>
      </c>
      <c r="AN153" s="72" t="str">
        <f ca="1">IFERROR(__xludf.DUMMYFUNCTION("""COMPUTED_VALUE"""),"=Image(""https://ddragon.leagueoflegends.com/cdn/12.22.1/img/item/3066.png"")")</f>
        <v>=Image("https://ddragon.leagueoflegends.com/cdn/12.22.1/img/item/3066.png")</v>
      </c>
      <c r="AO153" s="72" t="b">
        <f ca="1">IFERROR(__xludf.DUMMYFUNCTION("""COMPUTED_VALUE"""),FALSE)</f>
        <v>0</v>
      </c>
    </row>
    <row r="154" spans="1:41">
      <c r="A154" s="643" t="str">
        <f ca="1">IFERROR(__xludf.DUMMYFUNCTION("""COMPUTED_VALUE"""),"Winter's Approach")</f>
        <v>Winter's Approach</v>
      </c>
      <c r="B154" s="78" t="str">
        <f ca="1">IFERROR(__xludf.DUMMYFUNCTION("""COMPUTED_VALUE"""),"=2600")</f>
        <v>=2600</v>
      </c>
      <c r="C154" s="78" t="str">
        <f ca="1">IFERROR(__xludf.DUMMYFUNCTION("""COMPUTED_VALUE"""),"=400")</f>
        <v>=400</v>
      </c>
      <c r="D154" s="78"/>
      <c r="E154" s="78" t="str">
        <f ca="1">IFERROR(__xludf.DUMMYFUNCTION("""COMPUTED_VALUE"""),"=500")</f>
        <v>=500</v>
      </c>
      <c r="F154" s="78"/>
      <c r="G154" s="78"/>
      <c r="H154" s="78"/>
      <c r="I154" s="78"/>
      <c r="J154" s="78"/>
      <c r="K154" s="78"/>
      <c r="L154" s="76"/>
      <c r="M154" s="76" t="str">
        <f ca="1">IFERROR(__xludf.DUMMYFUNCTION("""COMPUTED_VALUE"""),"=15")</f>
        <v>=15</v>
      </c>
      <c r="N154" s="76"/>
      <c r="O154" s="76"/>
      <c r="P154" s="76"/>
      <c r="Q154" s="76"/>
      <c r="R154" s="76"/>
      <c r="S154" s="76"/>
      <c r="T154" s="76"/>
      <c r="U154" s="76"/>
      <c r="V154" s="76"/>
      <c r="W154" s="76"/>
      <c r="X154" s="76"/>
      <c r="Y154" s="76"/>
      <c r="Z154" s="76"/>
      <c r="AA154" s="76"/>
      <c r="AB154" s="76"/>
      <c r="AC154" s="76"/>
      <c r="AD154" s="76"/>
      <c r="AE154" s="76"/>
      <c r="AF154" s="76"/>
      <c r="AG154" s="76"/>
      <c r="AH154" s="76"/>
      <c r="AI154" s="76" t="str">
        <f ca="1">IFERROR(__xludf.DUMMYFUNCTION("""COMPUTED_VALUE"""),"=IF($AO$2=1;COUNTIF(Interface!$C$22:$C$27;$A154);0)")</f>
        <v>=IF($AO$2=1;COUNTIF(Interface!$C$22:$C$27;$A154);0)</v>
      </c>
      <c r="AJ154" s="76" t="str">
        <f ca="1">IFERROR(__xludf.DUMMYFUNCTION("""COMPUTED_VALUE"""),"=IF($AO$2=2;COUNTIF(Interface!$C$30:$C$35;$A154);0)")</f>
        <v>=IF($AO$2=2;COUNTIF(Interface!$C$30:$C$35;$A154);0)</v>
      </c>
      <c r="AK154" s="76"/>
      <c r="AL154" s="76"/>
      <c r="AM154" s="76" t="str">
        <f ca="1">IFERROR(__xludf.DUMMYFUNCTION("""COMPUTED_VALUE"""),"=COUNTIF(Interface!$O$18:$O$23;$A154)")</f>
        <v>=COUNTIF(Interface!$O$18:$O$23;$A154)</v>
      </c>
      <c r="AN154" s="76" t="str">
        <f ca="1">IFERROR(__xludf.DUMMYFUNCTION("""COMPUTED_VALUE"""),"=Image(""https://ddragon.leagueoflegends.com/cdn/12.22.1/img/item/3119.png"")")</f>
        <v>=Image("https://ddragon.leagueoflegends.com/cdn/12.22.1/img/item/3119.png")</v>
      </c>
      <c r="AO154" s="76" t="b">
        <f ca="1">IFERROR(__xludf.DUMMYFUNCTION("""COMPUTED_VALUE"""),TRUE)</f>
        <v>1</v>
      </c>
    </row>
    <row r="155" spans="1:41">
      <c r="A155" s="644" t="str">
        <f ca="1">IFERROR(__xludf.DUMMYFUNCTION("""COMPUTED_VALUE"""),"Wit's End")</f>
        <v>Wit's End</v>
      </c>
      <c r="B155" s="649" t="str">
        <f ca="1">IFERROR(__xludf.DUMMYFUNCTION("""COMPUTED_VALUE"""),"=3100")</f>
        <v>=3100</v>
      </c>
      <c r="C155" s="649"/>
      <c r="D155" s="649"/>
      <c r="E155" s="649"/>
      <c r="F155" s="649"/>
      <c r="G155" s="84" t="str">
        <f ca="1">IFERROR(__xludf.DUMMYFUNCTION("""COMPUTED_VALUE"""),"=40")</f>
        <v>=40</v>
      </c>
      <c r="H155" s="84"/>
      <c r="I155" s="84"/>
      <c r="J155" s="84" t="str">
        <f ca="1">IFERROR(__xludf.DUMMYFUNCTION("""COMPUTED_VALUE"""),"=40")</f>
        <v>=40</v>
      </c>
      <c r="K155" s="84" t="str">
        <f ca="1">IFERROR(__xludf.DUMMYFUNCTION("""COMPUTED_VALUE"""),"=40")</f>
        <v>=40</v>
      </c>
      <c r="L155" s="72"/>
      <c r="M155" s="72"/>
      <c r="N155" s="72"/>
      <c r="O155" s="72"/>
      <c r="P155" s="72"/>
      <c r="Q155" s="72"/>
      <c r="R155" s="72"/>
      <c r="S155" s="72"/>
      <c r="T155" s="72"/>
      <c r="U155" s="72" t="str">
        <f ca="1">IFERROR(__xludf.DUMMYFUNCTION("""COMPUTED_VALUE"""),"=25 + IF(Self_Level &gt; 9; (55 / 9) * (Self_Level - 9);0)")</f>
        <v>=25 + IF(Self_Level &gt; 9; (55 / 9) * (Self_Level - 9);0)</v>
      </c>
      <c r="V155" s="72"/>
      <c r="W155" s="72"/>
      <c r="X155" s="72"/>
      <c r="Y155" s="72"/>
      <c r="Z155" s="72"/>
      <c r="AA155" s="72"/>
      <c r="AB155" s="72"/>
      <c r="AC155" s="72"/>
      <c r="AD155" s="72"/>
      <c r="AE155" s="72"/>
      <c r="AF155" s="72"/>
      <c r="AG155" s="72" t="str">
        <f ca="1">IFERROR(__xludf.DUMMYFUNCTION("""COMPUTED_VALUE"""),"=20")</f>
        <v>=20</v>
      </c>
      <c r="AH155" s="72"/>
      <c r="AI155" s="72" t="str">
        <f ca="1">IFERROR(__xludf.DUMMYFUNCTION("""COMPUTED_VALUE"""),"=IF($AO$2=1;COUNTIF(Interface!$C$22:$C$27;$A155);0)")</f>
        <v>=IF($AO$2=1;COUNTIF(Interface!$C$22:$C$27;$A155);0)</v>
      </c>
      <c r="AJ155" s="72" t="str">
        <f ca="1">IFERROR(__xludf.DUMMYFUNCTION("""COMPUTED_VALUE"""),"=IF($AO$2=2;COUNTIF(Interface!$C$30:$C$35;$A155);0)")</f>
        <v>=IF($AO$2=2;COUNTIF(Interface!$C$30:$C$35;$A155);0)</v>
      </c>
      <c r="AK155" s="72"/>
      <c r="AL155" s="72"/>
      <c r="AM155" s="72" t="str">
        <f ca="1">IFERROR(__xludf.DUMMYFUNCTION("""COMPUTED_VALUE"""),"=COUNTIF(Interface!$O$18:$O$23;$A155)")</f>
        <v>=COUNTIF(Interface!$O$18:$O$23;$A155)</v>
      </c>
      <c r="AN155" s="72" t="str">
        <f ca="1">IFERROR(__xludf.DUMMYFUNCTION("""COMPUTED_VALUE"""),"=Image(""https://ddragon.leagueoflegends.com/cdn/12.22.1/img/item/3091.png"")")</f>
        <v>=Image("https://ddragon.leagueoflegends.com/cdn/12.22.1/img/item/3091.png")</v>
      </c>
      <c r="AO155" s="72" t="b">
        <f ca="1">IFERROR(__xludf.DUMMYFUNCTION("""COMPUTED_VALUE"""),TRUE)</f>
        <v>1</v>
      </c>
    </row>
    <row r="156" spans="1:41">
      <c r="A156" s="643" t="str">
        <f ca="1">IFERROR(__xludf.DUMMYFUNCTION("""COMPUTED_VALUE"""),"Zeal")</f>
        <v>Zeal</v>
      </c>
      <c r="B156" s="650" t="str">
        <f ca="1">IFERROR(__xludf.DUMMYFUNCTION("""COMPUTED_VALUE"""),"=1100")</f>
        <v>=1100</v>
      </c>
      <c r="C156" s="650"/>
      <c r="D156" s="650"/>
      <c r="E156" s="650"/>
      <c r="F156" s="650"/>
      <c r="G156" s="78"/>
      <c r="H156" s="78"/>
      <c r="I156" s="78"/>
      <c r="J156" s="78"/>
      <c r="K156" s="78" t="str">
        <f ca="1">IFERROR(__xludf.DUMMYFUNCTION("""COMPUTED_VALUE"""),"=15")</f>
        <v>=15</v>
      </c>
      <c r="L156" s="76" t="str">
        <f ca="1">IFERROR(__xludf.DUMMYFUNCTION("""COMPUTED_VALUE"""),"=15")</f>
        <v>=15</v>
      </c>
      <c r="M156" s="76"/>
      <c r="N156" s="76"/>
      <c r="O156" s="76"/>
      <c r="P156" s="76"/>
      <c r="Q156" s="76"/>
      <c r="R156" s="76" t="str">
        <f ca="1">IFERROR(__xludf.DUMMYFUNCTION("""COMPUTED_VALUE"""),"=5")</f>
        <v>=5</v>
      </c>
      <c r="S156" s="76"/>
      <c r="T156" s="76"/>
      <c r="U156" s="76"/>
      <c r="V156" s="76"/>
      <c r="W156" s="76"/>
      <c r="X156" s="76"/>
      <c r="Y156" s="76"/>
      <c r="Z156" s="76"/>
      <c r="AA156" s="76"/>
      <c r="AB156" s="76"/>
      <c r="AC156" s="76"/>
      <c r="AD156" s="76"/>
      <c r="AE156" s="76"/>
      <c r="AF156" s="76"/>
      <c r="AG156" s="76"/>
      <c r="AH156" s="76"/>
      <c r="AI156" s="76" t="str">
        <f ca="1">IFERROR(__xludf.DUMMYFUNCTION("""COMPUTED_VALUE"""),"=IF($AO$2=1;COUNTIF(Interface!$C$22:$C$27;$A156);0)")</f>
        <v>=IF($AO$2=1;COUNTIF(Interface!$C$22:$C$27;$A156);0)</v>
      </c>
      <c r="AJ156" s="76" t="str">
        <f ca="1">IFERROR(__xludf.DUMMYFUNCTION("""COMPUTED_VALUE"""),"=IF($AO$2=2;COUNTIF(Interface!$C$30:$C$35;$A156);0)")</f>
        <v>=IF($AO$2=2;COUNTIF(Interface!$C$30:$C$35;$A156);0)</v>
      </c>
      <c r="AK156" s="76"/>
      <c r="AL156" s="76"/>
      <c r="AM156" s="76" t="str">
        <f ca="1">IFERROR(__xludf.DUMMYFUNCTION("""COMPUTED_VALUE"""),"=COUNTIF(Interface!$O$18:$O$23;$A156)")</f>
        <v>=COUNTIF(Interface!$O$18:$O$23;$A156)</v>
      </c>
      <c r="AN156" s="76" t="str">
        <f ca="1">IFERROR(__xludf.DUMMYFUNCTION("""COMPUTED_VALUE"""),"=Image(""https://ddragon.leagueoflegends.com/cdn/12.22.1/img/item/3086.png"")")</f>
        <v>=Image("https://ddragon.leagueoflegends.com/cdn/12.22.1/img/item/3086.png")</v>
      </c>
      <c r="AO156" s="76" t="b">
        <f ca="1">IFERROR(__xludf.DUMMYFUNCTION("""COMPUTED_VALUE"""),FALSE)</f>
        <v>0</v>
      </c>
    </row>
    <row r="157" spans="1:41">
      <c r="A157" s="644" t="str">
        <f ca="1">IFERROR(__xludf.DUMMYFUNCTION("""COMPUTED_VALUE"""),"Zeke's Convergence")</f>
        <v>Zeke's Convergence</v>
      </c>
      <c r="B157" s="651" t="str">
        <f ca="1">IFERROR(__xludf.DUMMYFUNCTION("""COMPUTED_VALUE"""),"=2200")</f>
        <v>=2200</v>
      </c>
      <c r="C157" s="651" t="str">
        <f ca="1">IFERROR(__xludf.DUMMYFUNCTION("""COMPUTED_VALUE"""),"=200")</f>
        <v>=200</v>
      </c>
      <c r="D157" s="649"/>
      <c r="E157" s="649" t="str">
        <f ca="1">IFERROR(__xludf.DUMMYFUNCTION("""COMPUTED_VALUE"""),"=250")</f>
        <v>=250</v>
      </c>
      <c r="F157" s="649"/>
      <c r="G157" s="84"/>
      <c r="H157" s="84"/>
      <c r="I157" s="84" t="str">
        <f ca="1">IFERROR(__xludf.DUMMYFUNCTION("""COMPUTED_VALUE"""),"=45")</f>
        <v>=45</v>
      </c>
      <c r="J157" s="84"/>
      <c r="K157" s="84"/>
      <c r="L157" s="72"/>
      <c r="M157" s="72" t="str">
        <f ca="1">IFERROR(__xludf.DUMMYFUNCTION("""COMPUTED_VALUE"""),"=15")</f>
        <v>=15</v>
      </c>
      <c r="N157" s="72"/>
      <c r="O157" s="72"/>
      <c r="P157" s="72"/>
      <c r="Q157" s="72"/>
      <c r="R157" s="72"/>
      <c r="S157" s="72"/>
      <c r="T157" s="72"/>
      <c r="U157" s="72"/>
      <c r="V157" s="72"/>
      <c r="W157" s="72"/>
      <c r="X157" s="72"/>
      <c r="Y157" s="72"/>
      <c r="Z157" s="72"/>
      <c r="AA157" s="72"/>
      <c r="AB157" s="72"/>
      <c r="AC157" s="72"/>
      <c r="AD157" s="72"/>
      <c r="AE157" s="72"/>
      <c r="AF157" s="72"/>
      <c r="AG157" s="72"/>
      <c r="AH157" s="72"/>
      <c r="AI157" s="72" t="str">
        <f ca="1">IFERROR(__xludf.DUMMYFUNCTION("""COMPUTED_VALUE"""),"=IF($AO$2=1;COUNTIF(Interface!$C$22:$C$27;$A157);0)")</f>
        <v>=IF($AO$2=1;COUNTIF(Interface!$C$22:$C$27;$A157);0)</v>
      </c>
      <c r="AJ157" s="72" t="str">
        <f ca="1">IFERROR(__xludf.DUMMYFUNCTION("""COMPUTED_VALUE"""),"=IF($AO$2=2;COUNTIF(Interface!$C$30:$C$35;$A157);0)")</f>
        <v>=IF($AO$2=2;COUNTIF(Interface!$C$30:$C$35;$A157);0)</v>
      </c>
      <c r="AK157" s="72"/>
      <c r="AL157" s="72"/>
      <c r="AM157" s="72" t="str">
        <f ca="1">IFERROR(__xludf.DUMMYFUNCTION("""COMPUTED_VALUE"""),"=COUNTIF(Interface!$O$18:$O$23;$A157)")</f>
        <v>=COUNTIF(Interface!$O$18:$O$23;$A157)</v>
      </c>
      <c r="AN157" s="72" t="str">
        <f ca="1">IFERROR(__xludf.DUMMYFUNCTION("""COMPUTED_VALUE"""),"=Image(""https://ddragon.leagueoflegends.com/cdn/12.22.1/img/item/3050.png"")")</f>
        <v>=Image("https://ddragon.leagueoflegends.com/cdn/12.22.1/img/item/3050.png")</v>
      </c>
      <c r="AO157" s="72" t="b">
        <f ca="1">IFERROR(__xludf.DUMMYFUNCTION("""COMPUTED_VALUE"""),TRUE)</f>
        <v>1</v>
      </c>
    </row>
    <row r="158" spans="1:41">
      <c r="A158" s="643" t="str">
        <f ca="1">IFERROR(__xludf.DUMMYFUNCTION("""COMPUTED_VALUE"""),"Zhonya's Hourglass")</f>
        <v>Zhonya's Hourglass</v>
      </c>
      <c r="B158" s="650" t="str">
        <f ca="1">IFERROR(__xludf.DUMMYFUNCTION("""COMPUTED_VALUE"""),"=3000")</f>
        <v>=3000</v>
      </c>
      <c r="C158" s="650"/>
      <c r="D158" s="650"/>
      <c r="E158" s="650"/>
      <c r="F158" s="650"/>
      <c r="G158" s="78"/>
      <c r="H158" s="78" t="str">
        <f ca="1">IFERROR(__xludf.DUMMYFUNCTION("""COMPUTED_VALUE"""),"=80")</f>
        <v>=80</v>
      </c>
      <c r="I158" s="78" t="str">
        <f ca="1">IFERROR(__xludf.DUMMYFUNCTION("""COMPUTED_VALUE"""),"=45")</f>
        <v>=45</v>
      </c>
      <c r="J158" s="78"/>
      <c r="K158" s="78"/>
      <c r="L158" s="76"/>
      <c r="M158" s="76" t="str">
        <f ca="1">IFERROR(__xludf.DUMMYFUNCTION("""COMPUTED_VALUE"""),"=15")</f>
        <v>=15</v>
      </c>
      <c r="N158" s="76"/>
      <c r="O158" s="76"/>
      <c r="P158" s="76"/>
      <c r="Q158" s="76"/>
      <c r="R158" s="76"/>
      <c r="S158" s="76"/>
      <c r="T158" s="76"/>
      <c r="U158" s="76"/>
      <c r="V158" s="76"/>
      <c r="W158" s="76"/>
      <c r="X158" s="76"/>
      <c r="Y158" s="76"/>
      <c r="Z158" s="76"/>
      <c r="AA158" s="76"/>
      <c r="AB158" s="76"/>
      <c r="AC158" s="76"/>
      <c r="AD158" s="76"/>
      <c r="AE158" s="76"/>
      <c r="AF158" s="76"/>
      <c r="AG158" s="76"/>
      <c r="AH158" s="76"/>
      <c r="AI158" s="76" t="str">
        <f ca="1">IFERROR(__xludf.DUMMYFUNCTION("""COMPUTED_VALUE"""),"=IF($AO$2=1;COUNTIF(Interface!$C$22:$C$27;$A158);0)")</f>
        <v>=IF($AO$2=1;COUNTIF(Interface!$C$22:$C$27;$A158);0)</v>
      </c>
      <c r="AJ158" s="76" t="str">
        <f ca="1">IFERROR(__xludf.DUMMYFUNCTION("""COMPUTED_VALUE"""),"=IF($AO$2=2;COUNTIF(Interface!$C$30:$C$35;$A158);0)")</f>
        <v>=IF($AO$2=2;COUNTIF(Interface!$C$30:$C$35;$A158);0)</v>
      </c>
      <c r="AK158" s="76"/>
      <c r="AL158" s="76"/>
      <c r="AM158" s="76" t="str">
        <f ca="1">IFERROR(__xludf.DUMMYFUNCTION("""COMPUTED_VALUE"""),"=COUNTIF(Interface!$O$18:$O$23;$A158)")</f>
        <v>=COUNTIF(Interface!$O$18:$O$23;$A158)</v>
      </c>
      <c r="AN158" s="76" t="str">
        <f ca="1">IFERROR(__xludf.DUMMYFUNCTION("""COMPUTED_VALUE"""),"=Image(""https://ddragon.leagueoflegends.com/cdn/12.22.1/img/item/3157.png"")")</f>
        <v>=Image("https://ddragon.leagueoflegends.com/cdn/12.22.1/img/item/3157.png")</v>
      </c>
      <c r="AO158" s="76" t="b">
        <f ca="1">IFERROR(__xludf.DUMMYFUNCTION("""COMPUTED_VALUE"""),TRUE)</f>
        <v>1</v>
      </c>
    </row>
    <row r="159" spans="1:41">
      <c r="A159" s="644"/>
      <c r="B159" s="649"/>
      <c r="C159" s="649"/>
      <c r="D159" s="649"/>
      <c r="E159" s="649"/>
      <c r="F159" s="649"/>
      <c r="G159" s="84"/>
      <c r="H159" s="84"/>
      <c r="I159" s="84"/>
      <c r="J159" s="84"/>
      <c r="K159" s="84"/>
      <c r="L159" s="72"/>
      <c r="M159" s="72"/>
      <c r="N159" s="72"/>
      <c r="O159" s="72"/>
      <c r="P159" s="72"/>
      <c r="Q159" s="72"/>
      <c r="R159" s="72"/>
      <c r="S159" s="72"/>
      <c r="T159" s="72"/>
      <c r="U159" s="72"/>
      <c r="V159" s="72"/>
      <c r="W159" s="72"/>
      <c r="X159" s="72"/>
      <c r="Y159" s="72"/>
      <c r="Z159" s="72"/>
      <c r="AA159" s="72"/>
      <c r="AB159" s="72"/>
      <c r="AC159" s="72"/>
      <c r="AD159" s="72"/>
      <c r="AE159" s="72"/>
      <c r="AF159" s="72"/>
      <c r="AG159" s="72"/>
      <c r="AH159" s="72"/>
      <c r="AI159" s="72"/>
      <c r="AJ159" s="72"/>
      <c r="AK159" s="72"/>
      <c r="AL159" s="72"/>
      <c r="AM159" s="72"/>
      <c r="AN159" s="72"/>
      <c r="AO159" s="72"/>
    </row>
    <row r="160" spans="1:41">
      <c r="A160" s="643" t="str">
        <f ca="1">IFERROR(__xludf.DUMMYFUNCTION("""COMPUTED_VALUE"""),"-Mythic-")</f>
        <v>-Mythic-</v>
      </c>
      <c r="B160" s="650"/>
      <c r="C160" s="650"/>
      <c r="D160" s="650"/>
      <c r="E160" s="650"/>
      <c r="F160" s="650"/>
      <c r="G160" s="78"/>
      <c r="H160" s="78"/>
      <c r="I160" s="78"/>
      <c r="J160" s="78"/>
      <c r="K160" s="78"/>
      <c r="L160" s="76"/>
      <c r="M160" s="76"/>
      <c r="N160" s="76"/>
      <c r="O160" s="76"/>
      <c r="P160" s="76"/>
      <c r="Q160" s="76"/>
      <c r="R160" s="76"/>
      <c r="S160" s="76"/>
      <c r="T160" s="76"/>
      <c r="U160" s="76"/>
      <c r="V160" s="76"/>
      <c r="W160" s="76"/>
      <c r="X160" s="76"/>
      <c r="Y160" s="76"/>
      <c r="Z160" s="76"/>
      <c r="AA160" s="76"/>
      <c r="AB160" s="76"/>
      <c r="AC160" s="76"/>
      <c r="AD160" s="76"/>
      <c r="AE160" s="76"/>
      <c r="AF160" s="76"/>
      <c r="AG160" s="76"/>
      <c r="AH160" s="76"/>
      <c r="AI160" s="76"/>
      <c r="AJ160" s="76"/>
      <c r="AK160" s="76"/>
      <c r="AL160" s="76"/>
      <c r="AM160" s="76"/>
      <c r="AN160" s="76" t="str">
        <f ca="1">IFERROR(__xludf.DUMMYFUNCTION("""COMPUTED_VALUE"""),"=IMAGE(""https://puu.sh/I6Yjx/080458c278.png"")")</f>
        <v>=IMAGE("https://puu.sh/I6Yjx/080458c278.png")</v>
      </c>
      <c r="AO160" s="76"/>
    </row>
    <row r="161" spans="1:41">
      <c r="A161" s="644" t="str">
        <f ca="1">IFERROR(__xludf.DUMMYFUNCTION("""COMPUTED_VALUE"""),"Crown of the Shattered Queen")</f>
        <v>Crown of the Shattered Queen</v>
      </c>
      <c r="B161" s="649" t="str">
        <f ca="1">IFERROR(__xludf.DUMMYFUNCTION("""COMPUTED_VALUE"""),"=2800")</f>
        <v>=2800</v>
      </c>
      <c r="C161" s="649" t="str">
        <f ca="1">IFERROR(__xludf.DUMMYFUNCTION("""COMPUTED_VALUE"""),"=250")</f>
        <v>=250</v>
      </c>
      <c r="D161" s="649"/>
      <c r="E161" s="649" t="str">
        <f ca="1">IFERROR(__xludf.DUMMYFUNCTION("""COMPUTED_VALUE"""),"=600")</f>
        <v>=600</v>
      </c>
      <c r="F161" s="649"/>
      <c r="G161" s="84"/>
      <c r="H161" s="84" t="str">
        <f ca="1">IFERROR(__xludf.DUMMYFUNCTION("""COMPUTED_VALUE"""),"=70 + 8 * Legendary + IF(Steroid_Items; 10 + 30 * Sc_Lin; 0)")</f>
        <v>=70 + 8 * Legendary + IF(Steroid_Items; 10 + 30 * Sc_Lin; 0)</v>
      </c>
      <c r="I161" s="84"/>
      <c r="J161" s="84"/>
      <c r="K161" s="84"/>
      <c r="L161" s="72"/>
      <c r="M161" s="72" t="str">
        <f ca="1">IFERROR(__xludf.DUMMYFUNCTION("""COMPUTED_VALUE"""),"=20")</f>
        <v>=20</v>
      </c>
      <c r="N161" s="72"/>
      <c r="O161" s="72"/>
      <c r="P161" s="72"/>
      <c r="Q161" s="72"/>
      <c r="R161" s="72" t="str">
        <f ca="1">IFERROR(__xludf.DUMMYFUNCTION("""COMPUTED_VALUE"""),"=1 * Legendary")</f>
        <v>=1 * Legendary</v>
      </c>
      <c r="S161" s="72"/>
      <c r="T161" s="72"/>
      <c r="U161" s="72"/>
      <c r="V161" s="72"/>
      <c r="W161" s="72"/>
      <c r="X161" s="72"/>
      <c r="Y161" s="72"/>
      <c r="Z161" s="72"/>
      <c r="AA161" s="72"/>
      <c r="AB161" s="72"/>
      <c r="AC161" s="72"/>
      <c r="AD161" s="72"/>
      <c r="AE161" s="72"/>
      <c r="AF161" s="72"/>
      <c r="AG161" s="72"/>
      <c r="AH161" s="72"/>
      <c r="AI161" s="72" t="str">
        <f ca="1">IFERROR(__xludf.DUMMYFUNCTION("""COMPUTED_VALUE"""),"=IF($AO$2=1;COUNTIF(Interface!$C$22:$C$27;$A161);0)")</f>
        <v>=IF($AO$2=1;COUNTIF(Interface!$C$22:$C$27;$A161);0)</v>
      </c>
      <c r="AJ161" s="72" t="str">
        <f ca="1">IFERROR(__xludf.DUMMYFUNCTION("""COMPUTED_VALUE"""),"=IF($AO$2=2;COUNTIF(Interface!$C$30:$C$35;$A161);0)")</f>
        <v>=IF($AO$2=2;COUNTIF(Interface!$C$30:$C$35;$A161);0)</v>
      </c>
      <c r="AK161" s="72"/>
      <c r="AL161" s="72"/>
      <c r="AM161" s="72" t="str">
        <f ca="1">IFERROR(__xludf.DUMMYFUNCTION("""COMPUTED_VALUE"""),"=COUNTIF(Interface!$O$18:$O$23;$A161)")</f>
        <v>=COUNTIF(Interface!$O$18:$O$23;$A161)</v>
      </c>
      <c r="AN161" s="72" t="str">
        <f ca="1">IFERROR(__xludf.DUMMYFUNCTION("""COMPUTED_VALUE"""),"=Image(""https://ddragon.leagueoflegends.com/cdn/12.22.1/img/item/4644.png"")")</f>
        <v>=Image("https://ddragon.leagueoflegends.com/cdn/12.22.1/img/item/4644.png")</v>
      </c>
      <c r="AO161" s="72" t="b">
        <f ca="1">IFERROR(__xludf.DUMMYFUNCTION("""COMPUTED_VALUE"""),FALSE)</f>
        <v>0</v>
      </c>
    </row>
    <row r="162" spans="1:41">
      <c r="A162" s="643" t="str">
        <f ca="1">IFERROR(__xludf.DUMMYFUNCTION("""COMPUTED_VALUE"""),"Divine Sunderer")</f>
        <v>Divine Sunderer</v>
      </c>
      <c r="B162" s="650" t="str">
        <f ca="1">IFERROR(__xludf.DUMMYFUNCTION("""COMPUTED_VALUE"""),"=3300")</f>
        <v>=3300</v>
      </c>
      <c r="C162" s="650" t="str">
        <f ca="1">IFERROR(__xludf.DUMMYFUNCTION("""COMPUTED_VALUE"""),"=300")</f>
        <v>=300</v>
      </c>
      <c r="D162" s="650"/>
      <c r="E162" s="650"/>
      <c r="F162" s="650"/>
      <c r="G162" s="78" t="str">
        <f ca="1">IFERROR(__xludf.DUMMYFUNCTION("""COMPUTED_VALUE"""),"=40")</f>
        <v>=40</v>
      </c>
      <c r="H162" s="78"/>
      <c r="I162" s="78"/>
      <c r="J162" s="78"/>
      <c r="K162" s="78"/>
      <c r="L162" s="76"/>
      <c r="M162" s="76" t="str">
        <f ca="1">IFERROR(__xludf.DUMMYFUNCTION("""COMPUTED_VALUE"""),"=20")</f>
        <v>=20</v>
      </c>
      <c r="N162" s="76"/>
      <c r="O162" s="76"/>
      <c r="P162" s="76"/>
      <c r="Q162" s="76"/>
      <c r="R162" s="76"/>
      <c r="S162" s="76"/>
      <c r="T162" s="76"/>
      <c r="U162" s="76"/>
      <c r="V162" s="76"/>
      <c r="W162" s="76"/>
      <c r="X162" s="76" t="str">
        <f ca="1">IFERROR(__xludf.DUMMYFUNCTION("""COMPUTED_VALUE"""),"=(0,02 * IF(VLOOKUP(Name;Champs!A2:AE200;31;False); 2; 1) * E_MHP + 1,6 * Self_BaAD) * MOD_Phys")</f>
        <v>=(0,02 * IF(VLOOKUP(Name;Champs!A2:AE200;31;False); 2; 1) * E_MHP + 1,6 * Self_BaAD) * MOD_Phys</v>
      </c>
      <c r="Y162" s="76" t="str">
        <f ca="1">IFERROR(__xludf.DUMMYFUNCTION("""COMPUTED_VALUE"""),"=3 * Legendary")</f>
        <v>=3 * Legendary</v>
      </c>
      <c r="Z162" s="76" t="str">
        <f ca="1">IFERROR(__xludf.DUMMYFUNCTION("""COMPUTED_VALUE"""),"=3 * Legendary")</f>
        <v>=3 * Legendary</v>
      </c>
      <c r="AA162" s="76"/>
      <c r="AB162" s="76"/>
      <c r="AC162" s="76"/>
      <c r="AD162" s="76"/>
      <c r="AE162" s="76"/>
      <c r="AF162" s="76"/>
      <c r="AG162" s="76"/>
      <c r="AH162" s="76"/>
      <c r="AI162" s="76" t="str">
        <f ca="1">IFERROR(__xludf.DUMMYFUNCTION("""COMPUTED_VALUE"""),"=IF($AO$2=1;COUNTIF(Interface!$C$22:$C$27;$A162);0)")</f>
        <v>=IF($AO$2=1;COUNTIF(Interface!$C$22:$C$27;$A162);0)</v>
      </c>
      <c r="AJ162" s="76" t="str">
        <f ca="1">IFERROR(__xludf.DUMMYFUNCTION("""COMPUTED_VALUE"""),"=IF($AO$2=2;COUNTIF(Interface!$C$30:$C$35;$A162);0)")</f>
        <v>=IF($AO$2=2;COUNTIF(Interface!$C$30:$C$35;$A162);0)</v>
      </c>
      <c r="AK162" s="76"/>
      <c r="AL162" s="76"/>
      <c r="AM162" s="76" t="str">
        <f ca="1">IFERROR(__xludf.DUMMYFUNCTION("""COMPUTED_VALUE"""),"=COUNTIF(Interface!$O$18:$O$23;$A162)")</f>
        <v>=COUNTIF(Interface!$O$18:$O$23;$A162)</v>
      </c>
      <c r="AN162" s="76" t="str">
        <f ca="1">IFERROR(__xludf.DUMMYFUNCTION("""COMPUTED_VALUE"""),"=Image(""https://ddragon.leagueoflegends.com/cdn/12.22.1/img/item/6632.png"")")</f>
        <v>=Image("https://ddragon.leagueoflegends.com/cdn/12.22.1/img/item/6632.png")</v>
      </c>
      <c r="AO162" s="76" t="b">
        <f ca="1">IFERROR(__xludf.DUMMYFUNCTION("""COMPUTED_VALUE"""),FALSE)</f>
        <v>0</v>
      </c>
    </row>
    <row r="163" spans="1:41">
      <c r="A163" s="644" t="str">
        <f ca="1">IFERROR(__xludf.DUMMYFUNCTION("""COMPUTED_VALUE"""),"Duskblade of Draktharr")</f>
        <v>Duskblade of Draktharr</v>
      </c>
      <c r="B163" s="649" t="str">
        <f ca="1">IFERROR(__xludf.DUMMYFUNCTION("""COMPUTED_VALUE"""),"=3100")</f>
        <v>=3100</v>
      </c>
      <c r="C163" s="649"/>
      <c r="D163" s="649"/>
      <c r="E163" s="649"/>
      <c r="F163" s="649"/>
      <c r="G163" s="84" t="str">
        <f ca="1">IFERROR(__xludf.DUMMYFUNCTION("""COMPUTED_VALUE"""),"=60")</f>
        <v>=60</v>
      </c>
      <c r="H163" s="84"/>
      <c r="I163" s="84"/>
      <c r="J163" s="84"/>
      <c r="K163" s="84"/>
      <c r="L163" s="72"/>
      <c r="M163" s="72" t="str">
        <f ca="1">IFERROR(__xludf.DUMMYFUNCTION("""COMPUTED_VALUE"""),"=20 + 5 * Legendary")</f>
        <v>=20 + 5 * Legendary</v>
      </c>
      <c r="N163" s="72"/>
      <c r="O163" s="72" t="str">
        <f ca="1">IFERROR(__xludf.DUMMYFUNCTION("""COMPUTED_VALUE"""),"=18")</f>
        <v>=18</v>
      </c>
      <c r="P163" s="72"/>
      <c r="Q163" s="72"/>
      <c r="R163" s="72"/>
      <c r="S163" s="72"/>
      <c r="T163" s="72"/>
      <c r="U163" s="72"/>
      <c r="V163" s="72"/>
      <c r="W163" s="72"/>
      <c r="X163" s="72"/>
      <c r="Y163" s="72"/>
      <c r="Z163" s="72"/>
      <c r="AA163" s="72"/>
      <c r="AB163" s="72"/>
      <c r="AC163" s="72"/>
      <c r="AD163" s="72"/>
      <c r="AE163" s="72"/>
      <c r="AF163" s="72"/>
      <c r="AG163" s="72" t="str">
        <f ca="1">IFERROR(__xludf.DUMMYFUNCTION("""COMPUTED_VALUE"""),"=5 * Legendary")</f>
        <v>=5 * Legendary</v>
      </c>
      <c r="AH163" s="72"/>
      <c r="AI163" s="72" t="str">
        <f ca="1">IFERROR(__xludf.DUMMYFUNCTION("""COMPUTED_VALUE"""),"=IF($AO$2=1;COUNTIF(Interface!$C$22:$C$27;$A163);0)")</f>
        <v>=IF($AO$2=1;COUNTIF(Interface!$C$22:$C$27;$A163);0)</v>
      </c>
      <c r="AJ163" s="72" t="str">
        <f ca="1">IFERROR(__xludf.DUMMYFUNCTION("""COMPUTED_VALUE"""),"=IF($AO$2=2;COUNTIF(Interface!$C$30:$C$35;$A163);0)")</f>
        <v>=IF($AO$2=2;COUNTIF(Interface!$C$30:$C$35;$A163);0)</v>
      </c>
      <c r="AK163" s="72"/>
      <c r="AL163" s="72"/>
      <c r="AM163" s="72" t="str">
        <f ca="1">IFERROR(__xludf.DUMMYFUNCTION("""COMPUTED_VALUE"""),"=COUNTIF(Interface!$O$18:$O$23;$A163)")</f>
        <v>=COUNTIF(Interface!$O$18:$O$23;$A163)</v>
      </c>
      <c r="AN163" s="72" t="str">
        <f ca="1">IFERROR(__xludf.DUMMYFUNCTION("""COMPUTED_VALUE"""),"=Image(""https://ddragon.leagueoflegends.com/cdn/12.22.1/img/item/6691.png"")")</f>
        <v>=Image("https://ddragon.leagueoflegends.com/cdn/12.22.1/img/item/6691.png")</v>
      </c>
      <c r="AO163" s="72" t="b">
        <f ca="1">IFERROR(__xludf.DUMMYFUNCTION("""COMPUTED_VALUE"""),FALSE)</f>
        <v>0</v>
      </c>
    </row>
    <row r="164" spans="1:41">
      <c r="A164" s="643" t="str">
        <f ca="1">IFERROR(__xludf.DUMMYFUNCTION("""COMPUTED_VALUE"""),"Echoes of Helia")</f>
        <v>Echoes of Helia</v>
      </c>
      <c r="B164" s="650" t="str">
        <f ca="1">IFERROR(__xludf.DUMMYFUNCTION("""COMPUTED_VALUE"""),"=2300")</f>
        <v>=2300</v>
      </c>
      <c r="C164" s="650" t="str">
        <f ca="1">IFERROR(__xludf.DUMMYFUNCTION("""COMPUTED_VALUE"""),"=200")</f>
        <v>=200</v>
      </c>
      <c r="D164" s="650"/>
      <c r="E164" s="650"/>
      <c r="F164" s="650" t="str">
        <f ca="1">IFERROR(__xludf.DUMMYFUNCTION("""COMPUTED_VALUE"""),"=1,25")</f>
        <v>=1,25</v>
      </c>
      <c r="G164" s="78"/>
      <c r="H164" s="78" t="str">
        <f ca="1">IFERROR(__xludf.DUMMYFUNCTION("""COMPUTED_VALUE"""),"=30 + 12 * IT_MPR")</f>
        <v>=30 + 12 * IT_MPR</v>
      </c>
      <c r="I164" s="78"/>
      <c r="J164" s="78"/>
      <c r="K164" s="78"/>
      <c r="L164" s="76"/>
      <c r="M164" s="76" t="str">
        <f ca="1">IFERROR(__xludf.DUMMYFUNCTION("""COMPUTED_VALUE"""),"=15 + 5 * Legendary")</f>
        <v>=15 + 5 * Legendary</v>
      </c>
      <c r="N164" s="76"/>
      <c r="O164" s="76"/>
      <c r="P164" s="76"/>
      <c r="Q164" s="76"/>
      <c r="R164" s="76"/>
      <c r="S164" s="76"/>
      <c r="T164" s="76"/>
      <c r="U164" s="76"/>
      <c r="V164" s="76"/>
      <c r="W164" s="76" t="str">
        <f ca="1">IFERROR(__xludf.DUMMYFUNCTION("""COMPUTED_VALUE"""),"=60 + 340 * Sc_Lin")</f>
        <v>=60 + 340 * Sc_Lin</v>
      </c>
      <c r="X164" s="76"/>
      <c r="Y164" s="76"/>
      <c r="Z164" s="76"/>
      <c r="AA164" s="76"/>
      <c r="AB164" s="76"/>
      <c r="AC164" s="76"/>
      <c r="AD164" s="76"/>
      <c r="AE164" s="76"/>
      <c r="AF164" s="76"/>
      <c r="AG164" s="76"/>
      <c r="AH164" s="76"/>
      <c r="AI164" s="76" t="str">
        <f ca="1">IFERROR(__xludf.DUMMYFUNCTION("""COMPUTED_VALUE"""),"=IF($AO$2=1;COUNTIF(Interface!$C$22:$C$27;$A164);0)")</f>
        <v>=IF($AO$2=1;COUNTIF(Interface!$C$22:$C$27;$A164);0)</v>
      </c>
      <c r="AJ164" s="76" t="str">
        <f ca="1">IFERROR(__xludf.DUMMYFUNCTION("""COMPUTED_VALUE"""),"=IF($AO$2=2;COUNTIF(Interface!$C$30:$C$35;$A164);0)")</f>
        <v>=IF($AO$2=2;COUNTIF(Interface!$C$30:$C$35;$A164);0)</v>
      </c>
      <c r="AK164" s="76"/>
      <c r="AL164" s="76"/>
      <c r="AM164" s="76" t="str">
        <f ca="1">IFERROR(__xludf.DUMMYFUNCTION("""COMPUTED_VALUE"""),"=COUNTIF(Interface!$O$18:$O$23;$A164)")</f>
        <v>=COUNTIF(Interface!$O$18:$O$23;$A164)</v>
      </c>
      <c r="AN164" s="76"/>
      <c r="AO164" s="76" t="b">
        <f ca="1">IFERROR(__xludf.DUMMYFUNCTION("""COMPUTED_VALUE"""),FALSE)</f>
        <v>0</v>
      </c>
    </row>
    <row r="165" spans="1:41">
      <c r="A165" s="644" t="str">
        <f ca="1">IFERROR(__xludf.DUMMYFUNCTION("""COMPUTED_VALUE"""),"Eclipse")</f>
        <v>Eclipse</v>
      </c>
      <c r="B165" s="649" t="str">
        <f ca="1">IFERROR(__xludf.DUMMYFUNCTION("""COMPUTED_VALUE"""),"=3100")</f>
        <v>=3100</v>
      </c>
      <c r="C165" s="649"/>
      <c r="D165" s="649"/>
      <c r="E165" s="649"/>
      <c r="F165" s="649"/>
      <c r="G165" s="84" t="str">
        <f ca="1">IFERROR(__xludf.DUMMYFUNCTION("""COMPUTED_VALUE"""),"=60")</f>
        <v>=60</v>
      </c>
      <c r="H165" s="84"/>
      <c r="I165" s="84"/>
      <c r="J165" s="84"/>
      <c r="K165" s="84"/>
      <c r="L165" s="72"/>
      <c r="M165" s="72" t="str">
        <f ca="1">IFERROR(__xludf.DUMMYFUNCTION("""COMPUTED_VALUE"""),"=15")</f>
        <v>=15</v>
      </c>
      <c r="N165" s="72"/>
      <c r="O165" s="72" t="str">
        <f ca="1">IFERROR(__xludf.DUMMYFUNCTION("""COMPUTED_VALUE"""),"=12")</f>
        <v>=12</v>
      </c>
      <c r="P165" s="72"/>
      <c r="Q165" s="72"/>
      <c r="R165" s="72"/>
      <c r="S165" s="72"/>
      <c r="T165" s="72"/>
      <c r="U165" s="72"/>
      <c r="V165" s="72"/>
      <c r="W165" s="72"/>
      <c r="X165" s="72"/>
      <c r="Y165" s="72" t="str">
        <f ca="1">IFERROR(__xludf.DUMMYFUNCTION("""COMPUTED_VALUE"""),"=4 * Legendary")</f>
        <v>=4 * Legendary</v>
      </c>
      <c r="Z165" s="72"/>
      <c r="AA165" s="72"/>
      <c r="AB165" s="72"/>
      <c r="AC165" s="72"/>
      <c r="AD165" s="72"/>
      <c r="AE165" s="72" t="str">
        <f ca="1">IFERROR(__xludf.DUMMYFUNCTION("""COMPUTED_VALUE"""),"=IF(VLOOKUP(Name;Champs!A2:AE200;31;False); 0,06; 0,03) * E_MHP")</f>
        <v>=IF(VLOOKUP(Name;Champs!A2:AE200;31;False); 0,06; 0,03) * E_MHP</v>
      </c>
      <c r="AF165" s="72"/>
      <c r="AG165" s="72" t="str">
        <f ca="1">IFERROR(__xludf.DUMMYFUNCTION("""COMPUTED_VALUE"""),"=5 * Legendary")</f>
        <v>=5 * Legendary</v>
      </c>
      <c r="AH165" s="72"/>
      <c r="AI165" s="72" t="str">
        <f ca="1">IFERROR(__xludf.DUMMYFUNCTION("""COMPUTED_VALUE"""),"=IF($AO$2=1;COUNTIF(Interface!$C$22:$C$27;$A165);0)")</f>
        <v>=IF($AO$2=1;COUNTIF(Interface!$C$22:$C$27;$A165);0)</v>
      </c>
      <c r="AJ165" s="72" t="str">
        <f ca="1">IFERROR(__xludf.DUMMYFUNCTION("""COMPUTED_VALUE"""),"=IF($AO$2=2;COUNTIF(Interface!$C$30:$C$35;$A165);0)")</f>
        <v>=IF($AO$2=2;COUNTIF(Interface!$C$30:$C$35;$A165);0)</v>
      </c>
      <c r="AK165" s="72"/>
      <c r="AL165" s="72"/>
      <c r="AM165" s="72" t="str">
        <f ca="1">IFERROR(__xludf.DUMMYFUNCTION("""COMPUTED_VALUE"""),"=COUNTIF(Interface!$O$18:$O$23;$A165)")</f>
        <v>=COUNTIF(Interface!$O$18:$O$23;$A165)</v>
      </c>
      <c r="AN165" s="72" t="str">
        <f ca="1">IFERROR(__xludf.DUMMYFUNCTION("""COMPUTED_VALUE"""),"=Image(""https://ddragon.leagueoflegends.com/cdn/12.22.1/img/item/6692.png"")")</f>
        <v>=Image("https://ddragon.leagueoflegends.com/cdn/12.22.1/img/item/6692.png")</v>
      </c>
      <c r="AO165" s="72" t="b">
        <f ca="1">IFERROR(__xludf.DUMMYFUNCTION("""COMPUTED_VALUE"""),FALSE)</f>
        <v>0</v>
      </c>
    </row>
    <row r="166" spans="1:41">
      <c r="A166" s="643" t="str">
        <f ca="1">IFERROR(__xludf.DUMMYFUNCTION("""COMPUTED_VALUE"""),"Evenshroud")</f>
        <v>Evenshroud</v>
      </c>
      <c r="B166" s="650" t="str">
        <f ca="1">IFERROR(__xludf.DUMMYFUNCTION("""COMPUTED_VALUE"""),"=2300")</f>
        <v>=2300</v>
      </c>
      <c r="C166" s="650" t="str">
        <f ca="1">IFERROR(__xludf.DUMMYFUNCTION("""COMPUTED_VALUE"""),"=200")</f>
        <v>=200</v>
      </c>
      <c r="D166" s="650"/>
      <c r="E166" s="650"/>
      <c r="F166" s="650"/>
      <c r="G166" s="78"/>
      <c r="H166" s="78"/>
      <c r="I166" s="78" t="str">
        <f ca="1">IFERROR(__xludf.DUMMYFUNCTION("""COMPUTED_VALUE"""),"=30 + 5 * Legendary")</f>
        <v>=30 + 5 * Legendary</v>
      </c>
      <c r="J166" s="78" t="str">
        <f ca="1">IFERROR(__xludf.DUMMYFUNCTION("""COMPUTED_VALUE"""),"=30 + 5 * Legendary")</f>
        <v>=30 + 5 * Legendary</v>
      </c>
      <c r="K166" s="78"/>
      <c r="L166" s="76"/>
      <c r="M166" s="76" t="str">
        <f ca="1">IFERROR(__xludf.DUMMYFUNCTION("""COMPUTED_VALUE"""),"=20")</f>
        <v>=20</v>
      </c>
      <c r="N166" s="76"/>
      <c r="O166" s="76"/>
      <c r="P166" s="76"/>
      <c r="Q166" s="76"/>
      <c r="R166" s="76"/>
      <c r="S166" s="76"/>
      <c r="T166" s="76"/>
      <c r="U166" s="76"/>
      <c r="V166" s="76"/>
      <c r="W166" s="76"/>
      <c r="X166" s="76"/>
      <c r="Y166" s="76"/>
      <c r="Z166" s="76"/>
      <c r="AA166" s="76"/>
      <c r="AB166" s="76"/>
      <c r="AC166" s="76" t="str">
        <f ca="1">IFERROR(__xludf.DUMMYFUNCTION("""COMPUTED_VALUE"""),"=IF(Steroid_Items; 10; 0)")</f>
        <v>=IF(Steroid_Items; 10; 0)</v>
      </c>
      <c r="AD166" s="76" t="str">
        <f ca="1">IFERROR(__xludf.DUMMYFUNCTION("""COMPUTED_VALUE"""),"=IF(Steroid_Items; 10; 0)")</f>
        <v>=IF(Steroid_Items; 10; 0)</v>
      </c>
      <c r="AE166" s="76"/>
      <c r="AF166" s="76"/>
      <c r="AG166" s="76"/>
      <c r="AH166" s="76"/>
      <c r="AI166" s="76" t="str">
        <f ca="1">IFERROR(__xludf.DUMMYFUNCTION("""COMPUTED_VALUE"""),"=IF($AO$2=1;COUNTIF(Interface!$C$22:$C$27;$A166);0)")</f>
        <v>=IF($AO$2=1;COUNTIF(Interface!$C$22:$C$27;$A166);0)</v>
      </c>
      <c r="AJ166" s="76" t="str">
        <f ca="1">IFERROR(__xludf.DUMMYFUNCTION("""COMPUTED_VALUE"""),"=IF($AO$2=2;COUNTIF(Interface!$C$30:$C$35;$A166);0)")</f>
        <v>=IF($AO$2=2;COUNTIF(Interface!$C$30:$C$35;$A166);0)</v>
      </c>
      <c r="AK166" s="76"/>
      <c r="AL166" s="76"/>
      <c r="AM166" s="76" t="str">
        <f ca="1">IFERROR(__xludf.DUMMYFUNCTION("""COMPUTED_VALUE"""),"=COUNTIF(Interface!$O$18:$O$23;$A166)")</f>
        <v>=COUNTIF(Interface!$O$18:$O$23;$A166)</v>
      </c>
      <c r="AN166" s="76" t="str">
        <f ca="1">IFERROR(__xludf.DUMMYFUNCTION("""COMPUTED_VALUE"""),"=Image(""https://ddragon.leagueoflegends.com/cdn/12.22.1/img/item/3001.png"")")</f>
        <v>=Image("https://ddragon.leagueoflegends.com/cdn/12.22.1/img/item/3001.png")</v>
      </c>
      <c r="AO166" s="76" t="b">
        <f ca="1">IFERROR(__xludf.DUMMYFUNCTION("""COMPUTED_VALUE"""),FALSE)</f>
        <v>0</v>
      </c>
    </row>
    <row r="167" spans="1:41" ht="15" customHeight="1">
      <c r="A167" s="72" t="str">
        <f ca="1">IFERROR(__xludf.DUMMYFUNCTION("""COMPUTED_VALUE"""),"Everfrost")</f>
        <v>Everfrost</v>
      </c>
      <c r="B167" s="649" t="str">
        <f ca="1">IFERROR(__xludf.DUMMYFUNCTION("""COMPUTED_VALUE"""),"=2800")</f>
        <v>=2800</v>
      </c>
      <c r="C167" s="649" t="str">
        <f ca="1">IFERROR(__xludf.DUMMYFUNCTION("""COMPUTED_VALUE"""),"=250")</f>
        <v>=250</v>
      </c>
      <c r="D167" s="649"/>
      <c r="E167" s="649" t="str">
        <f ca="1">IFERROR(__xludf.DUMMYFUNCTION("""COMPUTED_VALUE"""),"=600")</f>
        <v>=600</v>
      </c>
      <c r="F167" s="649"/>
      <c r="G167" s="84"/>
      <c r="H167" s="84" t="str">
        <f ca="1">IFERROR(__xludf.DUMMYFUNCTION("""COMPUTED_VALUE"""),"=70 + 10 * Legendary")</f>
        <v>=70 + 10 * Legendary</v>
      </c>
      <c r="I167" s="84"/>
      <c r="J167" s="84"/>
      <c r="K167" s="84"/>
      <c r="L167" s="72"/>
      <c r="M167" s="72" t="str">
        <f ca="1">IFERROR(__xludf.DUMMYFUNCTION("""COMPUTED_VALUE"""),"=20")</f>
        <v>=20</v>
      </c>
      <c r="N167" s="72"/>
      <c r="O167" s="72"/>
      <c r="P167" s="72"/>
      <c r="Q167" s="72"/>
      <c r="R167" s="72"/>
      <c r="S167" s="72"/>
      <c r="T167" s="72"/>
      <c r="U167" s="72"/>
      <c r="V167" s="72"/>
      <c r="W167" s="72" t="str">
        <f ca="1">IFERROR(__xludf.DUMMYFUNCTION("""COMPUTED_VALUE"""),"=100 + 0,3 * Self_AP")</f>
        <v>=100 + 0,3 * Self_AP</v>
      </c>
      <c r="X167" s="72"/>
      <c r="Y167" s="72"/>
      <c r="Z167" s="72"/>
      <c r="AA167" s="72"/>
      <c r="AB167" s="72"/>
      <c r="AC167" s="72"/>
      <c r="AD167" s="72"/>
      <c r="AE167" s="72"/>
      <c r="AF167" s="72"/>
      <c r="AG167" s="72"/>
      <c r="AH167" s="72"/>
      <c r="AI167" s="72" t="str">
        <f ca="1">IFERROR(__xludf.DUMMYFUNCTION("""COMPUTED_VALUE"""),"=IF($AO$2=1;COUNTIF(Interface!$C$22:$C$27;$A167);0)")</f>
        <v>=IF($AO$2=1;COUNTIF(Interface!$C$22:$C$27;$A167);0)</v>
      </c>
      <c r="AJ167" s="72" t="str">
        <f ca="1">IFERROR(__xludf.DUMMYFUNCTION("""COMPUTED_VALUE"""),"=IF($AO$2=2;COUNTIF(Interface!$C$30:$C$35;$A167);0)")</f>
        <v>=IF($AO$2=2;COUNTIF(Interface!$C$30:$C$35;$A167);0)</v>
      </c>
      <c r="AK167" s="72"/>
      <c r="AL167" s="72"/>
      <c r="AM167" s="72" t="str">
        <f ca="1">IFERROR(__xludf.DUMMYFUNCTION("""COMPUTED_VALUE"""),"=COUNTIF(Interface!$O$18:$O$23;$A167)")</f>
        <v>=COUNTIF(Interface!$O$18:$O$23;$A167)</v>
      </c>
      <c r="AN167" s="72" t="str">
        <f ca="1">IFERROR(__xludf.DUMMYFUNCTION("""COMPUTED_VALUE"""),"=Image(""https://ddragon.leagueoflegends.com/cdn/12.22.1/img/item/6656.png"")")</f>
        <v>=Image("https://ddragon.leagueoflegends.com/cdn/12.22.1/img/item/6656.png")</v>
      </c>
      <c r="AO167" s="72" t="b">
        <f ca="1">IFERROR(__xludf.DUMMYFUNCTION("""COMPUTED_VALUE"""),FALSE)</f>
        <v>0</v>
      </c>
    </row>
    <row r="168" spans="1:41">
      <c r="A168" s="643" t="str">
        <f ca="1">IFERROR(__xludf.DUMMYFUNCTION("""COMPUTED_VALUE"""),"Galeforce")</f>
        <v>Galeforce</v>
      </c>
      <c r="B168" s="650" t="str">
        <f ca="1">IFERROR(__xludf.DUMMYFUNCTION("""COMPUTED_VALUE"""),"=3400")</f>
        <v>=3400</v>
      </c>
      <c r="C168" s="650"/>
      <c r="D168" s="650"/>
      <c r="E168" s="650"/>
      <c r="F168" s="650"/>
      <c r="G168" s="78" t="str">
        <f ca="1">IFERROR(__xludf.DUMMYFUNCTION("""COMPUTED_VALUE"""),"=50 + 5 * Legendary")</f>
        <v>=50 + 5 * Legendary</v>
      </c>
      <c r="H168" s="78"/>
      <c r="I168" s="78"/>
      <c r="J168" s="78"/>
      <c r="K168" s="78" t="str">
        <f ca="1">IFERROR(__xludf.DUMMYFUNCTION("""COMPUTED_VALUE"""),"=15")</f>
        <v>=15</v>
      </c>
      <c r="L168" s="76" t="str">
        <f ca="1">IFERROR(__xludf.DUMMYFUNCTION("""COMPUTED_VALUE"""),"=20")</f>
        <v>=20</v>
      </c>
      <c r="M168" s="76"/>
      <c r="N168" s="76"/>
      <c r="O168" s="76"/>
      <c r="P168" s="76"/>
      <c r="Q168" s="76"/>
      <c r="R168" s="76" t="str">
        <f ca="1">IFERROR(__xludf.DUMMYFUNCTION("""COMPUTED_VALUE"""),"=7")</f>
        <v>=7</v>
      </c>
      <c r="S168" s="76"/>
      <c r="T168" s="76"/>
      <c r="U168" s="76"/>
      <c r="V168" s="76"/>
      <c r="W168" s="76" t="str">
        <f ca="1">IFERROR(__xludf.DUMMYFUNCTION("""COMPUTED_VALUE"""),"=(150 + MAX((200 / 8) * (Self_Level - 10); 0) + 0,45 * Self_BoAD) * (1 + 0,5 * (1 - (MAX(25; E_CHP) - 25) / 75))")</f>
        <v>=(150 + MAX((200 / 8) * (Self_Level - 10); 0) + 0,45 * Self_BoAD) * (1 + 0,5 * (1 - (MAX(25; E_CHP) - 25) / 75))</v>
      </c>
      <c r="X168" s="76"/>
      <c r="Y168" s="76"/>
      <c r="Z168" s="76"/>
      <c r="AA168" s="76"/>
      <c r="AB168" s="76"/>
      <c r="AC168" s="76"/>
      <c r="AD168" s="76"/>
      <c r="AE168" s="76"/>
      <c r="AF168" s="76"/>
      <c r="AG168" s="76"/>
      <c r="AH168" s="76"/>
      <c r="AI168" s="76" t="str">
        <f ca="1">IFERROR(__xludf.DUMMYFUNCTION("""COMPUTED_VALUE"""),"=IF($AO$2=1;COUNTIF(Interface!$C$22:$C$27;$A168);0)")</f>
        <v>=IF($AO$2=1;COUNTIF(Interface!$C$22:$C$27;$A168);0)</v>
      </c>
      <c r="AJ168" s="76" t="str">
        <f ca="1">IFERROR(__xludf.DUMMYFUNCTION("""COMPUTED_VALUE"""),"=IF($AO$2=2;COUNTIF(Interface!$C$30:$C$35;$A168);0)")</f>
        <v>=IF($AO$2=2;COUNTIF(Interface!$C$30:$C$35;$A168);0)</v>
      </c>
      <c r="AK168" s="76"/>
      <c r="AL168" s="76"/>
      <c r="AM168" s="76" t="str">
        <f ca="1">IFERROR(__xludf.DUMMYFUNCTION("""COMPUTED_VALUE"""),"=COUNTIF(Interface!$O$18:$O$23;$A168)")</f>
        <v>=COUNTIF(Interface!$O$18:$O$23;$A168)</v>
      </c>
      <c r="AN168" s="76" t="str">
        <f ca="1">IFERROR(__xludf.DUMMYFUNCTION("""COMPUTED_VALUE"""),"=Image(""https://ddragon.leagueoflegends.com/cdn/12.22.1/img/item/6671.png"")")</f>
        <v>=Image("https://ddragon.leagueoflegends.com/cdn/12.22.1/img/item/6671.png")</v>
      </c>
      <c r="AO168" s="76" t="b">
        <f ca="1">IFERROR(__xludf.DUMMYFUNCTION("""COMPUTED_VALUE"""),FALSE)</f>
        <v>0</v>
      </c>
    </row>
    <row r="169" spans="1:41">
      <c r="A169" s="644" t="str">
        <f ca="1">IFERROR(__xludf.DUMMYFUNCTION("""COMPUTED_VALUE"""),"Goredrinker")</f>
        <v>Goredrinker</v>
      </c>
      <c r="B169" s="649" t="str">
        <f ca="1">IFERROR(__xludf.DUMMYFUNCTION("""COMPUTED_VALUE"""),"=3200")</f>
        <v>=3200</v>
      </c>
      <c r="C169" s="649" t="str">
        <f ca="1">IFERROR(__xludf.DUMMYFUNCTION("""COMPUTED_VALUE"""),"=300 + 75 * Legendary")</f>
        <v>=300 + 75 * Legendary</v>
      </c>
      <c r="D169" s="649"/>
      <c r="E169" s="649"/>
      <c r="F169" s="649"/>
      <c r="G169" s="84" t="str">
        <f ca="1">IFERROR(__xludf.DUMMYFUNCTION("""COMPUTED_VALUE"""),"=55")</f>
        <v>=55</v>
      </c>
      <c r="H169" s="84"/>
      <c r="I169" s="84"/>
      <c r="J169" s="84"/>
      <c r="K169" s="84"/>
      <c r="L169" s="72"/>
      <c r="M169" s="72" t="str">
        <f ca="1">IFERROR(__xludf.DUMMYFUNCTION("""COMPUTED_VALUE"""),"=20 + 3 * Legendary")</f>
        <v>=20 + 3 * Legendary</v>
      </c>
      <c r="N169" s="72" t="str">
        <f ca="1">IFERROR(__xludf.DUMMYFUNCTION("""COMPUTED_VALUE"""),"=8")</f>
        <v>=8</v>
      </c>
      <c r="O169" s="72"/>
      <c r="P169" s="72"/>
      <c r="Q169" s="72"/>
      <c r="R169" s="72"/>
      <c r="S169" s="72"/>
      <c r="T169" s="72"/>
      <c r="U169" s="72"/>
      <c r="V169" s="72"/>
      <c r="W169" s="72"/>
      <c r="X169" s="72"/>
      <c r="Y169" s="72"/>
      <c r="Z169" s="72"/>
      <c r="AA169" s="72"/>
      <c r="AB169" s="72" t="str">
        <f ca="1">IFERROR(__xludf.DUMMYFUNCTION("""COMPUTED_VALUE"""),"=8")</f>
        <v>=8</v>
      </c>
      <c r="AC169" s="72"/>
      <c r="AD169" s="72"/>
      <c r="AE169" s="72" t="str">
        <f ca="1">IFERROR(__xludf.DUMMYFUNCTION("""COMPUTED_VALUE"""),"=Self_BaAD * 1,75")</f>
        <v>=Self_BaAD * 1,75</v>
      </c>
      <c r="AF169" s="72"/>
      <c r="AG169" s="72"/>
      <c r="AH169" s="72"/>
      <c r="AI169" s="72" t="str">
        <f ca="1">IFERROR(__xludf.DUMMYFUNCTION("""COMPUTED_VALUE"""),"=IF($AO$2=1;COUNTIF(Interface!$C$22:$C$27;$A169);0)")</f>
        <v>=IF($AO$2=1;COUNTIF(Interface!$C$22:$C$27;$A169);0)</v>
      </c>
      <c r="AJ169" s="72" t="str">
        <f ca="1">IFERROR(__xludf.DUMMYFUNCTION("""COMPUTED_VALUE"""),"=IF($AO$2=2;COUNTIF(Interface!$C$30:$C$35;$A169);0)")</f>
        <v>=IF($AO$2=2;COUNTIF(Interface!$C$30:$C$35;$A169);0)</v>
      </c>
      <c r="AK169" s="72"/>
      <c r="AL169" s="72"/>
      <c r="AM169" s="72" t="str">
        <f ca="1">IFERROR(__xludf.DUMMYFUNCTION("""COMPUTED_VALUE"""),"=COUNTIF(Interface!$O$18:$O$23;$A169)")</f>
        <v>=COUNTIF(Interface!$O$18:$O$23;$A169)</v>
      </c>
      <c r="AN169" s="72" t="str">
        <f ca="1">IFERROR(__xludf.DUMMYFUNCTION("""COMPUTED_VALUE"""),"=Image(""https://ddragon.leagueoflegends.com/cdn/12.22.1/img/item/6630.png"")")</f>
        <v>=Image("https://ddragon.leagueoflegends.com/cdn/12.22.1/img/item/6630.png")</v>
      </c>
      <c r="AO169" s="72" t="b">
        <f ca="1">IFERROR(__xludf.DUMMYFUNCTION("""COMPUTED_VALUE"""),FALSE)</f>
        <v>0</v>
      </c>
    </row>
    <row r="170" spans="1:41">
      <c r="A170" s="643" t="str">
        <f ca="1">IFERROR(__xludf.DUMMYFUNCTION("""COMPUTED_VALUE"""),"Guinsoo's Rageblade")</f>
        <v>Guinsoo's Rageblade</v>
      </c>
      <c r="B170" s="650" t="str">
        <f ca="1">IFERROR(__xludf.DUMMYFUNCTION("""COMPUTED_VALUE"""),"=3200")</f>
        <v>=3200</v>
      </c>
      <c r="C170" s="650"/>
      <c r="D170" s="650"/>
      <c r="E170" s="650"/>
      <c r="F170" s="650"/>
      <c r="G170" s="78" t="str">
        <f ca="1">IFERROR(__xludf.DUMMYFUNCTION("""COMPUTED_VALUE"""),"=30")</f>
        <v>=30</v>
      </c>
      <c r="H170" s="78" t="str">
        <f ca="1">IFERROR(__xludf.DUMMYFUNCTION("""COMPUTED_VALUE"""),"=30")</f>
        <v>=30</v>
      </c>
      <c r="I170" s="78"/>
      <c r="J170" s="78"/>
      <c r="K170" s="78" t="str">
        <f ca="1">IFERROR(__xludf.DUMMYFUNCTION("""COMPUTED_VALUE"""),"=25 + 32")</f>
        <v>=25 + 32</v>
      </c>
      <c r="L170" s="76"/>
      <c r="M170" s="76"/>
      <c r="N170" s="76"/>
      <c r="O170" s="76"/>
      <c r="P170" s="76"/>
      <c r="Q170" s="76"/>
      <c r="R170" s="76"/>
      <c r="S170" s="76"/>
      <c r="T170" s="76"/>
      <c r="U170" s="76" t="str">
        <f ca="1">IFERROR(__xludf.DUMMYFUNCTION("""COMPUTED_VALUE"""),"=30 + 150 * Self_Crit")</f>
        <v>=30 + 150 * Self_Crit</v>
      </c>
      <c r="V170" s="76"/>
      <c r="W170" s="76"/>
      <c r="X170" s="76"/>
      <c r="Y170" s="76" t="str">
        <f ca="1">IFERROR(__xludf.DUMMYFUNCTION("""COMPUTED_VALUE"""),"=5 * Legendary")</f>
        <v>=5 * Legendary</v>
      </c>
      <c r="Z170" s="76" t="str">
        <f ca="1">IFERROR(__xludf.DUMMYFUNCTION("""COMPUTED_VALUE"""),"=6 * Legendary")</f>
        <v>=6 * Legendary</v>
      </c>
      <c r="AA170" s="76"/>
      <c r="AB170" s="76"/>
      <c r="AC170" s="76"/>
      <c r="AD170" s="76"/>
      <c r="AE170" s="76"/>
      <c r="AF170" s="76"/>
      <c r="AG170" s="76"/>
      <c r="AH170" s="76"/>
      <c r="AI170" s="76" t="str">
        <f ca="1">IFERROR(__xludf.DUMMYFUNCTION("""COMPUTED_VALUE"""),"=IF($AO$2=1;COUNTIF(Interface!$C$22:$C$27;$A170);0)")</f>
        <v>=IF($AO$2=1;COUNTIF(Interface!$C$22:$C$27;$A170);0)</v>
      </c>
      <c r="AJ170" s="76" t="str">
        <f ca="1">IFERROR(__xludf.DUMMYFUNCTION("""COMPUTED_VALUE"""),"=IF($AO$2=2;COUNTIF(Interface!$C$30:$C$35;$A170);0)")</f>
        <v>=IF($AO$2=2;COUNTIF(Interface!$C$30:$C$35;$A170);0)</v>
      </c>
      <c r="AK170" s="76"/>
      <c r="AL170" s="76"/>
      <c r="AM170" s="76" t="str">
        <f ca="1">IFERROR(__xludf.DUMMYFUNCTION("""COMPUTED_VALUE"""),"=COUNTIF(Interface!$O$18:$O$23;$A170)")</f>
        <v>=COUNTIF(Interface!$O$18:$O$23;$A170)</v>
      </c>
      <c r="AN170" s="76" t="str">
        <f ca="1">IFERROR(__xludf.DUMMYFUNCTION("""COMPUTED_VALUE"""),"=Image(""https://ddragon.leagueoflegends.com/cdn/12.22.1/img/item/3124.png"")")</f>
        <v>=Image("https://ddragon.leagueoflegends.com/cdn/12.22.1/img/item/3124.png")</v>
      </c>
      <c r="AO170" s="76" t="b">
        <f ca="1">IFERROR(__xludf.DUMMYFUNCTION("""COMPUTED_VALUE"""),FALSE)</f>
        <v>0</v>
      </c>
    </row>
    <row r="171" spans="1:41">
      <c r="A171" s="644" t="str">
        <f ca="1">IFERROR(__xludf.DUMMYFUNCTION("""COMPUTED_VALUE"""),"Heartsteel")</f>
        <v>Heartsteel</v>
      </c>
      <c r="B171" s="649" t="str">
        <f ca="1">IFERROR(__xludf.DUMMYFUNCTION("""COMPUTED_VALUE"""),"=3200")</f>
        <v>=3200</v>
      </c>
      <c r="C171" s="649" t="str">
        <f ca="1">IFERROR(__xludf.DUMMYFUNCTION("""COMPUTED_VALUE"""),"=800")</f>
        <v>=800</v>
      </c>
      <c r="D171" s="649" t="str">
        <f ca="1">IFERROR(__xludf.DUMMYFUNCTION("""COMPUTED_VALUE"""),"=2")</f>
        <v>=2</v>
      </c>
      <c r="E171" s="649"/>
      <c r="F171" s="649"/>
      <c r="G171" s="84"/>
      <c r="H171" s="84"/>
      <c r="I171" s="84"/>
      <c r="J171" s="84"/>
      <c r="K171" s="84"/>
      <c r="L171" s="72"/>
      <c r="M171" s="72" t="str">
        <f ca="1">IFERROR(__xludf.DUMMYFUNCTION("""COMPUTED_VALUE"""),"=20")</f>
        <v>=20</v>
      </c>
      <c r="N171" s="72"/>
      <c r="O171" s="72"/>
      <c r="P171" s="72"/>
      <c r="Q171" s="72"/>
      <c r="R171" s="72"/>
      <c r="S171" s="72"/>
      <c r="T171" s="72"/>
      <c r="U171" s="72"/>
      <c r="V171" s="72"/>
      <c r="W171" s="72"/>
      <c r="X171" s="72"/>
      <c r="Y171" s="72"/>
      <c r="Z171" s="72"/>
      <c r="AA171" s="72"/>
      <c r="AB171" s="72"/>
      <c r="AC171" s="72"/>
      <c r="AD171" s="72"/>
      <c r="AE171" s="72" t="str">
        <f ca="1">IFERROR(__xludf.DUMMYFUNCTION("""COMPUTED_VALUE"""),"=125 + 0,06 * E_MHP")</f>
        <v>=125 + 0,06 * E_MHP</v>
      </c>
      <c r="AF171" s="72"/>
      <c r="AG171" s="72"/>
      <c r="AH171" s="72"/>
      <c r="AI171" s="72" t="str">
        <f ca="1">IFERROR(__xludf.DUMMYFUNCTION("""COMPUTED_VALUE"""),"=IF($AO$2=1;COUNTIF(Interface!$C$22:$C$27;$A171);0)")</f>
        <v>=IF($AO$2=1;COUNTIF(Interface!$C$22:$C$27;$A171);0)</v>
      </c>
      <c r="AJ171" s="72" t="str">
        <f ca="1">IFERROR(__xludf.DUMMYFUNCTION("""COMPUTED_VALUE"""),"=IF($AO$2=2;COUNTIF(Interface!$C$30:$C$35;$A171);0)")</f>
        <v>=IF($AO$2=2;COUNTIF(Interface!$C$30:$C$35;$A171);0)</v>
      </c>
      <c r="AK171" s="72"/>
      <c r="AL171" s="72"/>
      <c r="AM171" s="72" t="str">
        <f ca="1">IFERROR(__xludf.DUMMYFUNCTION("""COMPUTED_VALUE"""),"=COUNTIF(Interface!$O$18:$O$23;$A171)")</f>
        <v>=COUNTIF(Interface!$O$18:$O$23;$A171)</v>
      </c>
      <c r="AN171" s="72" t="str">
        <f ca="1">IFERROR(__xludf.DUMMYFUNCTION("""COMPUTED_VALUE"""),"=Image(""https://ddragon.leagueoflegends.com/cdn/12.22.1/img/item/3084.png"")")</f>
        <v>=Image("https://ddragon.leagueoflegends.com/cdn/12.22.1/img/item/3084.png")</v>
      </c>
      <c r="AO171" s="72" t="b">
        <f ca="1">IFERROR(__xludf.DUMMYFUNCTION("""COMPUTED_VALUE"""),FALSE)</f>
        <v>0</v>
      </c>
    </row>
    <row r="172" spans="1:41">
      <c r="A172" s="643" t="str">
        <f ca="1">IFERROR(__xludf.DUMMYFUNCTION("""COMPUTED_VALUE"""),"Hextech Rocketbelt")</f>
        <v>Hextech Rocketbelt</v>
      </c>
      <c r="B172" s="650" t="str">
        <f ca="1">IFERROR(__xludf.DUMMYFUNCTION("""COMPUTED_VALUE"""),"=3200")</f>
        <v>=3200</v>
      </c>
      <c r="C172" s="650" t="str">
        <f ca="1">IFERROR(__xludf.DUMMYFUNCTION("""COMPUTED_VALUE"""),"=250")</f>
        <v>=250</v>
      </c>
      <c r="D172" s="650"/>
      <c r="E172" s="650"/>
      <c r="F172" s="650"/>
      <c r="G172" s="78"/>
      <c r="H172" s="78" t="str">
        <f ca="1">IFERROR(__xludf.DUMMYFUNCTION("""COMPUTED_VALUE"""),"=90")</f>
        <v>=90</v>
      </c>
      <c r="I172" s="78"/>
      <c r="J172" s="78"/>
      <c r="K172" s="78"/>
      <c r="L172" s="76"/>
      <c r="M172" s="76" t="str">
        <f ca="1">IFERROR(__xludf.DUMMYFUNCTION("""COMPUTED_VALUE"""),"=15")</f>
        <v>=15</v>
      </c>
      <c r="N172" s="76"/>
      <c r="O172" s="76"/>
      <c r="P172" s="76" t="str">
        <f ca="1">IFERROR(__xludf.DUMMYFUNCTION("""COMPUTED_VALUE"""),"=6 + 5 * Legendary")</f>
        <v>=6 + 5 * Legendary</v>
      </c>
      <c r="Q172" s="76"/>
      <c r="R172" s="76"/>
      <c r="S172" s="76"/>
      <c r="T172" s="76"/>
      <c r="U172" s="76"/>
      <c r="V172" s="76"/>
      <c r="W172" s="76" t="str">
        <f ca="1">IFERROR(__xludf.DUMMYFUNCTION("""COMPUTED_VALUE"""),"=125+0,15*Self_AP")</f>
        <v>=125+0,15*Self_AP</v>
      </c>
      <c r="X172" s="76"/>
      <c r="Y172" s="76"/>
      <c r="Z172" s="76"/>
      <c r="AA172" s="76"/>
      <c r="AB172" s="76"/>
      <c r="AC172" s="76"/>
      <c r="AD172" s="76"/>
      <c r="AE172" s="76"/>
      <c r="AF172" s="76"/>
      <c r="AG172" s="76"/>
      <c r="AH172" s="76"/>
      <c r="AI172" s="76" t="str">
        <f ca="1">IFERROR(__xludf.DUMMYFUNCTION("""COMPUTED_VALUE"""),"=IF($AO$2=1;COUNTIF(Interface!$C$22:$C$27;$A172);0)")</f>
        <v>=IF($AO$2=1;COUNTIF(Interface!$C$22:$C$27;$A172);0)</v>
      </c>
      <c r="AJ172" s="76" t="str">
        <f ca="1">IFERROR(__xludf.DUMMYFUNCTION("""COMPUTED_VALUE"""),"=IF($AO$2=2;COUNTIF(Interface!$C$30:$C$35;$A172);0)")</f>
        <v>=IF($AO$2=2;COUNTIF(Interface!$C$30:$C$35;$A172);0)</v>
      </c>
      <c r="AK172" s="76"/>
      <c r="AL172" s="76"/>
      <c r="AM172" s="76" t="str">
        <f ca="1">IFERROR(__xludf.DUMMYFUNCTION("""COMPUTED_VALUE"""),"=COUNTIF(Interface!$O$18:$O$23;$A172)")</f>
        <v>=COUNTIF(Interface!$O$18:$O$23;$A172)</v>
      </c>
      <c r="AN172" s="76" t="str">
        <f ca="1">IFERROR(__xludf.DUMMYFUNCTION("""COMPUTED_VALUE"""),"=Image(""https://ddragon.leagueoflegends.com/cdn/12.22.1/img/item/3152.png"")")</f>
        <v>=Image("https://ddragon.leagueoflegends.com/cdn/12.22.1/img/item/3152.png")</v>
      </c>
      <c r="AO172" s="76" t="b">
        <f ca="1">IFERROR(__xludf.DUMMYFUNCTION("""COMPUTED_VALUE"""),FALSE)</f>
        <v>0</v>
      </c>
    </row>
    <row r="173" spans="1:41">
      <c r="A173" s="644" t="str">
        <f ca="1">IFERROR(__xludf.DUMMYFUNCTION("""COMPUTED_VALUE"""),"Iceborn Gauntlet")</f>
        <v>Iceborn Gauntlet</v>
      </c>
      <c r="B173" s="649" t="str">
        <f ca="1">IFERROR(__xludf.DUMMYFUNCTION("""COMPUTED_VALUE"""),"=3000")</f>
        <v>=3000</v>
      </c>
      <c r="C173" s="649" t="str">
        <f ca="1">IFERROR(__xludf.DUMMYFUNCTION("""COMPUTED_VALUE"""),"=400 + 50 * Legendary")</f>
        <v>=400 + 50 * Legendary</v>
      </c>
      <c r="D173" s="649"/>
      <c r="E173" s="649"/>
      <c r="F173" s="649"/>
      <c r="G173" s="84"/>
      <c r="H173" s="84"/>
      <c r="I173" s="84" t="str">
        <f ca="1">IFERROR(__xludf.DUMMYFUNCTION("""COMPUTED_VALUE"""),"=50")</f>
        <v>=50</v>
      </c>
      <c r="J173" s="84"/>
      <c r="K173" s="84"/>
      <c r="L173" s="72"/>
      <c r="M173" s="72" t="str">
        <f ca="1">IFERROR(__xludf.DUMMYFUNCTION("""COMPUTED_VALUE"""),"=20")</f>
        <v>=20</v>
      </c>
      <c r="N173" s="72"/>
      <c r="O173" s="72"/>
      <c r="P173" s="72"/>
      <c r="Q173" s="72"/>
      <c r="R173" s="72"/>
      <c r="S173" s="72"/>
      <c r="T173" s="72"/>
      <c r="U173" s="72"/>
      <c r="V173" s="72"/>
      <c r="W173" s="72"/>
      <c r="X173" s="72" t="str">
        <f ca="1">IFERROR(__xludf.DUMMYFUNCTION("""COMPUTED_VALUE"""),"=Self_BaAD")</f>
        <v>=Self_BaAD</v>
      </c>
      <c r="Y173" s="72"/>
      <c r="Z173" s="72"/>
      <c r="AA173" s="72"/>
      <c r="AB173" s="72"/>
      <c r="AC173" s="72"/>
      <c r="AD173" s="72"/>
      <c r="AE173" s="72"/>
      <c r="AF173" s="72" t="str">
        <f ca="1">IFERROR(__xludf.DUMMYFUNCTION("""COMPUTED_VALUE"""),"=5 * Legendary")</f>
        <v>=5 * Legendary</v>
      </c>
      <c r="AG173" s="72"/>
      <c r="AH173" s="72"/>
      <c r="AI173" s="72" t="str">
        <f ca="1">IFERROR(__xludf.DUMMYFUNCTION("""COMPUTED_VALUE"""),"=IF($AO$2=1;COUNTIF(Interface!$C$22:$C$27;$A173);0)")</f>
        <v>=IF($AO$2=1;COUNTIF(Interface!$C$22:$C$27;$A173);0)</v>
      </c>
      <c r="AJ173" s="72" t="str">
        <f ca="1">IFERROR(__xludf.DUMMYFUNCTION("""COMPUTED_VALUE"""),"=IF($AO$2=2;COUNTIF(Interface!$C$30:$C$35;$A173);0)")</f>
        <v>=IF($AO$2=2;COUNTIF(Interface!$C$30:$C$35;$A173);0)</v>
      </c>
      <c r="AK173" s="72"/>
      <c r="AL173" s="72"/>
      <c r="AM173" s="72" t="str">
        <f ca="1">IFERROR(__xludf.DUMMYFUNCTION("""COMPUTED_VALUE"""),"=COUNTIF(Interface!$O$18:$O$23;$A173)")</f>
        <v>=COUNTIF(Interface!$O$18:$O$23;$A173)</v>
      </c>
      <c r="AN173" s="72" t="str">
        <f ca="1">IFERROR(__xludf.DUMMYFUNCTION("""COMPUTED_VALUE"""),"=Image(""https://ddragon.leagueoflegends.com/cdn/12.22.1/img/item/6662.png"")")</f>
        <v>=Image("https://ddragon.leagueoflegends.com/cdn/12.22.1/img/item/6662.png")</v>
      </c>
      <c r="AO173" s="72" t="b">
        <f ca="1">IFERROR(__xludf.DUMMYFUNCTION("""COMPUTED_VALUE"""),FALSE)</f>
        <v>0</v>
      </c>
    </row>
    <row r="174" spans="1:41">
      <c r="A174" s="643" t="str">
        <f ca="1">IFERROR(__xludf.DUMMYFUNCTION("""COMPUTED_VALUE"""),"Infinity Edge")</f>
        <v>Infinity Edge</v>
      </c>
      <c r="B174" s="650" t="str">
        <f ca="1">IFERROR(__xludf.DUMMYFUNCTION("""COMPUTED_VALUE"""),"=3400")</f>
        <v>=3400</v>
      </c>
      <c r="C174" s="650"/>
      <c r="D174" s="650"/>
      <c r="E174" s="650"/>
      <c r="F174" s="650"/>
      <c r="G174" s="78" t="str">
        <f ca="1">IFERROR(__xludf.DUMMYFUNCTION("""COMPUTED_VALUE"""),"=70 + 5 * Legendary")</f>
        <v>=70 + 5 * Legendary</v>
      </c>
      <c r="H174" s="78"/>
      <c r="I174" s="78"/>
      <c r="J174" s="78"/>
      <c r="K174" s="78"/>
      <c r="L174" s="76" t="str">
        <f ca="1">IFERROR(__xludf.DUMMYFUNCTION("""COMPUTED_VALUE"""),"=20")</f>
        <v>=20</v>
      </c>
      <c r="M174" s="76"/>
      <c r="N174" s="76"/>
      <c r="O174" s="76"/>
      <c r="P174" s="76"/>
      <c r="Q174" s="76"/>
      <c r="R174" s="76"/>
      <c r="S174" s="76"/>
      <c r="T174" s="76"/>
      <c r="U174" s="76"/>
      <c r="V174" s="76"/>
      <c r="W174" s="76"/>
      <c r="X174" s="76"/>
      <c r="Y174" s="76"/>
      <c r="Z174" s="76"/>
      <c r="AA174" s="76" t="str">
        <f ca="1">IFERROR(__xludf.DUMMYFUNCTION("""COMPUTED_VALUE"""),"=35")</f>
        <v>=35</v>
      </c>
      <c r="AB174" s="76"/>
      <c r="AC174" s="76"/>
      <c r="AD174" s="76"/>
      <c r="AE174" s="76"/>
      <c r="AF174" s="76"/>
      <c r="AG174" s="76"/>
      <c r="AH174" s="76"/>
      <c r="AI174" s="76" t="str">
        <f ca="1">IFERROR(__xludf.DUMMYFUNCTION("""COMPUTED_VALUE"""),"=IF($AO$2=1;COUNTIF(Interface!$C$22:$C$27;$A174);0)")</f>
        <v>=IF($AO$2=1;COUNTIF(Interface!$C$22:$C$27;$A174);0)</v>
      </c>
      <c r="AJ174" s="76" t="str">
        <f ca="1">IFERROR(__xludf.DUMMYFUNCTION("""COMPUTED_VALUE"""),"=IF($AO$2=2;COUNTIF(Interface!$C$30:$C$35;$A174);0)")</f>
        <v>=IF($AO$2=2;COUNTIF(Interface!$C$30:$C$35;$A174);0)</v>
      </c>
      <c r="AK174" s="76"/>
      <c r="AL174" s="76"/>
      <c r="AM174" s="76" t="str">
        <f ca="1">IFERROR(__xludf.DUMMYFUNCTION("""COMPUTED_VALUE"""),"=COUNTIF(Interface!$O$18:$O$23;$A174)")</f>
        <v>=COUNTIF(Interface!$O$18:$O$23;$A174)</v>
      </c>
      <c r="AN174" s="76" t="str">
        <f ca="1">IFERROR(__xludf.DUMMYFUNCTION("""COMPUTED_VALUE"""),"=Image(""https://ddragon.leagueoflegends.com/cdn/12.22.1/img/item/3031.png"")")</f>
        <v>=Image("https://ddragon.leagueoflegends.com/cdn/12.22.1/img/item/3031.png")</v>
      </c>
      <c r="AO174" s="76" t="b">
        <f ca="1">IFERROR(__xludf.DUMMYFUNCTION("""COMPUTED_VALUE"""),FALSE)</f>
        <v>0</v>
      </c>
    </row>
    <row r="175" spans="1:41">
      <c r="A175" s="644" t="str">
        <f ca="1">IFERROR(__xludf.DUMMYFUNCTION("""COMPUTED_VALUE"""),"Jak'Sho The Protean")</f>
        <v>Jak'Sho The Protean</v>
      </c>
      <c r="B175" s="649" t="str">
        <f ca="1">IFERROR(__xludf.DUMMYFUNCTION("""COMPUTED_VALUE"""),"=3200")</f>
        <v>=3200</v>
      </c>
      <c r="C175" s="649" t="str">
        <f ca="1">IFERROR(__xludf.DUMMYFUNCTION("""COMPUTED_VALUE"""),"=400")</f>
        <v>=400</v>
      </c>
      <c r="D175" s="649"/>
      <c r="E175" s="649"/>
      <c r="F175" s="649"/>
      <c r="G175" s="84"/>
      <c r="H175" s="84"/>
      <c r="I175" s="84" t="str">
        <f ca="1">IFERROR(__xludf.DUMMYFUNCTION("""COMPUTED_VALUE"""),"=30 + 5 * Legendary + IF(Steroid_Items; 8; 0)")</f>
        <v>=30 + 5 * Legendary + IF(Steroid_Items; 8; 0)</v>
      </c>
      <c r="J175" s="84" t="str">
        <f ca="1">IFERROR(__xludf.DUMMYFUNCTION("""COMPUTED_VALUE"""),"=30 + 5 * Legendary + IF(Steroid_Items; 8; 0)")</f>
        <v>=30 + 5 * Legendary + IF(Steroid_Items; 8; 0)</v>
      </c>
      <c r="K175" s="84"/>
      <c r="L175" s="72"/>
      <c r="M175" s="72" t="str">
        <f ca="1">IFERROR(__xludf.DUMMYFUNCTION("""COMPUTED_VALUE"""),"=20")</f>
        <v>=20</v>
      </c>
      <c r="N175" s="72"/>
      <c r="O175" s="72"/>
      <c r="P175" s="72"/>
      <c r="Q175" s="72"/>
      <c r="R175" s="72"/>
      <c r="S175" s="72"/>
      <c r="T175" s="72"/>
      <c r="U175" s="72"/>
      <c r="V175" s="72"/>
      <c r="W175" s="72" t="str">
        <f ca="1">IFERROR(__xludf.DUMMYFUNCTION("""COMPUTED_VALUE"""),"=80 + 0,07 * Self_BoHP")</f>
        <v>=80 + 0,07 * Self_BoHP</v>
      </c>
      <c r="X175" s="72"/>
      <c r="Y175" s="72"/>
      <c r="Z175" s="72"/>
      <c r="AA175" s="72"/>
      <c r="AB175" s="72"/>
      <c r="AC175" s="72"/>
      <c r="AD175" s="72"/>
      <c r="AE175" s="72"/>
      <c r="AF175" s="72"/>
      <c r="AG175" s="72"/>
      <c r="AH175" s="72"/>
      <c r="AI175" s="72" t="str">
        <f ca="1">IFERROR(__xludf.DUMMYFUNCTION("""COMPUTED_VALUE"""),"=IF($AO$2=1;COUNTIF(Interface!$C$22:$C$27;$A175);0)")</f>
        <v>=IF($AO$2=1;COUNTIF(Interface!$C$22:$C$27;$A175);0)</v>
      </c>
      <c r="AJ175" s="72" t="str">
        <f ca="1">IFERROR(__xludf.DUMMYFUNCTION("""COMPUTED_VALUE"""),"=IF($AO$2=2;COUNTIF(Interface!$C$30:$C$35;$A175);0)")</f>
        <v>=IF($AO$2=2;COUNTIF(Interface!$C$30:$C$35;$A175);0)</v>
      </c>
      <c r="AK175" s="72"/>
      <c r="AL175" s="72"/>
      <c r="AM175" s="72" t="str">
        <f ca="1">IFERROR(__xludf.DUMMYFUNCTION("""COMPUTED_VALUE"""),"=COUNTIF(Interface!$O$18:$O$23;$A175)")</f>
        <v>=COUNTIF(Interface!$O$18:$O$23;$A175)</v>
      </c>
      <c r="AN175" s="72" t="str">
        <f ca="1">IFERROR(__xludf.DUMMYFUNCTION("""COMPUTED_VALUE"""),"=Image(""https://ddragon.leagueoflegends.com/cdn/12.22.1/img/item/6665.png"")")</f>
        <v>=Image("https://ddragon.leagueoflegends.com/cdn/12.22.1/img/item/6665.png")</v>
      </c>
      <c r="AO175" s="72" t="b">
        <f ca="1">IFERROR(__xludf.DUMMYFUNCTION("""COMPUTED_VALUE"""),FALSE)</f>
        <v>0</v>
      </c>
    </row>
    <row r="176" spans="1:41">
      <c r="A176" s="643" t="str">
        <f ca="1">IFERROR(__xludf.DUMMYFUNCTION("""COMPUTED_VALUE"""),"Liandry's Anguish")</f>
        <v>Liandry's Anguish</v>
      </c>
      <c r="B176" s="650" t="str">
        <f ca="1">IFERROR(__xludf.DUMMYFUNCTION("""COMPUTED_VALUE"""),"=3200")</f>
        <v>=3200</v>
      </c>
      <c r="C176" s="650"/>
      <c r="D176" s="650"/>
      <c r="E176" s="650" t="str">
        <f ca="1">IFERROR(__xludf.DUMMYFUNCTION("""COMPUTED_VALUE"""),"=600")</f>
        <v>=600</v>
      </c>
      <c r="F176" s="650"/>
      <c r="G176" s="78"/>
      <c r="H176" s="78" t="str">
        <f ca="1">IFERROR(__xludf.DUMMYFUNCTION("""COMPUTED_VALUE"""),"=80")</f>
        <v>=80</v>
      </c>
      <c r="I176" s="78"/>
      <c r="J176" s="78"/>
      <c r="K176" s="78"/>
      <c r="L176" s="76"/>
      <c r="M176" s="76" t="str">
        <f ca="1">IFERROR(__xludf.DUMMYFUNCTION("""COMPUTED_VALUE"""),"=20 + 5 * Legendary")</f>
        <v>=20 + 5 * Legendary</v>
      </c>
      <c r="N176" s="76"/>
      <c r="O176" s="76"/>
      <c r="P176" s="76"/>
      <c r="Q176" s="76"/>
      <c r="R176" s="76"/>
      <c r="S176" s="76"/>
      <c r="T176" s="76"/>
      <c r="U176" s="76"/>
      <c r="V176" s="76"/>
      <c r="W176" s="76" t="str">
        <f ca="1">IFERROR(__xludf.DUMMYFUNCTION("""COMPUTED_VALUE"""),"=50+0,06*Self_AP+0,04*E_MHP")</f>
        <v>=50+0,06*Self_AP+0,04*E_MHP</v>
      </c>
      <c r="X176" s="76"/>
      <c r="Y176" s="76"/>
      <c r="Z176" s="76"/>
      <c r="AA176" s="76"/>
      <c r="AB176" s="76"/>
      <c r="AC176" s="76" t="str">
        <f ca="1">IFERROR(__xludf.DUMMYFUNCTION("""COMPUTED_VALUE"""),"=MIN(0,12;IF(E_BoHp&gt;0;0,12*(E_BoHp/1250);0))")</f>
        <v>=MIN(0,12;IF(E_BoHp&gt;0;0,12*(E_BoHp/1250);0))</v>
      </c>
      <c r="AD176" s="76"/>
      <c r="AE176" s="76"/>
      <c r="AF176" s="76"/>
      <c r="AG176" s="76"/>
      <c r="AH176" s="76"/>
      <c r="AI176" s="76" t="str">
        <f ca="1">IFERROR(__xludf.DUMMYFUNCTION("""COMPUTED_VALUE"""),"=IF($AO$2=1;COUNTIF(Interface!$C$22:$C$27;$A176);0)")</f>
        <v>=IF($AO$2=1;COUNTIF(Interface!$C$22:$C$27;$A176);0)</v>
      </c>
      <c r="AJ176" s="76" t="str">
        <f ca="1">IFERROR(__xludf.DUMMYFUNCTION("""COMPUTED_VALUE"""),"=IF($AO$2=2;COUNTIF(Interface!$C$30:$C$35;$A176);0)")</f>
        <v>=IF($AO$2=2;COUNTIF(Interface!$C$30:$C$35;$A176);0)</v>
      </c>
      <c r="AK176" s="76"/>
      <c r="AL176" s="76"/>
      <c r="AM176" s="76" t="str">
        <f ca="1">IFERROR(__xludf.DUMMYFUNCTION("""COMPUTED_VALUE"""),"=COUNTIF(Interface!$O$18:$O$23;$A176)")</f>
        <v>=COUNTIF(Interface!$O$18:$O$23;$A176)</v>
      </c>
      <c r="AN176" s="76" t="str">
        <f ca="1">IFERROR(__xludf.DUMMYFUNCTION("""COMPUTED_VALUE"""),"=Image(""https://ddragon.leagueoflegends.com/cdn/12.22.1/img/item/6653.png"")")</f>
        <v>=Image("https://ddragon.leagueoflegends.com/cdn/12.22.1/img/item/6653.png")</v>
      </c>
      <c r="AO176" s="76" t="b">
        <f ca="1">IFERROR(__xludf.DUMMYFUNCTION("""COMPUTED_VALUE"""),FALSE)</f>
        <v>0</v>
      </c>
    </row>
    <row r="177" spans="1:41">
      <c r="A177" s="644" t="str">
        <f ca="1">IFERROR(__xludf.DUMMYFUNCTION("""COMPUTED_VALUE"""),"Locket of the Iron Solari")</f>
        <v>Locket of the Iron Solari</v>
      </c>
      <c r="B177" s="649" t="str">
        <f ca="1">IFERROR(__xludf.DUMMYFUNCTION("""COMPUTED_VALUE"""),"=2300")</f>
        <v>=2300</v>
      </c>
      <c r="C177" s="649" t="str">
        <f ca="1">IFERROR(__xludf.DUMMYFUNCTION("""COMPUTED_VALUE"""),"=200")</f>
        <v>=200</v>
      </c>
      <c r="D177" s="649"/>
      <c r="E177" s="649"/>
      <c r="F177" s="649"/>
      <c r="G177" s="84"/>
      <c r="H177" s="84"/>
      <c r="I177" s="84" t="str">
        <f ca="1">IFERROR(__xludf.DUMMYFUNCTION("""COMPUTED_VALUE"""),"=30")</f>
        <v>=30</v>
      </c>
      <c r="J177" s="84" t="str">
        <f ca="1">IFERROR(__xludf.DUMMYFUNCTION("""COMPUTED_VALUE"""),"=30")</f>
        <v>=30</v>
      </c>
      <c r="K177" s="84"/>
      <c r="L177" s="72"/>
      <c r="M177" s="72" t="str">
        <f ca="1">IFERROR(__xludf.DUMMYFUNCTION("""COMPUTED_VALUE"""),"=20")</f>
        <v>=20</v>
      </c>
      <c r="N177" s="72"/>
      <c r="O177" s="72"/>
      <c r="P177" s="72"/>
      <c r="Q177" s="72"/>
      <c r="R177" s="72"/>
      <c r="S177" s="72"/>
      <c r="T177" s="72"/>
      <c r="U177" s="72"/>
      <c r="V177" s="72"/>
      <c r="W177" s="72"/>
      <c r="X177" s="72"/>
      <c r="Y177" s="72"/>
      <c r="Z177" s="72"/>
      <c r="AA177" s="72"/>
      <c r="AB177" s="72"/>
      <c r="AC177" s="72"/>
      <c r="AD177" s="72"/>
      <c r="AE177" s="72"/>
      <c r="AF177" s="72"/>
      <c r="AG177" s="72"/>
      <c r="AH177" s="72" t="str">
        <f ca="1">IFERROR(__xludf.DUMMYFUNCTION("""COMPUTED_VALUE"""),"=(200 + 160 * Sc_Lin) * MOD_SelfHeal")</f>
        <v>=(200 + 160 * Sc_Lin) * MOD_SelfHeal</v>
      </c>
      <c r="AI177" s="72" t="str">
        <f ca="1">IFERROR(__xludf.DUMMYFUNCTION("""COMPUTED_VALUE"""),"=IF($AO$2=1;COUNTIF(Interface!$C$22:$C$27;$A177);0)")</f>
        <v>=IF($AO$2=1;COUNTIF(Interface!$C$22:$C$27;$A177);0)</v>
      </c>
      <c r="AJ177" s="72" t="str">
        <f ca="1">IFERROR(__xludf.DUMMYFUNCTION("""COMPUTED_VALUE"""),"=IF($AO$2=2;COUNTIF(Interface!$C$30:$C$35;$A177);0)")</f>
        <v>=IF($AO$2=2;COUNTIF(Interface!$C$30:$C$35;$A177);0)</v>
      </c>
      <c r="AK177" s="72"/>
      <c r="AL177" s="72"/>
      <c r="AM177" s="72" t="str">
        <f ca="1">IFERROR(__xludf.DUMMYFUNCTION("""COMPUTED_VALUE"""),"=COUNTIF(Interface!$O$18:$O$23;$A177)")</f>
        <v>=COUNTIF(Interface!$O$18:$O$23;$A177)</v>
      </c>
      <c r="AN177" s="72" t="str">
        <f ca="1">IFERROR(__xludf.DUMMYFUNCTION("""COMPUTED_VALUE"""),"=Image(""https://ddragon.leagueoflegends.com/cdn/12.22.1/img/item/3190.png"")")</f>
        <v>=Image("https://ddragon.leagueoflegends.com/cdn/12.22.1/img/item/3190.png")</v>
      </c>
      <c r="AO177" s="72" t="b">
        <f ca="1">IFERROR(__xludf.DUMMYFUNCTION("""COMPUTED_VALUE"""),FALSE)</f>
        <v>0</v>
      </c>
    </row>
    <row r="178" spans="1:41">
      <c r="A178" s="643" t="str">
        <f ca="1">IFERROR(__xludf.DUMMYFUNCTION("""COMPUTED_VALUE"""),"Luden's Tempest")</f>
        <v>Luden's Tempest</v>
      </c>
      <c r="B178" s="650" t="str">
        <f ca="1">IFERROR(__xludf.DUMMYFUNCTION("""COMPUTED_VALUE"""),"=3200")</f>
        <v>=3200</v>
      </c>
      <c r="C178" s="650"/>
      <c r="D178" s="650"/>
      <c r="E178" s="650" t="str">
        <f ca="1">IFERROR(__xludf.DUMMYFUNCTION("""COMPUTED_VALUE"""),"=600")</f>
        <v>=600</v>
      </c>
      <c r="F178" s="650"/>
      <c r="G178" s="78"/>
      <c r="H178" s="78" t="str">
        <f ca="1">IFERROR(__xludf.DUMMYFUNCTION("""COMPUTED_VALUE"""),"=80")</f>
        <v>=80</v>
      </c>
      <c r="I178" s="78"/>
      <c r="J178" s="78"/>
      <c r="K178" s="78"/>
      <c r="L178" s="76"/>
      <c r="M178" s="76" t="str">
        <f ca="1">IFERROR(__xludf.DUMMYFUNCTION("""COMPUTED_VALUE"""),"=20")</f>
        <v>=20</v>
      </c>
      <c r="N178" s="76"/>
      <c r="O178" s="76"/>
      <c r="P178" s="76" t="str">
        <f ca="1">IFERROR(__xludf.DUMMYFUNCTION("""COMPUTED_VALUE"""),"=6 + 5 * Legendary")</f>
        <v>=6 + 5 * Legendary</v>
      </c>
      <c r="Q178" s="76"/>
      <c r="R178" s="76"/>
      <c r="S178" s="76"/>
      <c r="T178" s="76"/>
      <c r="U178" s="76"/>
      <c r="V178" s="76"/>
      <c r="W178" s="76" t="str">
        <f ca="1">IFERROR(__xludf.DUMMYFUNCTION("""COMPUTED_VALUE"""),"=100+0,1*Self_AP")</f>
        <v>=100+0,1*Self_AP</v>
      </c>
      <c r="X178" s="76"/>
      <c r="Y178" s="76"/>
      <c r="Z178" s="76"/>
      <c r="AA178" s="76"/>
      <c r="AB178" s="76"/>
      <c r="AC178" s="76"/>
      <c r="AD178" s="76"/>
      <c r="AE178" s="76"/>
      <c r="AF178" s="76"/>
      <c r="AG178" s="76"/>
      <c r="AH178" s="76"/>
      <c r="AI178" s="76" t="str">
        <f ca="1">IFERROR(__xludf.DUMMYFUNCTION("""COMPUTED_VALUE"""),"=IF($AO$2=1;COUNTIF(Interface!$C$22:$C$27;$A178);0)")</f>
        <v>=IF($AO$2=1;COUNTIF(Interface!$C$22:$C$27;$A178);0)</v>
      </c>
      <c r="AJ178" s="76" t="str">
        <f ca="1">IFERROR(__xludf.DUMMYFUNCTION("""COMPUTED_VALUE"""),"=IF($AO$2=2;COUNTIF(Interface!$C$30:$C$35;$A178);0)")</f>
        <v>=IF($AO$2=2;COUNTIF(Interface!$C$30:$C$35;$A178);0)</v>
      </c>
      <c r="AK178" s="76"/>
      <c r="AL178" s="76"/>
      <c r="AM178" s="76" t="str">
        <f ca="1">IFERROR(__xludf.DUMMYFUNCTION("""COMPUTED_VALUE"""),"=COUNTIF(Interface!$O$18:$O$23;$A178)")</f>
        <v>=COUNTIF(Interface!$O$18:$O$23;$A178)</v>
      </c>
      <c r="AN178" s="76" t="str">
        <f ca="1">IFERROR(__xludf.DUMMYFUNCTION("""COMPUTED_VALUE"""),"=Image(""https://ddragon.leagueoflegends.com/cdn/12.22.1/img/item/6655.png"")")</f>
        <v>=Image("https://ddragon.leagueoflegends.com/cdn/12.22.1/img/item/6655.png")</v>
      </c>
      <c r="AO178" s="76" t="b">
        <f ca="1">IFERROR(__xludf.DUMMYFUNCTION("""COMPUTED_VALUE"""),FALSE)</f>
        <v>0</v>
      </c>
    </row>
    <row r="179" spans="1:41">
      <c r="A179" s="644" t="str">
        <f ca="1">IFERROR(__xludf.DUMMYFUNCTION("""COMPUTED_VALUE"""),"Moonstone Renewer")</f>
        <v>Moonstone Renewer</v>
      </c>
      <c r="B179" s="649" t="str">
        <f ca="1">IFERROR(__xludf.DUMMYFUNCTION("""COMPUTED_VALUE"""),"=2300")</f>
        <v>=2300</v>
      </c>
      <c r="C179" s="649" t="str">
        <f ca="1">IFERROR(__xludf.DUMMYFUNCTION("""COMPUTED_VALUE"""),"=200")</f>
        <v>=200</v>
      </c>
      <c r="D179" s="649"/>
      <c r="E179" s="649"/>
      <c r="F179" s="649" t="str">
        <f ca="1">IFERROR(__xludf.DUMMYFUNCTION("""COMPUTED_VALUE"""),"=1")</f>
        <v>=1</v>
      </c>
      <c r="G179" s="84"/>
      <c r="H179" s="84" t="str">
        <f ca="1">IFERROR(__xludf.DUMMYFUNCTION("""COMPUTED_VALUE"""),"=35")</f>
        <v>=35</v>
      </c>
      <c r="I179" s="84"/>
      <c r="J179" s="84"/>
      <c r="K179" s="84"/>
      <c r="L179" s="72"/>
      <c r="M179" s="72" t="str">
        <f ca="1">IFERROR(__xludf.DUMMYFUNCTION("""COMPUTED_VALUE"""),"=20")</f>
        <v>=20</v>
      </c>
      <c r="N179" s="72"/>
      <c r="O179" s="72"/>
      <c r="P179" s="72"/>
      <c r="Q179" s="72"/>
      <c r="R179" s="72"/>
      <c r="S179" s="72" t="str">
        <f ca="1">IFERROR(__xludf.DUMMYFUNCTION("""COMPUTED_VALUE"""),"=5 * Legendary")</f>
        <v>=5 * Legendary</v>
      </c>
      <c r="T179" s="72"/>
      <c r="U179" s="72"/>
      <c r="V179" s="72"/>
      <c r="W179" s="72"/>
      <c r="X179" s="72"/>
      <c r="Y179" s="72"/>
      <c r="Z179" s="72"/>
      <c r="AA179" s="72"/>
      <c r="AB179" s="72"/>
      <c r="AC179" s="72"/>
      <c r="AD179" s="72"/>
      <c r="AE179" s="72"/>
      <c r="AF179" s="72"/>
      <c r="AG179" s="72"/>
      <c r="AH179" s="72"/>
      <c r="AI179" s="72" t="str">
        <f ca="1">IFERROR(__xludf.DUMMYFUNCTION("""COMPUTED_VALUE"""),"=IF($AO$2=1;COUNTIF(Interface!$C$22:$C$27;$A179);0)")</f>
        <v>=IF($AO$2=1;COUNTIF(Interface!$C$22:$C$27;$A179);0)</v>
      </c>
      <c r="AJ179" s="72" t="str">
        <f ca="1">IFERROR(__xludf.DUMMYFUNCTION("""COMPUTED_VALUE"""),"=IF($AO$2=2;COUNTIF(Interface!$C$30:$C$35;$A179);0)")</f>
        <v>=IF($AO$2=2;COUNTIF(Interface!$C$30:$C$35;$A179);0)</v>
      </c>
      <c r="AK179" s="72"/>
      <c r="AL179" s="72"/>
      <c r="AM179" s="72" t="str">
        <f ca="1">IFERROR(__xludf.DUMMYFUNCTION("""COMPUTED_VALUE"""),"=COUNTIF(Interface!$O$18:$O$23;$A179)")</f>
        <v>=COUNTIF(Interface!$O$18:$O$23;$A179)</v>
      </c>
      <c r="AN179" s="72" t="str">
        <f ca="1">IFERROR(__xludf.DUMMYFUNCTION("""COMPUTED_VALUE"""),"=Image(""https://ddragon.leagueoflegends.com/cdn/12.22.1/img/item/6617.png"")")</f>
        <v>=Image("https://ddragon.leagueoflegends.com/cdn/12.22.1/img/item/6617.png")</v>
      </c>
      <c r="AO179" s="72" t="b">
        <f ca="1">IFERROR(__xludf.DUMMYFUNCTION("""COMPUTED_VALUE"""),FALSE)</f>
        <v>0</v>
      </c>
    </row>
    <row r="180" spans="1:41">
      <c r="A180" s="643" t="str">
        <f ca="1">IFERROR(__xludf.DUMMYFUNCTION("""COMPUTED_VALUE"""),"Navori Quickblade")</f>
        <v>Navori Quickblade</v>
      </c>
      <c r="B180" s="650" t="str">
        <f ca="1">IFERROR(__xludf.DUMMYFUNCTION("""COMPUTED_VALUE"""),"=3400")</f>
        <v>=3400</v>
      </c>
      <c r="C180" s="650"/>
      <c r="D180" s="650"/>
      <c r="E180" s="650"/>
      <c r="F180" s="650"/>
      <c r="G180" s="78" t="str">
        <f ca="1">IFERROR(__xludf.DUMMYFUNCTION("""COMPUTED_VALUE"""),"=65 + 5 * Legendary")</f>
        <v>=65 + 5 * Legendary</v>
      </c>
      <c r="H180" s="78"/>
      <c r="I180" s="78"/>
      <c r="J180" s="78"/>
      <c r="K180" s="78"/>
      <c r="L180" s="76" t="str">
        <f ca="1">IFERROR(__xludf.DUMMYFUNCTION("""COMPUTED_VALUE"""),"=20")</f>
        <v>=20</v>
      </c>
      <c r="M180" s="76" t="str">
        <f ca="1">IFERROR(__xludf.DUMMYFUNCTION("""COMPUTED_VALUE"""),"=15")</f>
        <v>=15</v>
      </c>
      <c r="N180" s="76"/>
      <c r="O180" s="76"/>
      <c r="P180" s="76"/>
      <c r="Q180" s="76"/>
      <c r="R180" s="76"/>
      <c r="S180" s="76"/>
      <c r="T180" s="76"/>
      <c r="U180" s="76"/>
      <c r="V180" s="76"/>
      <c r="W180" s="76"/>
      <c r="X180" s="76"/>
      <c r="Y180" s="76"/>
      <c r="Z180" s="76"/>
      <c r="AA180" s="76"/>
      <c r="AB180" s="76"/>
      <c r="AC180" s="76"/>
      <c r="AD180" s="76"/>
      <c r="AE180" s="76"/>
      <c r="AF180" s="76"/>
      <c r="AG180" s="76"/>
      <c r="AH180" s="76"/>
      <c r="AI180" s="76" t="str">
        <f ca="1">IFERROR(__xludf.DUMMYFUNCTION("""COMPUTED_VALUE"""),"=IF($AO$2=1;COUNTIF(Interface!$C$22:$C$27;$A180);0)")</f>
        <v>=IF($AO$2=1;COUNTIF(Interface!$C$22:$C$27;$A180);0)</v>
      </c>
      <c r="AJ180" s="76" t="str">
        <f ca="1">IFERROR(__xludf.DUMMYFUNCTION("""COMPUTED_VALUE"""),"=IF($AO$2=2;COUNTIF(Interface!$C$30:$C$35;$A180);0)")</f>
        <v>=IF($AO$2=2;COUNTIF(Interface!$C$30:$C$35;$A180);0)</v>
      </c>
      <c r="AK180" s="76"/>
      <c r="AL180" s="76"/>
      <c r="AM180" s="76" t="str">
        <f ca="1">IFERROR(__xludf.DUMMYFUNCTION("""COMPUTED_VALUE"""),"=COUNTIF(Interface!$O$18:$O$23;$A180)")</f>
        <v>=COUNTIF(Interface!$O$18:$O$23;$A180)</v>
      </c>
      <c r="AN180" s="76" t="str">
        <f ca="1">IFERROR(__xludf.DUMMYFUNCTION("""COMPUTED_VALUE"""),"=Image(""https://ddragon.leagueoflegends.com/cdn/12.22.1/img/item/6675.png"")")</f>
        <v>=Image("https://ddragon.leagueoflegends.com/cdn/12.22.1/img/item/6675.png")</v>
      </c>
      <c r="AO180" s="76" t="b">
        <f ca="1">IFERROR(__xludf.DUMMYFUNCTION("""COMPUTED_VALUE"""),FALSE)</f>
        <v>0</v>
      </c>
    </row>
    <row r="181" spans="1:41">
      <c r="A181" s="644" t="str">
        <f ca="1">IFERROR(__xludf.DUMMYFUNCTION("""COMPUTED_VALUE"""),"Night Harvester")</f>
        <v>Night Harvester</v>
      </c>
      <c r="B181" s="649" t="str">
        <f ca="1">IFERROR(__xludf.DUMMYFUNCTION("""COMPUTED_VALUE"""),"=3200")</f>
        <v>=3200</v>
      </c>
      <c r="C181" s="649" t="str">
        <f ca="1">IFERROR(__xludf.DUMMYFUNCTION("""COMPUTED_VALUE"""),"=300")</f>
        <v>=300</v>
      </c>
      <c r="D181" s="649"/>
      <c r="E181" s="649"/>
      <c r="F181" s="649"/>
      <c r="G181" s="84"/>
      <c r="H181" s="84" t="str">
        <f ca="1">IFERROR(__xludf.DUMMYFUNCTION("""COMPUTED_VALUE"""),"=90")</f>
        <v>=90</v>
      </c>
      <c r="I181" s="84"/>
      <c r="J181" s="84"/>
      <c r="K181" s="84"/>
      <c r="L181" s="72"/>
      <c r="M181" s="72" t="str">
        <f ca="1">IFERROR(__xludf.DUMMYFUNCTION("""COMPUTED_VALUE"""),"=25 + 5 * Legendary")</f>
        <v>=25 + 5 * Legendary</v>
      </c>
      <c r="N181" s="72"/>
      <c r="O181" s="72"/>
      <c r="P181" s="72"/>
      <c r="Q181" s="72"/>
      <c r="R181" s="72"/>
      <c r="S181" s="72"/>
      <c r="T181" s="72"/>
      <c r="U181" s="72"/>
      <c r="V181" s="72"/>
      <c r="W181" s="72" t="str">
        <f ca="1">IFERROR(__xludf.DUMMYFUNCTION("""COMPUTED_VALUE"""),"=125+0,15*Self_AP")</f>
        <v>=125+0,15*Self_AP</v>
      </c>
      <c r="X181" s="72"/>
      <c r="Y181" s="72"/>
      <c r="Z181" s="72"/>
      <c r="AA181" s="72"/>
      <c r="AB181" s="72"/>
      <c r="AC181" s="72"/>
      <c r="AD181" s="72"/>
      <c r="AE181" s="72"/>
      <c r="AF181" s="72"/>
      <c r="AG181" s="72"/>
      <c r="AH181" s="72"/>
      <c r="AI181" s="72" t="str">
        <f ca="1">IFERROR(__xludf.DUMMYFUNCTION("""COMPUTED_VALUE"""),"=IF($AO$2=1;COUNTIF(Interface!$C$22:$C$27;$A181);0)")</f>
        <v>=IF($AO$2=1;COUNTIF(Interface!$C$22:$C$27;$A181);0)</v>
      </c>
      <c r="AJ181" s="72" t="str">
        <f ca="1">IFERROR(__xludf.DUMMYFUNCTION("""COMPUTED_VALUE"""),"=IF($AO$2=2;COUNTIF(Interface!$C$30:$C$35;$A181);0)")</f>
        <v>=IF($AO$2=2;COUNTIF(Interface!$C$30:$C$35;$A181);0)</v>
      </c>
      <c r="AK181" s="72"/>
      <c r="AL181" s="72"/>
      <c r="AM181" s="72" t="str">
        <f ca="1">IFERROR(__xludf.DUMMYFUNCTION("""COMPUTED_VALUE"""),"=COUNTIF(Interface!$O$18:$O$23;$A181)")</f>
        <v>=COUNTIF(Interface!$O$18:$O$23;$A181)</v>
      </c>
      <c r="AN181" s="72" t="str">
        <f ca="1">IFERROR(__xludf.DUMMYFUNCTION("""COMPUTED_VALUE"""),"=Image(""https://ddragon.leagueoflegends.com/cdn/12.22.1/img/item/4636.png"")")</f>
        <v>=Image("https://ddragon.leagueoflegends.com/cdn/12.22.1/img/item/4636.png")</v>
      </c>
      <c r="AO181" s="72" t="b">
        <f ca="1">IFERROR(__xludf.DUMMYFUNCTION("""COMPUTED_VALUE"""),FALSE)</f>
        <v>0</v>
      </c>
    </row>
    <row r="182" spans="1:41">
      <c r="A182" s="643" t="str">
        <f ca="1">IFERROR(__xludf.DUMMYFUNCTION("""COMPUTED_VALUE"""),"Radiant Virtue")</f>
        <v>Radiant Virtue</v>
      </c>
      <c r="B182" s="650" t="str">
        <f ca="1">IFERROR(__xludf.DUMMYFUNCTION("""COMPUTED_VALUE"""),"=2700")</f>
        <v>=2700</v>
      </c>
      <c r="C182" s="650" t="str">
        <f ca="1">IFERROR(__xludf.DUMMYFUNCTION("""COMPUTED_VALUE"""),"=350 + Legendary * 75")</f>
        <v>=350 + Legendary * 75</v>
      </c>
      <c r="D182" s="650"/>
      <c r="E182" s="650"/>
      <c r="F182" s="650"/>
      <c r="G182" s="78"/>
      <c r="H182" s="78"/>
      <c r="I182" s="78" t="str">
        <f ca="1">IFERROR(__xludf.DUMMYFUNCTION("""COMPUTED_VALUE"""),"=30")</f>
        <v>=30</v>
      </c>
      <c r="J182" s="78" t="str">
        <f ca="1">IFERROR(__xludf.DUMMYFUNCTION("""COMPUTED_VALUE"""),"=30")</f>
        <v>=30</v>
      </c>
      <c r="K182" s="78"/>
      <c r="L182" s="76"/>
      <c r="M182" s="76" t="str">
        <f ca="1">IFERROR(__xludf.DUMMYFUNCTION("""COMPUTED_VALUE"""),"=10")</f>
        <v>=10</v>
      </c>
      <c r="N182" s="76"/>
      <c r="O182" s="76"/>
      <c r="P182" s="76"/>
      <c r="Q182" s="76"/>
      <c r="R182" s="76"/>
      <c r="S182" s="76"/>
      <c r="T182" s="76"/>
      <c r="U182" s="76"/>
      <c r="V182" s="76"/>
      <c r="W182" s="76"/>
      <c r="X182" s="76"/>
      <c r="Y182" s="76"/>
      <c r="Z182" s="76"/>
      <c r="AA182" s="76"/>
      <c r="AB182" s="76"/>
      <c r="AC182" s="76"/>
      <c r="AD182" s="76"/>
      <c r="AE182" s="76"/>
      <c r="AF182" s="76"/>
      <c r="AG182" s="76"/>
      <c r="AH182" s="76"/>
      <c r="AI182" s="76" t="str">
        <f ca="1">IFERROR(__xludf.DUMMYFUNCTION("""COMPUTED_VALUE"""),"=IF($AO$2=1;COUNTIF(Interface!$C$22:$C$27;$A182);0)")</f>
        <v>=IF($AO$2=1;COUNTIF(Interface!$C$22:$C$27;$A182);0)</v>
      </c>
      <c r="AJ182" s="76" t="str">
        <f ca="1">IFERROR(__xludf.DUMMYFUNCTION("""COMPUTED_VALUE"""),"=IF($AO$2=2;COUNTIF(Interface!$C$30:$C$35;$A182);0)")</f>
        <v>=IF($AO$2=2;COUNTIF(Interface!$C$30:$C$35;$A182);0)</v>
      </c>
      <c r="AK182" s="76"/>
      <c r="AL182" s="76"/>
      <c r="AM182" s="76" t="str">
        <f ca="1">IFERROR(__xludf.DUMMYFUNCTION("""COMPUTED_VALUE"""),"=COUNTIF(Interface!$O$18:$O$23;$A182)")</f>
        <v>=COUNTIF(Interface!$O$18:$O$23;$A182)</v>
      </c>
      <c r="AN182" s="76" t="str">
        <f ca="1">IFERROR(__xludf.DUMMYFUNCTION("""COMPUTED_VALUE"""),"=Image(""https://ddragon.leagueoflegends.com/cdn/12.22.1/img/item/6667.png"")")</f>
        <v>=Image("https://ddragon.leagueoflegends.com/cdn/12.22.1/img/item/6667.png")</v>
      </c>
      <c r="AO182" s="76" t="b">
        <f ca="1">IFERROR(__xludf.DUMMYFUNCTION("""COMPUTED_VALUE"""),FALSE)</f>
        <v>0</v>
      </c>
    </row>
    <row r="183" spans="1:41">
      <c r="A183" s="644" t="str">
        <f ca="1">IFERROR(__xludf.DUMMYFUNCTION("""COMPUTED_VALUE"""),"Riftmaker")</f>
        <v>Riftmaker</v>
      </c>
      <c r="B183" s="649" t="str">
        <f ca="1">IFERROR(__xludf.DUMMYFUNCTION("""COMPUTED_VALUE"""),"=3200")</f>
        <v>=3200</v>
      </c>
      <c r="C183" s="649" t="str">
        <f ca="1">IFERROR(__xludf.DUMMYFUNCTION("""COMPUTED_VALUE"""),"=300")</f>
        <v>=300</v>
      </c>
      <c r="D183" s="649"/>
      <c r="E183" s="649"/>
      <c r="F183" s="649"/>
      <c r="G183" s="84"/>
      <c r="H183" s="84" t="str">
        <f ca="1">IFERROR(__xludf.DUMMYFUNCTION("""COMPUTED_VALUE"""),"=70+8*Legendary")</f>
        <v>=70+8*Legendary</v>
      </c>
      <c r="I183" s="84"/>
      <c r="J183" s="84"/>
      <c r="K183" s="84"/>
      <c r="L183" s="72"/>
      <c r="M183" s="72" t="str">
        <f ca="1">IFERROR(__xludf.DUMMYFUNCTION("""COMPUTED_VALUE"""),"=15")</f>
        <v>=15</v>
      </c>
      <c r="N183" s="72" t="str">
        <f ca="1">IFERROR(__xludf.DUMMYFUNCTION("""COMPUTED_VALUE"""),"=7 + 2 * Legendary")</f>
        <v>=7 + 2 * Legendary</v>
      </c>
      <c r="O183" s="72"/>
      <c r="P183" s="72"/>
      <c r="Q183" s="72"/>
      <c r="R183" s="72"/>
      <c r="S183" s="72"/>
      <c r="T183" s="72"/>
      <c r="U183" s="72"/>
      <c r="V183" s="72"/>
      <c r="W183" s="72"/>
      <c r="X183" s="72"/>
      <c r="Y183" s="72"/>
      <c r="Z183" s="72"/>
      <c r="AA183" s="72"/>
      <c r="AB183" s="72" t="str">
        <f ca="1">IFERROR(__xludf.DUMMYFUNCTION("""COMPUTED_VALUE"""),"=7 + 2 * Legendary")</f>
        <v>=7 + 2 * Legendary</v>
      </c>
      <c r="AC183" s="72"/>
      <c r="AD183" s="72"/>
      <c r="AE183" s="72"/>
      <c r="AF183" s="72"/>
      <c r="AG183" s="72"/>
      <c r="AH183" s="72"/>
      <c r="AI183" s="72" t="str">
        <f ca="1">IFERROR(__xludf.DUMMYFUNCTION("""COMPUTED_VALUE"""),"=IF($AO$2=1;COUNTIF(Interface!$C$22:$C$27;$A183);0)")</f>
        <v>=IF($AO$2=1;COUNTIF(Interface!$C$22:$C$27;$A183);0)</v>
      </c>
      <c r="AJ183" s="72" t="str">
        <f ca="1">IFERROR(__xludf.DUMMYFUNCTION("""COMPUTED_VALUE"""),"=IF($AO$2=2;COUNTIF(Interface!$C$30:$C$35;$A183);0)")</f>
        <v>=IF($AO$2=2;COUNTIF(Interface!$C$30:$C$35;$A183);0)</v>
      </c>
      <c r="AK183" s="72"/>
      <c r="AL183" s="72"/>
      <c r="AM183" s="72" t="str">
        <f ca="1">IFERROR(__xludf.DUMMYFUNCTION("""COMPUTED_VALUE"""),"=COUNTIF(Interface!$O$18:$O$23;$A183)")</f>
        <v>=COUNTIF(Interface!$O$18:$O$23;$A183)</v>
      </c>
      <c r="AN183" s="72" t="str">
        <f ca="1">IFERROR(__xludf.DUMMYFUNCTION("""COMPUTED_VALUE"""),"=Image(""https://ddragon.leagueoflegends.com/cdn/12.22.1/img/item/4633.png"")")</f>
        <v>=Image("https://ddragon.leagueoflegends.com/cdn/12.22.1/img/item/4633.png")</v>
      </c>
      <c r="AO183" s="72" t="b">
        <f ca="1">IFERROR(__xludf.DUMMYFUNCTION("""COMPUTED_VALUE"""),FALSE)</f>
        <v>0</v>
      </c>
    </row>
    <row r="184" spans="1:41">
      <c r="A184" s="643" t="str">
        <f ca="1">IFERROR(__xludf.DUMMYFUNCTION("""COMPUTED_VALUE"""),"Rod Of Ages")</f>
        <v>Rod Of Ages</v>
      </c>
      <c r="B184" s="650" t="str">
        <f ca="1">IFERROR(__xludf.DUMMYFUNCTION("""COMPUTED_VALUE"""),"=2800")</f>
        <v>=2800</v>
      </c>
      <c r="C184" s="650" t="str">
        <f ca="1">IFERROR(__xludf.DUMMYFUNCTION("""COMPUTED_VALUE"""),"=400 + IF(Steroid_Items; 200; 0)")</f>
        <v>=400 + IF(Steroid_Items; 200; 0)</v>
      </c>
      <c r="D184" s="650"/>
      <c r="E184" s="650" t="str">
        <f ca="1">IFERROR(__xludf.DUMMYFUNCTION("""COMPUTED_VALUE"""),"=400 + IF(Steroid_Items; 200; 0)")</f>
        <v>=400 + IF(Steroid_Items; 200; 0)</v>
      </c>
      <c r="F184" s="650"/>
      <c r="G184" s="78"/>
      <c r="H184" s="78" t="str">
        <f ca="1">IFERROR(__xludf.DUMMYFUNCTION("""COMPUTED_VALUE"""),"=60 + IF(Steroid_Items; 40; 0)")</f>
        <v>=60 + IF(Steroid_Items; 40; 0)</v>
      </c>
      <c r="I184" s="78"/>
      <c r="J184" s="78"/>
      <c r="K184" s="78"/>
      <c r="L184" s="76"/>
      <c r="M184" s="76" t="str">
        <f ca="1">IFERROR(__xludf.DUMMYFUNCTION("""COMPUTED_VALUE"""),"=5 * Legendary")</f>
        <v>=5 * Legendary</v>
      </c>
      <c r="N184" s="76"/>
      <c r="O184" s="76"/>
      <c r="P184" s="76"/>
      <c r="Q184" s="76"/>
      <c r="R184" s="76"/>
      <c r="S184" s="76"/>
      <c r="T184" s="76"/>
      <c r="U184" s="76"/>
      <c r="V184" s="76"/>
      <c r="W184" s="76"/>
      <c r="X184" s="76"/>
      <c r="Y184" s="76"/>
      <c r="Z184" s="76"/>
      <c r="AA184" s="76"/>
      <c r="AB184" s="76"/>
      <c r="AC184" s="76"/>
      <c r="AD184" s="76"/>
      <c r="AE184" s="76"/>
      <c r="AF184" s="76"/>
      <c r="AG184" s="76"/>
      <c r="AH184" s="76"/>
      <c r="AI184" s="76" t="str">
        <f ca="1">IFERROR(__xludf.DUMMYFUNCTION("""COMPUTED_VALUE"""),"=IF($AO$2=1;COUNTIF(Interface!$C$22:$C$27;$A184);0)")</f>
        <v>=IF($AO$2=1;COUNTIF(Interface!$C$22:$C$27;$A184);0)</v>
      </c>
      <c r="AJ184" s="76" t="str">
        <f ca="1">IFERROR(__xludf.DUMMYFUNCTION("""COMPUTED_VALUE"""),"=IF($AO$2=2;COUNTIF(Interface!$C$30:$C$35;$A184);0)")</f>
        <v>=IF($AO$2=2;COUNTIF(Interface!$C$30:$C$35;$A184);0)</v>
      </c>
      <c r="AK184" s="76"/>
      <c r="AL184" s="76"/>
      <c r="AM184" s="76" t="str">
        <f ca="1">IFERROR(__xludf.DUMMYFUNCTION("""COMPUTED_VALUE"""),"=COUNTIF(Interface!$O$18:$O$23;$A184)")</f>
        <v>=COUNTIF(Interface!$O$18:$O$23;$A184)</v>
      </c>
      <c r="AN184" s="76" t="str">
        <f ca="1">IFERROR(__xludf.DUMMYFUNCTION("""COMPUTED_VALUE"""),"=Image(""https://ddragon.leagueoflegends.com/cdn/12.22.1/img/item/6657.png"")")</f>
        <v>=Image("https://ddragon.leagueoflegends.com/cdn/12.22.1/img/item/6657.png")</v>
      </c>
      <c r="AO184" s="76" t="b">
        <f ca="1">IFERROR(__xludf.DUMMYFUNCTION("""COMPUTED_VALUE"""),FALSE)</f>
        <v>0</v>
      </c>
    </row>
    <row r="185" spans="1:41">
      <c r="A185" s="644" t="str">
        <f ca="1">IFERROR(__xludf.DUMMYFUNCTION("""COMPUTED_VALUE"""),"Shurelya's Battlesong")</f>
        <v>Shurelya's Battlesong</v>
      </c>
      <c r="B185" s="649" t="str">
        <f ca="1">IFERROR(__xludf.DUMMYFUNCTION("""COMPUTED_VALUE"""),"=2300")</f>
        <v>=2300</v>
      </c>
      <c r="C185" s="649" t="str">
        <f ca="1">IFERROR(__xludf.DUMMYFUNCTION("""COMPUTED_VALUE"""),"=200")</f>
        <v>=200</v>
      </c>
      <c r="D185" s="649"/>
      <c r="E185" s="649"/>
      <c r="F185" s="649" t="str">
        <f ca="1">IFERROR(__xludf.DUMMYFUNCTION("""COMPUTED_VALUE"""),"=1")</f>
        <v>=1</v>
      </c>
      <c r="G185" s="84"/>
      <c r="H185" s="84" t="str">
        <f ca="1">IFERROR(__xludf.DUMMYFUNCTION("""COMPUTED_VALUE"""),"=35")</f>
        <v>=35</v>
      </c>
      <c r="I185" s="84"/>
      <c r="J185" s="84"/>
      <c r="K185" s="84"/>
      <c r="L185" s="72"/>
      <c r="M185" s="72" t="str">
        <f ca="1">IFERROR(__xludf.DUMMYFUNCTION("""COMPUTED_VALUE"""),"=20 + 5 * Legendary")</f>
        <v>=20 + 5 * Legendary</v>
      </c>
      <c r="N185" s="72"/>
      <c r="O185" s="72"/>
      <c r="P185" s="72"/>
      <c r="Q185" s="72"/>
      <c r="R185" s="72"/>
      <c r="S185" s="72"/>
      <c r="T185" s="72"/>
      <c r="U185" s="72"/>
      <c r="V185" s="72"/>
      <c r="W185" s="72"/>
      <c r="X185" s="72"/>
      <c r="Y185" s="72"/>
      <c r="Z185" s="72"/>
      <c r="AA185" s="72"/>
      <c r="AB185" s="72"/>
      <c r="AC185" s="72"/>
      <c r="AD185" s="72"/>
      <c r="AE185" s="72"/>
      <c r="AF185" s="72"/>
      <c r="AG185" s="72"/>
      <c r="AH185" s="72"/>
      <c r="AI185" s="72" t="str">
        <f ca="1">IFERROR(__xludf.DUMMYFUNCTION("""COMPUTED_VALUE"""),"=IF($AO$2=1;COUNTIF(Interface!$C$22:$C$27;$A185);0)")</f>
        <v>=IF($AO$2=1;COUNTIF(Interface!$C$22:$C$27;$A185);0)</v>
      </c>
      <c r="AJ185" s="72" t="str">
        <f ca="1">IFERROR(__xludf.DUMMYFUNCTION("""COMPUTED_VALUE"""),"=IF($AO$2=2;COUNTIF(Interface!$C$30:$C$35;$A185);0)")</f>
        <v>=IF($AO$2=2;COUNTIF(Interface!$C$30:$C$35;$A185);0)</v>
      </c>
      <c r="AK185" s="72"/>
      <c r="AL185" s="72"/>
      <c r="AM185" s="72" t="str">
        <f ca="1">IFERROR(__xludf.DUMMYFUNCTION("""COMPUTED_VALUE"""),"=COUNTIF(Interface!$O$18:$O$23;$A185)")</f>
        <v>=COUNTIF(Interface!$O$18:$O$23;$A185)</v>
      </c>
      <c r="AN185" s="72" t="str">
        <f ca="1">IFERROR(__xludf.DUMMYFUNCTION("""COMPUTED_VALUE"""),"=Image(""https://ddragon.leagueoflegends.com/cdn/12.22.1/img/item/2065.png"")")</f>
        <v>=Image("https://ddragon.leagueoflegends.com/cdn/12.22.1/img/item/2065.png")</v>
      </c>
      <c r="AO185" s="72" t="b">
        <f ca="1">IFERROR(__xludf.DUMMYFUNCTION("""COMPUTED_VALUE"""),FALSE)</f>
        <v>0</v>
      </c>
    </row>
    <row r="186" spans="1:41">
      <c r="A186" s="643" t="str">
        <f ca="1">IFERROR(__xludf.DUMMYFUNCTION("""COMPUTED_VALUE"""),"Stridebreaker")</f>
        <v>Stridebreaker</v>
      </c>
      <c r="B186" s="650" t="str">
        <f ca="1">IFERROR(__xludf.DUMMYFUNCTION("""COMPUTED_VALUE"""),"=3300")</f>
        <v>=3300</v>
      </c>
      <c r="C186" s="650" t="str">
        <f ca="1">IFERROR(__xludf.DUMMYFUNCTION("""COMPUTED_VALUE"""),"=300")</f>
        <v>=300</v>
      </c>
      <c r="D186" s="650"/>
      <c r="E186" s="650"/>
      <c r="F186" s="650"/>
      <c r="G186" s="78" t="str">
        <f ca="1">IFERROR(__xludf.DUMMYFUNCTION("""COMPUTED_VALUE"""),"=60")</f>
        <v>=60</v>
      </c>
      <c r="H186" s="78"/>
      <c r="I186" s="78"/>
      <c r="J186" s="78"/>
      <c r="K186" s="78" t="str">
        <f ca="1">IFERROR(__xludf.DUMMYFUNCTION("""COMPUTED_VALUE"""),"=20")</f>
        <v>=20</v>
      </c>
      <c r="L186" s="76"/>
      <c r="M186" s="76" t="str">
        <f ca="1">IFERROR(__xludf.DUMMYFUNCTION("""COMPUTED_VALUE"""),"=20")</f>
        <v>=20</v>
      </c>
      <c r="N186" s="76"/>
      <c r="O186" s="76"/>
      <c r="P186" s="76"/>
      <c r="Q186" s="76"/>
      <c r="R186" s="76" t="str">
        <f ca="1">IFERROR(__xludf.DUMMYFUNCTION("""COMPUTED_VALUE"""),"=2 * Legendary")</f>
        <v>=2 * Legendary</v>
      </c>
      <c r="S186" s="76"/>
      <c r="T186" s="76"/>
      <c r="U186" s="76"/>
      <c r="V186" s="76"/>
      <c r="W186" s="76"/>
      <c r="X186" s="76"/>
      <c r="Y186" s="76"/>
      <c r="Z186" s="76"/>
      <c r="AA186" s="76"/>
      <c r="AB186" s="76"/>
      <c r="AC186" s="76"/>
      <c r="AD186" s="76"/>
      <c r="AE186" s="76" t="str">
        <f ca="1">IFERROR(__xludf.DUMMYFUNCTION("""COMPUTED_VALUE"""),"=Self_BaAD * 1,75")</f>
        <v>=Self_BaAD * 1,75</v>
      </c>
      <c r="AF186" s="76"/>
      <c r="AG186" s="76"/>
      <c r="AH186" s="76"/>
      <c r="AI186" s="76" t="str">
        <f ca="1">IFERROR(__xludf.DUMMYFUNCTION("""COMPUTED_VALUE"""),"=IF($AO$2=1;COUNTIF(Interface!$C$22:$C$27;$A186);0)")</f>
        <v>=IF($AO$2=1;COUNTIF(Interface!$C$22:$C$27;$A186);0)</v>
      </c>
      <c r="AJ186" s="76" t="str">
        <f ca="1">IFERROR(__xludf.DUMMYFUNCTION("""COMPUTED_VALUE"""),"=IF($AO$2=2;COUNTIF(Interface!$C$30:$C$35;$A186);0)")</f>
        <v>=IF($AO$2=2;COUNTIF(Interface!$C$30:$C$35;$A186);0)</v>
      </c>
      <c r="AK186" s="76"/>
      <c r="AL186" s="76"/>
      <c r="AM186" s="76" t="str">
        <f ca="1">IFERROR(__xludf.DUMMYFUNCTION("""COMPUTED_VALUE"""),"=COUNTIF(Interface!$O$18:$O$23;$A186)")</f>
        <v>=COUNTIF(Interface!$O$18:$O$23;$A186)</v>
      </c>
      <c r="AN186" s="76" t="str">
        <f ca="1">IFERROR(__xludf.DUMMYFUNCTION("""COMPUTED_VALUE"""),"=Image(""https://ddragon.leagueoflegends.com/cdn/12.22.1/img/item/6631.png"")")</f>
        <v>=Image("https://ddragon.leagueoflegends.com/cdn/12.22.1/img/item/6631.png")</v>
      </c>
      <c r="AO186" s="76" t="b">
        <f ca="1">IFERROR(__xludf.DUMMYFUNCTION("""COMPUTED_VALUE"""),FALSE)</f>
        <v>0</v>
      </c>
    </row>
    <row r="187" spans="1:41">
      <c r="A187" s="644" t="str">
        <f ca="1">IFERROR(__xludf.DUMMYFUNCTION("""COMPUTED_VALUE"""),"Trinity Force")</f>
        <v>Trinity Force</v>
      </c>
      <c r="B187" s="649" t="str">
        <f ca="1">IFERROR(__xludf.DUMMYFUNCTION("""COMPUTED_VALUE"""),"=3333")</f>
        <v>=3333</v>
      </c>
      <c r="C187" s="649" t="str">
        <f ca="1">IFERROR(__xludf.DUMMYFUNCTION("""COMPUTED_VALUE"""),"=300")</f>
        <v>=300</v>
      </c>
      <c r="D187" s="649"/>
      <c r="E187" s="649"/>
      <c r="F187" s="649"/>
      <c r="G187" s="84" t="str">
        <f ca="1">IFERROR(__xludf.DUMMYFUNCTION("""COMPUTED_VALUE"""),"=40 + 3 * Legendary")</f>
        <v>=40 + 3 * Legendary</v>
      </c>
      <c r="H187" s="84"/>
      <c r="I187" s="84"/>
      <c r="J187" s="84"/>
      <c r="K187" s="84" t="str">
        <f ca="1">IFERROR(__xludf.DUMMYFUNCTION("""COMPUTED_VALUE"""),"=35")</f>
        <v>=35</v>
      </c>
      <c r="L187" s="72"/>
      <c r="M187" s="72" t="str">
        <f ca="1">IFERROR(__xludf.DUMMYFUNCTION("""COMPUTED_VALUE"""),"=20 + 3 * Legendary")</f>
        <v>=20 + 3 * Legendary</v>
      </c>
      <c r="N187" s="72"/>
      <c r="O187" s="72"/>
      <c r="P187" s="72"/>
      <c r="Q187" s="72"/>
      <c r="R187" s="72"/>
      <c r="S187" s="72"/>
      <c r="T187" s="72"/>
      <c r="U187" s="72"/>
      <c r="V187" s="72"/>
      <c r="W187" s="72"/>
      <c r="X187" s="72" t="str">
        <f ca="1">IFERROR(__xludf.DUMMYFUNCTION("""COMPUTED_VALUE"""),"=2*Self_BaAD*MOD_Phys")</f>
        <v>=2*Self_BaAD*MOD_Phys</v>
      </c>
      <c r="Y187" s="72"/>
      <c r="Z187" s="72"/>
      <c r="AA187" s="72"/>
      <c r="AB187" s="72"/>
      <c r="AC187" s="72"/>
      <c r="AD187" s="72"/>
      <c r="AE187" s="72"/>
      <c r="AF187" s="72"/>
      <c r="AG187" s="72" t="str">
        <f ca="1">IFERROR(__xludf.DUMMYFUNCTION("""COMPUTED_VALUE"""),"=3 * Legendary")</f>
        <v>=3 * Legendary</v>
      </c>
      <c r="AH187" s="72"/>
      <c r="AI187" s="72" t="str">
        <f ca="1">IFERROR(__xludf.DUMMYFUNCTION("""COMPUTED_VALUE"""),"=IF($AO$2=1;COUNTIF(Interface!$C$22:$C$27;$A187);0)")</f>
        <v>=IF($AO$2=1;COUNTIF(Interface!$C$22:$C$27;$A187);0)</v>
      </c>
      <c r="AJ187" s="72" t="str">
        <f ca="1">IFERROR(__xludf.DUMMYFUNCTION("""COMPUTED_VALUE"""),"=IF($AO$2=2;COUNTIF(Interface!$C$30:$C$35;$A187);0)")</f>
        <v>=IF($AO$2=2;COUNTIF(Interface!$C$30:$C$35;$A187);0)</v>
      </c>
      <c r="AK187" s="72"/>
      <c r="AL187" s="72"/>
      <c r="AM187" s="72" t="str">
        <f ca="1">IFERROR(__xludf.DUMMYFUNCTION("""COMPUTED_VALUE"""),"=COUNTIF(Interface!$O$18:$O$23;$A187)")</f>
        <v>=COUNTIF(Interface!$O$18:$O$23;$A187)</v>
      </c>
      <c r="AN187" s="72" t="str">
        <f ca="1">IFERROR(__xludf.DUMMYFUNCTION("""COMPUTED_VALUE"""),"=Image(""https://ddragon.leagueoflegends.com/cdn/12.22.1/img/item/3078.png"")")</f>
        <v>=Image("https://ddragon.leagueoflegends.com/cdn/12.22.1/img/item/3078.png")</v>
      </c>
      <c r="AO187" s="72" t="b">
        <f ca="1">IFERROR(__xludf.DUMMYFUNCTION("""COMPUTED_VALUE"""),FALSE)</f>
        <v>0</v>
      </c>
    </row>
    <row r="188" spans="1:41">
      <c r="A188" s="643" t="str">
        <f ca="1">IFERROR(__xludf.DUMMYFUNCTION("""COMPUTED_VALUE"""),"Youmuu's Ghostblade")</f>
        <v>Youmuu's Ghostblade</v>
      </c>
      <c r="B188" s="650" t="str">
        <f ca="1">IFERROR(__xludf.DUMMYFUNCTION("""COMPUTED_VALUE"""),"=3100")</f>
        <v>=3100</v>
      </c>
      <c r="C188" s="650"/>
      <c r="D188" s="650"/>
      <c r="E188" s="650"/>
      <c r="F188" s="650"/>
      <c r="G188" s="78" t="str">
        <f ca="1">IFERROR(__xludf.DUMMYFUNCTION("""COMPUTED_VALUE"""),"=60 + 7 * Legendary")</f>
        <v>=60 + 7 * Legendary</v>
      </c>
      <c r="H188" s="78"/>
      <c r="I188" s="78"/>
      <c r="J188" s="78"/>
      <c r="K188" s="78"/>
      <c r="L188" s="76"/>
      <c r="M188" s="76" t="str">
        <f ca="1">IFERROR(__xludf.DUMMYFUNCTION("""COMPUTED_VALUE"""),"=15")</f>
        <v>=15</v>
      </c>
      <c r="N188" s="76"/>
      <c r="O188" s="76" t="str">
        <f ca="1">IFERROR(__xludf.DUMMYFUNCTION("""COMPUTED_VALUE"""),"=18 + IF(Steroid_Items;3 + 9 * Sc_Lin)")</f>
        <v>=18 + IF(Steroid_Items;3 + 9 * Sc_Lin)</v>
      </c>
      <c r="P188" s="76"/>
      <c r="Q188" s="76"/>
      <c r="R188" s="76"/>
      <c r="S188" s="76"/>
      <c r="T188" s="76"/>
      <c r="U188" s="76"/>
      <c r="V188" s="76"/>
      <c r="W188" s="76"/>
      <c r="X188" s="76"/>
      <c r="Y188" s="76"/>
      <c r="Z188" s="76"/>
      <c r="AA188" s="76"/>
      <c r="AB188" s="76"/>
      <c r="AC188" s="76"/>
      <c r="AD188" s="76"/>
      <c r="AE188" s="76"/>
      <c r="AF188" s="76"/>
      <c r="AG188" s="76" t="str">
        <f ca="1">IFERROR(__xludf.DUMMYFUNCTION("""COMPUTED_VALUE"""),"=40")</f>
        <v>=40</v>
      </c>
      <c r="AH188" s="76"/>
      <c r="AI188" s="76" t="str">
        <f ca="1">IFERROR(__xludf.DUMMYFUNCTION("""COMPUTED_VALUE"""),"=IF($AO$2=1;COUNTIF(Interface!$C$22:$C$27;$A188);0)")</f>
        <v>=IF($AO$2=1;COUNTIF(Interface!$C$22:$C$27;$A188);0)</v>
      </c>
      <c r="AJ188" s="76" t="str">
        <f ca="1">IFERROR(__xludf.DUMMYFUNCTION("""COMPUTED_VALUE"""),"=IF($AO$2=2;COUNTIF(Interface!$C$30:$C$35;$A188);0)")</f>
        <v>=IF($AO$2=2;COUNTIF(Interface!$C$30:$C$35;$A188);0)</v>
      </c>
      <c r="AK188" s="76"/>
      <c r="AL188" s="76"/>
      <c r="AM188" s="76" t="str">
        <f ca="1">IFERROR(__xludf.DUMMYFUNCTION("""COMPUTED_VALUE"""),"=COUNTIF(Interface!$O$18:$O$23;$A188)")</f>
        <v>=COUNTIF(Interface!$O$18:$O$23;$A188)</v>
      </c>
      <c r="AN188" s="76" t="str">
        <f ca="1">IFERROR(__xludf.DUMMYFUNCTION("""COMPUTED_VALUE"""),"=Image(""https://ddragon.leagueoflegends.com/cdn/12.22.1/img/item/3142.png"")")</f>
        <v>=Image("https://ddragon.leagueoflegends.com/cdn/12.22.1/img/item/3142.png")</v>
      </c>
      <c r="AO188" s="76" t="b">
        <f ca="1">IFERROR(__xludf.DUMMYFUNCTION("""COMPUTED_VALUE"""),FALSE)</f>
        <v>0</v>
      </c>
    </row>
    <row r="189" spans="1:41">
      <c r="A189" s="644"/>
      <c r="B189" s="649"/>
      <c r="C189" s="649"/>
      <c r="D189" s="649"/>
      <c r="E189" s="649"/>
      <c r="F189" s="649"/>
      <c r="G189" s="84"/>
      <c r="H189" s="84"/>
      <c r="I189" s="84"/>
      <c r="J189" s="84"/>
      <c r="K189" s="84"/>
      <c r="L189" s="72"/>
      <c r="M189" s="72"/>
      <c r="N189" s="72"/>
      <c r="O189" s="72"/>
      <c r="P189" s="72"/>
      <c r="Q189" s="72"/>
      <c r="R189" s="72"/>
      <c r="S189" s="72"/>
      <c r="T189" s="72"/>
      <c r="U189" s="72"/>
      <c r="V189" s="72"/>
      <c r="W189" s="72"/>
      <c r="X189" s="72"/>
      <c r="Y189" s="72"/>
      <c r="Z189" s="72"/>
      <c r="AA189" s="72"/>
      <c r="AB189" s="72"/>
      <c r="AC189" s="72"/>
      <c r="AD189" s="72"/>
      <c r="AE189" s="72"/>
      <c r="AF189" s="72"/>
      <c r="AG189" s="72"/>
      <c r="AH189" s="72"/>
      <c r="AI189" s="72"/>
      <c r="AJ189" s="72"/>
      <c r="AK189" s="72"/>
      <c r="AL189" s="72"/>
      <c r="AM189" s="72"/>
      <c r="AN189" s="72"/>
      <c r="AO189" s="72"/>
    </row>
    <row r="190" spans="1:41">
      <c r="A190" s="643"/>
      <c r="B190" s="650"/>
      <c r="C190" s="650"/>
      <c r="D190" s="650"/>
      <c r="E190" s="650"/>
      <c r="F190" s="650"/>
      <c r="G190" s="78"/>
      <c r="H190" s="78"/>
      <c r="I190" s="78"/>
      <c r="J190" s="78"/>
      <c r="K190" s="78"/>
      <c r="L190" s="76"/>
      <c r="M190" s="76"/>
      <c r="N190" s="76"/>
      <c r="O190" s="76"/>
      <c r="P190" s="76"/>
      <c r="Q190" s="76"/>
      <c r="R190" s="76"/>
      <c r="S190" s="76"/>
      <c r="T190" s="76"/>
      <c r="U190" s="76"/>
      <c r="V190" s="76"/>
      <c r="W190" s="76"/>
      <c r="X190" s="76"/>
      <c r="Y190" s="76"/>
      <c r="Z190" s="76"/>
      <c r="AA190" s="76"/>
      <c r="AB190" s="76"/>
      <c r="AC190" s="76"/>
      <c r="AD190" s="76"/>
      <c r="AE190" s="76"/>
      <c r="AF190" s="76"/>
      <c r="AG190" s="76"/>
      <c r="AH190" s="76"/>
      <c r="AI190" s="76"/>
      <c r="AJ190" s="76"/>
      <c r="AK190" s="76"/>
      <c r="AL190" s="76"/>
      <c r="AM190" s="76"/>
      <c r="AN190" s="76"/>
      <c r="AO190" s="76"/>
    </row>
    <row r="191" spans="1:41">
      <c r="A191" s="644" t="str">
        <f ca="1">IFERROR(__xludf.DUMMYFUNCTION("""COMPUTED_VALUE"""),"M: Crown of the Shattered Queen")</f>
        <v>M: Crown of the Shattered Queen</v>
      </c>
      <c r="B191" s="649" t="str">
        <f ca="1">IFERROR(__xludf.DUMMYFUNCTION("""COMPUTED_VALUE"""),"=2800")</f>
        <v>=2800</v>
      </c>
      <c r="C191" s="649" t="str">
        <f ca="1">IFERROR(__xludf.DUMMYFUNCTION("""COMPUTED_VALUE"""),"=250")</f>
        <v>=250</v>
      </c>
      <c r="D191" s="649"/>
      <c r="E191" s="649" t="str">
        <f ca="1">IFERROR(__xludf.DUMMYFUNCTION("""COMPUTED_VALUE"""),"=600")</f>
        <v>=600</v>
      </c>
      <c r="F191" s="649"/>
      <c r="G191" s="84"/>
      <c r="H191" s="84" t="str">
        <f ca="1">IFERROR(__xludf.DUMMYFUNCTION("""COMPUTED_VALUE"""),"=90 + 8 * Legendary + IF(Steroid_Items; 10 + 30 * Sc_Lin; 0)")</f>
        <v>=90 + 8 * Legendary + IF(Steroid_Items; 10 + 30 * Sc_Lin; 0)</v>
      </c>
      <c r="I191" s="84"/>
      <c r="J191" s="84"/>
      <c r="K191" s="84"/>
      <c r="L191" s="72"/>
      <c r="M191" s="72" t="str">
        <f ca="1">IFERROR(__xludf.DUMMYFUNCTION("""COMPUTED_VALUE"""),"=20")</f>
        <v>=20</v>
      </c>
      <c r="N191" s="72"/>
      <c r="O191" s="72"/>
      <c r="P191" s="72"/>
      <c r="Q191" s="72"/>
      <c r="R191" s="72" t="str">
        <f ca="1">IFERROR(__xludf.DUMMYFUNCTION("""COMPUTED_VALUE"""),"=1 * Legendary")</f>
        <v>=1 * Legendary</v>
      </c>
      <c r="S191" s="72"/>
      <c r="T191" s="72"/>
      <c r="U191" s="72"/>
      <c r="V191" s="72"/>
      <c r="W191" s="72"/>
      <c r="X191" s="72"/>
      <c r="Y191" s="72"/>
      <c r="Z191" s="72"/>
      <c r="AA191" s="72"/>
      <c r="AB191" s="72"/>
      <c r="AC191" s="72"/>
      <c r="AD191" s="72"/>
      <c r="AE191" s="72"/>
      <c r="AF191" s="72"/>
      <c r="AG191" s="72"/>
      <c r="AH191" s="72"/>
      <c r="AI191" s="72" t="str">
        <f ca="1">IFERROR(__xludf.DUMMYFUNCTION("""COMPUTED_VALUE"""),"=IF($AO$2=1;COUNTIF(Interface!$C$22:$C$27;$A191);0)")</f>
        <v>=IF($AO$2=1;COUNTIF(Interface!$C$22:$C$27;$A191);0)</v>
      </c>
      <c r="AJ191" s="72" t="str">
        <f ca="1">IFERROR(__xludf.DUMMYFUNCTION("""COMPUTED_VALUE"""),"=IF($AO$2=2;COUNTIF(Interface!$C$30:$C$35;$A191);0)")</f>
        <v>=IF($AO$2=2;COUNTIF(Interface!$C$30:$C$35;$A191);0)</v>
      </c>
      <c r="AK191" s="72"/>
      <c r="AL191" s="72"/>
      <c r="AM191" s="72" t="str">
        <f ca="1">IFERROR(__xludf.DUMMYFUNCTION("""COMPUTED_VALUE"""),"=COUNTIF(Interface!$O$18:$O$23;$A191)")</f>
        <v>=COUNTIF(Interface!$O$18:$O$23;$A191)</v>
      </c>
      <c r="AN191" s="72" t="str">
        <f ca="1">IFERROR(__xludf.DUMMYFUNCTION("""COMPUTED_VALUE"""),"=Image(""https://ddragon.leagueoflegends.com/cdn/12.22.1/img/item/4644.png"")")</f>
        <v>=Image("https://ddragon.leagueoflegends.com/cdn/12.22.1/img/item/4644.png")</v>
      </c>
      <c r="AO191" s="72" t="b">
        <f ca="1">IFERROR(__xludf.DUMMYFUNCTION("""COMPUTED_VALUE"""),FALSE)</f>
        <v>0</v>
      </c>
    </row>
    <row r="192" spans="1:41">
      <c r="A192" s="643" t="str">
        <f ca="1">IFERROR(__xludf.DUMMYFUNCTION("""COMPUTED_VALUE"""),"M: Divine Sunderer")</f>
        <v>M: Divine Sunderer</v>
      </c>
      <c r="B192" s="650" t="str">
        <f ca="1">IFERROR(__xludf.DUMMYFUNCTION("""COMPUTED_VALUE"""),"=3300")</f>
        <v>=3300</v>
      </c>
      <c r="C192" s="650" t="str">
        <f ca="1">IFERROR(__xludf.DUMMYFUNCTION("""COMPUTED_VALUE"""),"=450")</f>
        <v>=450</v>
      </c>
      <c r="D192" s="650"/>
      <c r="E192" s="650"/>
      <c r="F192" s="650"/>
      <c r="G192" s="78" t="str">
        <f ca="1">IFERROR(__xludf.DUMMYFUNCTION("""COMPUTED_VALUE"""),"=55")</f>
        <v>=55</v>
      </c>
      <c r="H192" s="78"/>
      <c r="I192" s="78"/>
      <c r="J192" s="78"/>
      <c r="K192" s="78"/>
      <c r="L192" s="76"/>
      <c r="M192" s="76" t="str">
        <f ca="1">IFERROR(__xludf.DUMMYFUNCTION("""COMPUTED_VALUE"""),"=25")</f>
        <v>=25</v>
      </c>
      <c r="N192" s="76"/>
      <c r="O192" s="76"/>
      <c r="P192" s="76"/>
      <c r="Q192" s="76"/>
      <c r="R192" s="76"/>
      <c r="S192" s="76"/>
      <c r="T192" s="76"/>
      <c r="U192" s="76"/>
      <c r="V192" s="76"/>
      <c r="W192" s="76"/>
      <c r="X192" s="76" t="str">
        <f ca="1">IFERROR(__xludf.DUMMYFUNCTION("""COMPUTED_VALUE"""),"=(0,03 * IF(VLOOKUP(Name;Champs!A2:AE200;31;False); 2; 1) * E_MHP + 1,25 * Self_BaAD) * MOD_Phys")</f>
        <v>=(0,03 * IF(VLOOKUP(Name;Champs!A2:AE200;31;False); 2; 1) * E_MHP + 1,25 * Self_BaAD) * MOD_Phys</v>
      </c>
      <c r="Y192" s="76" t="str">
        <f ca="1">IFERROR(__xludf.DUMMYFUNCTION("""COMPUTED_VALUE"""),"=3 * Legendary")</f>
        <v>=3 * Legendary</v>
      </c>
      <c r="Z192" s="76" t="str">
        <f ca="1">IFERROR(__xludf.DUMMYFUNCTION("""COMPUTED_VALUE"""),"=3 * Legendary")</f>
        <v>=3 * Legendary</v>
      </c>
      <c r="AA192" s="76"/>
      <c r="AB192" s="76"/>
      <c r="AC192" s="76"/>
      <c r="AD192" s="76"/>
      <c r="AE192" s="76"/>
      <c r="AF192" s="76"/>
      <c r="AG192" s="76"/>
      <c r="AH192" s="76"/>
      <c r="AI192" s="76" t="str">
        <f ca="1">IFERROR(__xludf.DUMMYFUNCTION("""COMPUTED_VALUE"""),"=IF($AO$2=1;COUNTIF(Interface!$C$22:$C$27;$A192);0)")</f>
        <v>=IF($AO$2=1;COUNTIF(Interface!$C$22:$C$27;$A192);0)</v>
      </c>
      <c r="AJ192" s="76" t="str">
        <f ca="1">IFERROR(__xludf.DUMMYFUNCTION("""COMPUTED_VALUE"""),"=IF($AO$2=2;COUNTIF(Interface!$C$30:$C$35;$A192);0)")</f>
        <v>=IF($AO$2=2;COUNTIF(Interface!$C$30:$C$35;$A192);0)</v>
      </c>
      <c r="AK192" s="76"/>
      <c r="AL192" s="76"/>
      <c r="AM192" s="76" t="str">
        <f ca="1">IFERROR(__xludf.DUMMYFUNCTION("""COMPUTED_VALUE"""),"=COUNTIF(Interface!$O$18:$O$23;$A192)")</f>
        <v>=COUNTIF(Interface!$O$18:$O$23;$A192)</v>
      </c>
      <c r="AN192" s="76" t="str">
        <f ca="1">IFERROR(__xludf.DUMMYFUNCTION("""COMPUTED_VALUE"""),"=Image(""https://ddragon.leagueoflegends.com/cdn/12.22.1/img/item/6632.png"")")</f>
        <v>=Image("https://ddragon.leagueoflegends.com/cdn/12.22.1/img/item/6632.png")</v>
      </c>
      <c r="AO192" s="76" t="b">
        <f ca="1">IFERROR(__xludf.DUMMYFUNCTION("""COMPUTED_VALUE"""),FALSE)</f>
        <v>0</v>
      </c>
    </row>
    <row r="193" spans="1:41">
      <c r="A193" s="644" t="str">
        <f ca="1">IFERROR(__xludf.DUMMYFUNCTION("""COMPUTED_VALUE"""),"M: Duskblade of Draktharr")</f>
        <v>M: Duskblade of Draktharr</v>
      </c>
      <c r="B193" s="649" t="str">
        <f ca="1">IFERROR(__xludf.DUMMYFUNCTION("""COMPUTED_VALUE"""),"=3100")</f>
        <v>=3100</v>
      </c>
      <c r="C193" s="649"/>
      <c r="D193" s="649"/>
      <c r="E193" s="649"/>
      <c r="F193" s="649"/>
      <c r="G193" s="84" t="str">
        <f ca="1">IFERROR(__xludf.DUMMYFUNCTION("""COMPUTED_VALUE"""),"=75")</f>
        <v>=75</v>
      </c>
      <c r="H193" s="84"/>
      <c r="I193" s="84"/>
      <c r="J193" s="84"/>
      <c r="K193" s="84"/>
      <c r="L193" s="72"/>
      <c r="M193" s="72" t="str">
        <f ca="1">IFERROR(__xludf.DUMMYFUNCTION("""COMPUTED_VALUE"""),"=25 + 5 * Legendary")</f>
        <v>=25 + 5 * Legendary</v>
      </c>
      <c r="N193" s="72"/>
      <c r="O193" s="72" t="str">
        <f ca="1">IFERROR(__xludf.DUMMYFUNCTION("""COMPUTED_VALUE"""),"=26")</f>
        <v>=26</v>
      </c>
      <c r="P193" s="72"/>
      <c r="Q193" s="72"/>
      <c r="R193" s="72"/>
      <c r="S193" s="72"/>
      <c r="T193" s="72"/>
      <c r="U193" s="72"/>
      <c r="V193" s="72"/>
      <c r="W193" s="72"/>
      <c r="X193" s="72"/>
      <c r="Y193" s="72"/>
      <c r="Z193" s="72"/>
      <c r="AA193" s="72"/>
      <c r="AB193" s="72"/>
      <c r="AC193" s="72"/>
      <c r="AD193" s="72"/>
      <c r="AE193" s="72"/>
      <c r="AF193" s="72"/>
      <c r="AG193" s="72" t="str">
        <f ca="1">IFERROR(__xludf.DUMMYFUNCTION("""COMPUTED_VALUE"""),"=5 * Legendary")</f>
        <v>=5 * Legendary</v>
      </c>
      <c r="AH193" s="72"/>
      <c r="AI193" s="72" t="str">
        <f ca="1">IFERROR(__xludf.DUMMYFUNCTION("""COMPUTED_VALUE"""),"=IF($AO$2=1;COUNTIF(Interface!$C$22:$C$27;$A193);0)")</f>
        <v>=IF($AO$2=1;COUNTIF(Interface!$C$22:$C$27;$A193);0)</v>
      </c>
      <c r="AJ193" s="72" t="str">
        <f ca="1">IFERROR(__xludf.DUMMYFUNCTION("""COMPUTED_VALUE"""),"=IF($AO$2=2;COUNTIF(Interface!$C$30:$C$35;$A193);0)")</f>
        <v>=IF($AO$2=2;COUNTIF(Interface!$C$30:$C$35;$A193);0)</v>
      </c>
      <c r="AK193" s="72"/>
      <c r="AL193" s="72"/>
      <c r="AM193" s="72" t="str">
        <f ca="1">IFERROR(__xludf.DUMMYFUNCTION("""COMPUTED_VALUE"""),"=COUNTIF(Interface!$O$18:$O$23;$A193)")</f>
        <v>=COUNTIF(Interface!$O$18:$O$23;$A193)</v>
      </c>
      <c r="AN193" s="72" t="str">
        <f ca="1">IFERROR(__xludf.DUMMYFUNCTION("""COMPUTED_VALUE"""),"=Image(""https://ddragon.leagueoflegends.com/cdn/12.22.1/img/item/6691.png"")")</f>
        <v>=Image("https://ddragon.leagueoflegends.com/cdn/12.22.1/img/item/6691.png")</v>
      </c>
      <c r="AO193" s="72" t="b">
        <f ca="1">IFERROR(__xludf.DUMMYFUNCTION("""COMPUTED_VALUE"""),FALSE)</f>
        <v>0</v>
      </c>
    </row>
    <row r="194" spans="1:41">
      <c r="A194" s="643" t="str">
        <f ca="1">IFERROR(__xludf.DUMMYFUNCTION("""COMPUTED_VALUE"""),"M: Echoes of Helia")</f>
        <v>M: Echoes of Helia</v>
      </c>
      <c r="B194" s="650" t="str">
        <f ca="1">IFERROR(__xludf.DUMMYFUNCTION("""COMPUTED_VALUE"""),"=2300")</f>
        <v>=2300</v>
      </c>
      <c r="C194" s="650" t="str">
        <f ca="1">IFERROR(__xludf.DUMMYFUNCTION("""COMPUTED_VALUE"""),"=300")</f>
        <v>=300</v>
      </c>
      <c r="D194" s="650"/>
      <c r="E194" s="650"/>
      <c r="F194" s="650" t="str">
        <f ca="1">IFERROR(__xludf.DUMMYFUNCTION("""COMPUTED_VALUE"""),"=2,25")</f>
        <v>=2,25</v>
      </c>
      <c r="G194" s="78"/>
      <c r="H194" s="78" t="str">
        <f ca="1">IFERROR(__xludf.DUMMYFUNCTION("""COMPUTED_VALUE"""),"=60 + 12 * IT_MPR")</f>
        <v>=60 + 12 * IT_MPR</v>
      </c>
      <c r="I194" s="78"/>
      <c r="J194" s="78"/>
      <c r="K194" s="78"/>
      <c r="L194" s="76"/>
      <c r="M194" s="76" t="str">
        <f ca="1">IFERROR(__xludf.DUMMYFUNCTION("""COMPUTED_VALUE"""),"=20 + 5 * Legendary")</f>
        <v>=20 + 5 * Legendary</v>
      </c>
      <c r="N194" s="76"/>
      <c r="O194" s="76"/>
      <c r="P194" s="76"/>
      <c r="Q194" s="76"/>
      <c r="R194" s="76"/>
      <c r="S194" s="76"/>
      <c r="T194" s="76"/>
      <c r="U194" s="76"/>
      <c r="V194" s="76"/>
      <c r="W194" s="76" t="str">
        <f ca="1">IFERROR(__xludf.DUMMYFUNCTION("""COMPUTED_VALUE"""),"=60 + 340 * Sc_Lin")</f>
        <v>=60 + 340 * Sc_Lin</v>
      </c>
      <c r="X194" s="76"/>
      <c r="Y194" s="76"/>
      <c r="Z194" s="76"/>
      <c r="AA194" s="76"/>
      <c r="AB194" s="76"/>
      <c r="AC194" s="76"/>
      <c r="AD194" s="76"/>
      <c r="AE194" s="76"/>
      <c r="AF194" s="76"/>
      <c r="AG194" s="76"/>
      <c r="AH194" s="76"/>
      <c r="AI194" s="76" t="str">
        <f ca="1">IFERROR(__xludf.DUMMYFUNCTION("""COMPUTED_VALUE"""),"=IF($AO$2=1;COUNTIF(Interface!$C$22:$C$27;$A194);0)")</f>
        <v>=IF($AO$2=1;COUNTIF(Interface!$C$22:$C$27;$A194);0)</v>
      </c>
      <c r="AJ194" s="76" t="str">
        <f ca="1">IFERROR(__xludf.DUMMYFUNCTION("""COMPUTED_VALUE"""),"=IF($AO$2=2;COUNTIF(Interface!$C$30:$C$35;$A194);0)")</f>
        <v>=IF($AO$2=2;COUNTIF(Interface!$C$30:$C$35;$A194);0)</v>
      </c>
      <c r="AK194" s="76"/>
      <c r="AL194" s="76"/>
      <c r="AM194" s="76" t="str">
        <f ca="1">IFERROR(__xludf.DUMMYFUNCTION("""COMPUTED_VALUE"""),"=COUNTIF(Interface!$O$18:$O$23;$A194)")</f>
        <v>=COUNTIF(Interface!$O$18:$O$23;$A194)</v>
      </c>
      <c r="AN194" s="76"/>
      <c r="AO194" s="76" t="b">
        <f ca="1">IFERROR(__xludf.DUMMYFUNCTION("""COMPUTED_VALUE"""),FALSE)</f>
        <v>0</v>
      </c>
    </row>
    <row r="195" spans="1:41">
      <c r="A195" s="644" t="str">
        <f ca="1">IFERROR(__xludf.DUMMYFUNCTION("""COMPUTED_VALUE"""),"M: Eclipse")</f>
        <v>M: Eclipse</v>
      </c>
      <c r="B195" s="649" t="str">
        <f ca="1">IFERROR(__xludf.DUMMYFUNCTION("""COMPUTED_VALUE"""),"=3100")</f>
        <v>=3100</v>
      </c>
      <c r="C195" s="649"/>
      <c r="D195" s="649"/>
      <c r="E195" s="649"/>
      <c r="F195" s="649"/>
      <c r="G195" s="84" t="str">
        <f ca="1">IFERROR(__xludf.DUMMYFUNCTION("""COMPUTED_VALUE"""),"=80")</f>
        <v>=80</v>
      </c>
      <c r="H195" s="84"/>
      <c r="I195" s="84"/>
      <c r="J195" s="84"/>
      <c r="K195" s="84"/>
      <c r="L195" s="72"/>
      <c r="M195" s="72" t="str">
        <f ca="1">IFERROR(__xludf.DUMMYFUNCTION("""COMPUTED_VALUE"""),"=20")</f>
        <v>=20</v>
      </c>
      <c r="N195" s="72"/>
      <c r="O195" s="72" t="str">
        <f ca="1">IFERROR(__xludf.DUMMYFUNCTION("""COMPUTED_VALUE"""),"=20")</f>
        <v>=20</v>
      </c>
      <c r="P195" s="72"/>
      <c r="Q195" s="72"/>
      <c r="R195" s="72"/>
      <c r="S195" s="72"/>
      <c r="T195" s="72"/>
      <c r="U195" s="72"/>
      <c r="V195" s="72"/>
      <c r="W195" s="72"/>
      <c r="X195" s="72"/>
      <c r="Y195" s="72"/>
      <c r="Z195" s="72"/>
      <c r="AA195" s="72"/>
      <c r="AB195" s="72" t="str">
        <f ca="1">IFERROR(__xludf.DUMMYFUNCTION("""COMPUTED_VALUE"""),"=10")</f>
        <v>=10</v>
      </c>
      <c r="AC195" s="72"/>
      <c r="AD195" s="72"/>
      <c r="AE195" s="72" t="str">
        <f ca="1">IFERROR(__xludf.DUMMYFUNCTION("""COMPUTED_VALUE"""),"=IF(VLOOKUP(Name;Champs!A2:AE200;31;False); 0,06; 0,03) * E_MHP")</f>
        <v>=IF(VLOOKUP(Name;Champs!A2:AE200;31;False); 0,06; 0,03) * E_MHP</v>
      </c>
      <c r="AF195" s="72"/>
      <c r="AG195" s="72" t="str">
        <f ca="1">IFERROR(__xludf.DUMMYFUNCTION("""COMPUTED_VALUE"""),"=5 * Legendary")</f>
        <v>=5 * Legendary</v>
      </c>
      <c r="AH195" s="72"/>
      <c r="AI195" s="72" t="str">
        <f ca="1">IFERROR(__xludf.DUMMYFUNCTION("""COMPUTED_VALUE"""),"=IF($AO$2=1;COUNTIF(Interface!$C$22:$C$27;$A195);0)")</f>
        <v>=IF($AO$2=1;COUNTIF(Interface!$C$22:$C$27;$A195);0)</v>
      </c>
      <c r="AJ195" s="72" t="str">
        <f ca="1">IFERROR(__xludf.DUMMYFUNCTION("""COMPUTED_VALUE"""),"=IF($AO$2=2;COUNTIF(Interface!$C$30:$C$35;$A195);0)")</f>
        <v>=IF($AO$2=2;COUNTIF(Interface!$C$30:$C$35;$A195);0)</v>
      </c>
      <c r="AK195" s="72"/>
      <c r="AL195" s="72"/>
      <c r="AM195" s="72" t="str">
        <f ca="1">IFERROR(__xludf.DUMMYFUNCTION("""COMPUTED_VALUE"""),"=COUNTIF(Interface!$O$18:$O$23;$A195)")</f>
        <v>=COUNTIF(Interface!$O$18:$O$23;$A195)</v>
      </c>
      <c r="AN195" s="72" t="str">
        <f ca="1">IFERROR(__xludf.DUMMYFUNCTION("""COMPUTED_VALUE"""),"=Image(""https://ddragon.leagueoflegends.com/cdn/12.22.1/img/item/6692.png"")")</f>
        <v>=Image("https://ddragon.leagueoflegends.com/cdn/12.22.1/img/item/6692.png")</v>
      </c>
      <c r="AO195" s="72" t="b">
        <f ca="1">IFERROR(__xludf.DUMMYFUNCTION("""COMPUTED_VALUE"""),FALSE)</f>
        <v>0</v>
      </c>
    </row>
    <row r="196" spans="1:41">
      <c r="A196" s="643" t="str">
        <f ca="1">IFERROR(__xludf.DUMMYFUNCTION("""COMPUTED_VALUE"""),"M: Evenshroud")</f>
        <v>M: Evenshroud</v>
      </c>
      <c r="B196" s="650" t="str">
        <f ca="1">IFERROR(__xludf.DUMMYFUNCTION("""COMPUTED_VALUE"""),"=2300")</f>
        <v>=2300</v>
      </c>
      <c r="C196" s="650" t="str">
        <f ca="1">IFERROR(__xludf.DUMMYFUNCTION("""COMPUTED_VALUE"""),"=400")</f>
        <v>=400</v>
      </c>
      <c r="D196" s="650"/>
      <c r="E196" s="650"/>
      <c r="F196" s="650"/>
      <c r="G196" s="78"/>
      <c r="H196" s="78"/>
      <c r="I196" s="78" t="str">
        <f ca="1">IFERROR(__xludf.DUMMYFUNCTION("""COMPUTED_VALUE"""),"=40 + 5 * Legendary")</f>
        <v>=40 + 5 * Legendary</v>
      </c>
      <c r="J196" s="78" t="str">
        <f ca="1">IFERROR(__xludf.DUMMYFUNCTION("""COMPUTED_VALUE"""),"=40 + 5 * Legendary")</f>
        <v>=40 + 5 * Legendary</v>
      </c>
      <c r="K196" s="78"/>
      <c r="L196" s="76"/>
      <c r="M196" s="76" t="str">
        <f ca="1">IFERROR(__xludf.DUMMYFUNCTION("""COMPUTED_VALUE"""),"=25")</f>
        <v>=25</v>
      </c>
      <c r="N196" s="76"/>
      <c r="O196" s="76"/>
      <c r="P196" s="76"/>
      <c r="Q196" s="76"/>
      <c r="R196" s="76"/>
      <c r="S196" s="76"/>
      <c r="T196" s="76"/>
      <c r="U196" s="76"/>
      <c r="V196" s="76"/>
      <c r="W196" s="76"/>
      <c r="X196" s="76"/>
      <c r="Y196" s="76"/>
      <c r="Z196" s="76"/>
      <c r="AA196" s="76"/>
      <c r="AB196" s="76"/>
      <c r="AC196" s="76" t="str">
        <f ca="1">IFERROR(__xludf.DUMMYFUNCTION("""COMPUTED_VALUE"""),"=IF(Steroid_Items; 10; 0)")</f>
        <v>=IF(Steroid_Items; 10; 0)</v>
      </c>
      <c r="AD196" s="76" t="str">
        <f ca="1">IFERROR(__xludf.DUMMYFUNCTION("""COMPUTED_VALUE"""),"=IF(Steroid_Items; 10; 0)")</f>
        <v>=IF(Steroid_Items; 10; 0)</v>
      </c>
      <c r="AE196" s="76"/>
      <c r="AF196" s="76"/>
      <c r="AG196" s="76"/>
      <c r="AH196" s="76"/>
      <c r="AI196" s="76" t="str">
        <f ca="1">IFERROR(__xludf.DUMMYFUNCTION("""COMPUTED_VALUE"""),"=IF($AO$2=1;COUNTIF(Interface!$C$22:$C$27;$A196);0)")</f>
        <v>=IF($AO$2=1;COUNTIF(Interface!$C$22:$C$27;$A196);0)</v>
      </c>
      <c r="AJ196" s="76" t="str">
        <f ca="1">IFERROR(__xludf.DUMMYFUNCTION("""COMPUTED_VALUE"""),"=IF($AO$2=2;COUNTIF(Interface!$C$30:$C$35;$A196);0)")</f>
        <v>=IF($AO$2=2;COUNTIF(Interface!$C$30:$C$35;$A196);0)</v>
      </c>
      <c r="AK196" s="76"/>
      <c r="AL196" s="76"/>
      <c r="AM196" s="76" t="str">
        <f ca="1">IFERROR(__xludf.DUMMYFUNCTION("""COMPUTED_VALUE"""),"=COUNTIF(Interface!$O$18:$O$23;$A196)")</f>
        <v>=COUNTIF(Interface!$O$18:$O$23;$A196)</v>
      </c>
      <c r="AN196" s="76" t="str">
        <f ca="1">IFERROR(__xludf.DUMMYFUNCTION("""COMPUTED_VALUE"""),"=Image(""https://ddragon.leagueoflegends.com/cdn/12.22.1/img/item/3001.png"")")</f>
        <v>=Image("https://ddragon.leagueoflegends.com/cdn/12.22.1/img/item/3001.png")</v>
      </c>
      <c r="AO196" s="76" t="b">
        <f ca="1">IFERROR(__xludf.DUMMYFUNCTION("""COMPUTED_VALUE"""),FALSE)</f>
        <v>0</v>
      </c>
    </row>
    <row r="197" spans="1:41">
      <c r="A197" s="644" t="str">
        <f ca="1">IFERROR(__xludf.DUMMYFUNCTION("""COMPUTED_VALUE"""),"M: Everfrost")</f>
        <v>M: Everfrost</v>
      </c>
      <c r="B197" s="649" t="str">
        <f ca="1">IFERROR(__xludf.DUMMYFUNCTION("""COMPUTED_VALUE"""),"=2800")</f>
        <v>=2800</v>
      </c>
      <c r="C197" s="649" t="str">
        <f ca="1">IFERROR(__xludf.DUMMYFUNCTION("""COMPUTED_VALUE"""),"=350")</f>
        <v>=350</v>
      </c>
      <c r="D197" s="649"/>
      <c r="E197" s="649" t="str">
        <f ca="1">IFERROR(__xludf.DUMMYFUNCTION("""COMPUTED_VALUE"""),"=800")</f>
        <v>=800</v>
      </c>
      <c r="F197" s="649"/>
      <c r="G197" s="84"/>
      <c r="H197" s="84" t="str">
        <f ca="1">IFERROR(__xludf.DUMMYFUNCTION("""COMPUTED_VALUE"""),"=90 + 10 * Legendary")</f>
        <v>=90 + 10 * Legendary</v>
      </c>
      <c r="I197" s="84"/>
      <c r="J197" s="84"/>
      <c r="K197" s="84"/>
      <c r="L197" s="72"/>
      <c r="M197" s="72" t="str">
        <f ca="1">IFERROR(__xludf.DUMMYFUNCTION("""COMPUTED_VALUE"""),"=25")</f>
        <v>=25</v>
      </c>
      <c r="N197" s="72"/>
      <c r="O197" s="72"/>
      <c r="P197" s="72"/>
      <c r="Q197" s="72"/>
      <c r="R197" s="72"/>
      <c r="S197" s="72"/>
      <c r="T197" s="72"/>
      <c r="U197" s="72"/>
      <c r="V197" s="72"/>
      <c r="W197" s="72" t="str">
        <f ca="1">IFERROR(__xludf.DUMMYFUNCTION("""COMPUTED_VALUE"""),"=100 + 0,3 * Self_AP")</f>
        <v>=100 + 0,3 * Self_AP</v>
      </c>
      <c r="X197" s="72"/>
      <c r="Y197" s="72"/>
      <c r="Z197" s="72"/>
      <c r="AA197" s="72"/>
      <c r="AB197" s="72"/>
      <c r="AC197" s="72"/>
      <c r="AD197" s="72"/>
      <c r="AE197" s="72"/>
      <c r="AF197" s="72"/>
      <c r="AG197" s="72"/>
      <c r="AH197" s="72"/>
      <c r="AI197" s="72" t="str">
        <f ca="1">IFERROR(__xludf.DUMMYFUNCTION("""COMPUTED_VALUE"""),"=IF($AO$2=1;COUNTIF(Interface!$C$22:$C$27;$A197);0)")</f>
        <v>=IF($AO$2=1;COUNTIF(Interface!$C$22:$C$27;$A197);0)</v>
      </c>
      <c r="AJ197" s="72" t="str">
        <f ca="1">IFERROR(__xludf.DUMMYFUNCTION("""COMPUTED_VALUE"""),"=IF($AO$2=2;COUNTIF(Interface!$C$30:$C$35;$A197);0)")</f>
        <v>=IF($AO$2=2;COUNTIF(Interface!$C$30:$C$35;$A197);0)</v>
      </c>
      <c r="AK197" s="72"/>
      <c r="AL197" s="72"/>
      <c r="AM197" s="72" t="str">
        <f ca="1">IFERROR(__xludf.DUMMYFUNCTION("""COMPUTED_VALUE"""),"=COUNTIF(Interface!$O$18:$O$23;$A197)")</f>
        <v>=COUNTIF(Interface!$O$18:$O$23;$A197)</v>
      </c>
      <c r="AN197" s="72" t="str">
        <f ca="1">IFERROR(__xludf.DUMMYFUNCTION("""COMPUTED_VALUE"""),"=Image(""https://ddragon.leagueoflegends.com/cdn/12.22.1/img/item/6656.png"")")</f>
        <v>=Image("https://ddragon.leagueoflegends.com/cdn/12.22.1/img/item/6656.png")</v>
      </c>
      <c r="AO197" s="72" t="b">
        <f ca="1">IFERROR(__xludf.DUMMYFUNCTION("""COMPUTED_VALUE"""),FALSE)</f>
        <v>0</v>
      </c>
    </row>
    <row r="198" spans="1:41">
      <c r="A198" s="643" t="str">
        <f ca="1">IFERROR(__xludf.DUMMYFUNCTION("""COMPUTED_VALUE"""),"M: Galeforce")</f>
        <v>M: Galeforce</v>
      </c>
      <c r="B198" s="650" t="str">
        <f ca="1">IFERROR(__xludf.DUMMYFUNCTION("""COMPUTED_VALUE"""),"=3400")</f>
        <v>=3400</v>
      </c>
      <c r="C198" s="650"/>
      <c r="D198" s="650"/>
      <c r="E198" s="650"/>
      <c r="F198" s="650"/>
      <c r="G198" s="78" t="str">
        <f ca="1">IFERROR(__xludf.DUMMYFUNCTION("""COMPUTED_VALUE"""),"=65 + 5 * Legendary")</f>
        <v>=65 + 5 * Legendary</v>
      </c>
      <c r="H198" s="78"/>
      <c r="I198" s="78"/>
      <c r="J198" s="78"/>
      <c r="K198" s="78" t="str">
        <f ca="1">IFERROR(__xludf.DUMMYFUNCTION("""COMPUTED_VALUE"""),"=30")</f>
        <v>=30</v>
      </c>
      <c r="L198" s="76" t="str">
        <f ca="1">IFERROR(__xludf.DUMMYFUNCTION("""COMPUTED_VALUE"""),"=20")</f>
        <v>=20</v>
      </c>
      <c r="M198" s="76"/>
      <c r="N198" s="76"/>
      <c r="O198" s="76"/>
      <c r="P198" s="76"/>
      <c r="Q198" s="76"/>
      <c r="R198" s="76" t="str">
        <f ca="1">IFERROR(__xludf.DUMMYFUNCTION("""COMPUTED_VALUE"""),"=9")</f>
        <v>=9</v>
      </c>
      <c r="S198" s="76"/>
      <c r="T198" s="76"/>
      <c r="U198" s="76"/>
      <c r="V198" s="76"/>
      <c r="W198" s="76" t="str">
        <f ca="1">IFERROR(__xludf.DUMMYFUNCTION("""COMPUTED_VALUE"""),"=(150 + MAX((200 / 8) * (Self_Level - 10); 0) + 0,45 * Self_BoAD) * (1 + 0,5 * (1 - (MAX(25; E_CHP) - 25) / 75))")</f>
        <v>=(150 + MAX((200 / 8) * (Self_Level - 10); 0) + 0,45 * Self_BoAD) * (1 + 0,5 * (1 - (MAX(25; E_CHP) - 25) / 75))</v>
      </c>
      <c r="X198" s="76"/>
      <c r="Y198" s="76"/>
      <c r="Z198" s="76"/>
      <c r="AA198" s="76"/>
      <c r="AB198" s="76"/>
      <c r="AC198" s="76"/>
      <c r="AD198" s="76"/>
      <c r="AE198" s="76"/>
      <c r="AF198" s="76"/>
      <c r="AG198" s="76"/>
      <c r="AH198" s="76"/>
      <c r="AI198" s="76" t="str">
        <f ca="1">IFERROR(__xludf.DUMMYFUNCTION("""COMPUTED_VALUE"""),"=IF($AO$2=1;COUNTIF(Interface!$C$22:$C$27;$A198);0)")</f>
        <v>=IF($AO$2=1;COUNTIF(Interface!$C$22:$C$27;$A198);0)</v>
      </c>
      <c r="AJ198" s="76" t="str">
        <f ca="1">IFERROR(__xludf.DUMMYFUNCTION("""COMPUTED_VALUE"""),"=IF($AO$2=2;COUNTIF(Interface!$C$30:$C$35;$A198);0)")</f>
        <v>=IF($AO$2=2;COUNTIF(Interface!$C$30:$C$35;$A198);0)</v>
      </c>
      <c r="AK198" s="76"/>
      <c r="AL198" s="76"/>
      <c r="AM198" s="76" t="str">
        <f ca="1">IFERROR(__xludf.DUMMYFUNCTION("""COMPUTED_VALUE"""),"=COUNTIF(Interface!$O$18:$O$23;$A198)")</f>
        <v>=COUNTIF(Interface!$O$18:$O$23;$A198)</v>
      </c>
      <c r="AN198" s="76" t="str">
        <f ca="1">IFERROR(__xludf.DUMMYFUNCTION("""COMPUTED_VALUE"""),"=Image(""https://ddragon.leagueoflegends.com/cdn/12.22.1/img/item/6671.png"")")</f>
        <v>=Image("https://ddragon.leagueoflegends.com/cdn/12.22.1/img/item/6671.png")</v>
      </c>
      <c r="AO198" s="76" t="b">
        <f ca="1">IFERROR(__xludf.DUMMYFUNCTION("""COMPUTED_VALUE"""),FALSE)</f>
        <v>0</v>
      </c>
    </row>
    <row r="199" spans="1:41">
      <c r="A199" s="644" t="str">
        <f ca="1">IFERROR(__xludf.DUMMYFUNCTION("""COMPUTED_VALUE"""),"M: Goredrinker")</f>
        <v>M: Goredrinker</v>
      </c>
      <c r="B199" s="649" t="str">
        <f ca="1">IFERROR(__xludf.DUMMYFUNCTION("""COMPUTED_VALUE"""),"=3200")</f>
        <v>=3200</v>
      </c>
      <c r="C199" s="649" t="str">
        <f ca="1">IFERROR(__xludf.DUMMYFUNCTION("""COMPUTED_VALUE"""),"=450 + 75 * Legendary")</f>
        <v>=450 + 75 * Legendary</v>
      </c>
      <c r="D199" s="649"/>
      <c r="E199" s="649"/>
      <c r="F199" s="649"/>
      <c r="G199" s="84" t="str">
        <f ca="1">IFERROR(__xludf.DUMMYFUNCTION("""COMPUTED_VALUE"""),"=70")</f>
        <v>=70</v>
      </c>
      <c r="H199" s="84"/>
      <c r="I199" s="84"/>
      <c r="J199" s="84"/>
      <c r="K199" s="84"/>
      <c r="L199" s="72"/>
      <c r="M199" s="72" t="str">
        <f ca="1">IFERROR(__xludf.DUMMYFUNCTION("""COMPUTED_VALUE"""),"=20 + 3 * Legendary")</f>
        <v>=20 + 3 * Legendary</v>
      </c>
      <c r="N199" s="72" t="str">
        <f ca="1">IFERROR(__xludf.DUMMYFUNCTION("""COMPUTED_VALUE"""),"=10")</f>
        <v>=10</v>
      </c>
      <c r="O199" s="72"/>
      <c r="P199" s="72"/>
      <c r="Q199" s="72"/>
      <c r="R199" s="72"/>
      <c r="S199" s="72"/>
      <c r="T199" s="72"/>
      <c r="U199" s="72"/>
      <c r="V199" s="72"/>
      <c r="W199" s="72"/>
      <c r="X199" s="72"/>
      <c r="Y199" s="72"/>
      <c r="Z199" s="72"/>
      <c r="AA199" s="72"/>
      <c r="AB199" s="72" t="str">
        <f ca="1">IFERROR(__xludf.DUMMYFUNCTION("""COMPUTED_VALUE"""),"=10")</f>
        <v>=10</v>
      </c>
      <c r="AC199" s="72"/>
      <c r="AD199" s="72"/>
      <c r="AE199" s="72" t="str">
        <f ca="1">IFERROR(__xludf.DUMMYFUNCTION("""COMPUTED_VALUE"""),"=Self_BaAD * 1,75")</f>
        <v>=Self_BaAD * 1,75</v>
      </c>
      <c r="AF199" s="72"/>
      <c r="AG199" s="72"/>
      <c r="AH199" s="72"/>
      <c r="AI199" s="72" t="str">
        <f ca="1">IFERROR(__xludf.DUMMYFUNCTION("""COMPUTED_VALUE"""),"=IF($AO$2=1;COUNTIF(Interface!$C$22:$C$27;$A199);0)")</f>
        <v>=IF($AO$2=1;COUNTIF(Interface!$C$22:$C$27;$A199);0)</v>
      </c>
      <c r="AJ199" s="72" t="str">
        <f ca="1">IFERROR(__xludf.DUMMYFUNCTION("""COMPUTED_VALUE"""),"=IF($AO$2=2;COUNTIF(Interface!$C$30:$C$35;$A199);0)")</f>
        <v>=IF($AO$2=2;COUNTIF(Interface!$C$30:$C$35;$A199);0)</v>
      </c>
      <c r="AK199" s="72"/>
      <c r="AL199" s="72"/>
      <c r="AM199" s="72" t="str">
        <f ca="1">IFERROR(__xludf.DUMMYFUNCTION("""COMPUTED_VALUE"""),"=COUNTIF(Interface!$O$18:$O$23;$A199)")</f>
        <v>=COUNTIF(Interface!$O$18:$O$23;$A199)</v>
      </c>
      <c r="AN199" s="72" t="str">
        <f ca="1">IFERROR(__xludf.DUMMYFUNCTION("""COMPUTED_VALUE"""),"=Image(""https://ddragon.leagueoflegends.com/cdn/12.22.1/img/item/6630.png"")")</f>
        <v>=Image("https://ddragon.leagueoflegends.com/cdn/12.22.1/img/item/6630.png")</v>
      </c>
      <c r="AO199" s="72" t="b">
        <f ca="1">IFERROR(__xludf.DUMMYFUNCTION("""COMPUTED_VALUE"""),FALSE)</f>
        <v>0</v>
      </c>
    </row>
    <row r="200" spans="1:41">
      <c r="A200" s="643" t="str">
        <f ca="1">IFERROR(__xludf.DUMMYFUNCTION("""COMPUTED_VALUE"""),"M: Guinsoo's Rageblade")</f>
        <v>M: Guinsoo's Rageblade</v>
      </c>
      <c r="B200" s="645" t="str">
        <f ca="1">IFERROR(__xludf.DUMMYFUNCTION("""COMPUTED_VALUE"""),"=3200")</f>
        <v>=3200</v>
      </c>
      <c r="C200" s="645"/>
      <c r="D200" s="645"/>
      <c r="E200" s="645"/>
      <c r="F200" s="645"/>
      <c r="G200" s="647" t="str">
        <f ca="1">IFERROR(__xludf.DUMMYFUNCTION("""COMPUTED_VALUE"""),"=40")</f>
        <v>=40</v>
      </c>
      <c r="H200" s="647" t="str">
        <f ca="1">IFERROR(__xludf.DUMMYFUNCTION("""COMPUTED_VALUE"""),"=50")</f>
        <v>=50</v>
      </c>
      <c r="I200" s="647"/>
      <c r="J200" s="647"/>
      <c r="K200" s="78" t="str">
        <f ca="1">IFERROR(__xludf.DUMMYFUNCTION("""COMPUTED_VALUE"""),"=35 + IF(Steroid_Items; 8 * 4)")</f>
        <v>=35 + IF(Steroid_Items; 8 * 4)</v>
      </c>
      <c r="L200" s="76"/>
      <c r="M200" s="150"/>
      <c r="N200" s="150"/>
      <c r="O200" s="150"/>
      <c r="P200" s="150"/>
      <c r="Q200" s="150"/>
      <c r="R200" s="150"/>
      <c r="S200" s="150"/>
      <c r="T200" s="150"/>
      <c r="U200" s="150" t="str">
        <f ca="1">IFERROR(__xludf.DUMMYFUNCTION("""COMPUTED_VALUE"""),"=30 + 150 * Self_Crit")</f>
        <v>=30 + 150 * Self_Crit</v>
      </c>
      <c r="V200" s="150"/>
      <c r="W200" s="150"/>
      <c r="X200" s="150"/>
      <c r="Y200" s="150" t="str">
        <f ca="1">IFERROR(__xludf.DUMMYFUNCTION("""COMPUTED_VALUE"""),"=5 * Legendary")</f>
        <v>=5 * Legendary</v>
      </c>
      <c r="Z200" s="150" t="str">
        <f ca="1">IFERROR(__xludf.DUMMYFUNCTION("""COMPUTED_VALUE"""),"=6 * Legendary")</f>
        <v>=6 * Legendary</v>
      </c>
      <c r="AA200" s="150"/>
      <c r="AB200" s="150"/>
      <c r="AC200" s="150"/>
      <c r="AD200" s="150"/>
      <c r="AE200" s="150"/>
      <c r="AF200" s="150"/>
      <c r="AG200" s="150"/>
      <c r="AH200" s="150"/>
      <c r="AI200" s="150" t="str">
        <f ca="1">IFERROR(__xludf.DUMMYFUNCTION("""COMPUTED_VALUE"""),"=IF($AO$2=1;COUNTIF(Interface!$C$22:$C$27;$A200);0)")</f>
        <v>=IF($AO$2=1;COUNTIF(Interface!$C$22:$C$27;$A200);0)</v>
      </c>
      <c r="AJ200" s="150" t="str">
        <f ca="1">IFERROR(__xludf.DUMMYFUNCTION("""COMPUTED_VALUE"""),"=IF($AO$2=2;COUNTIF(Interface!$C$30:$C$35;$A200);0)")</f>
        <v>=IF($AO$2=2;COUNTIF(Interface!$C$30:$C$35;$A200);0)</v>
      </c>
      <c r="AK200" s="150"/>
      <c r="AL200" s="150"/>
      <c r="AM200" s="150" t="str">
        <f ca="1">IFERROR(__xludf.DUMMYFUNCTION("""COMPUTED_VALUE"""),"=COUNTIF(Interface!$O$18:$O$23;$A200)")</f>
        <v>=COUNTIF(Interface!$O$18:$O$23;$A200)</v>
      </c>
      <c r="AN200" s="150" t="str">
        <f ca="1">IFERROR(__xludf.DUMMYFUNCTION("""COMPUTED_VALUE"""),"=Image(""https://ddragon.leagueoflegends.com/cdn/12.22.1/img/item/3124.png"")")</f>
        <v>=Image("https://ddragon.leagueoflegends.com/cdn/12.22.1/img/item/3124.png")</v>
      </c>
      <c r="AO200" s="150" t="b">
        <f ca="1">IFERROR(__xludf.DUMMYFUNCTION("""COMPUTED_VALUE"""),FALSE)</f>
        <v>0</v>
      </c>
    </row>
    <row r="201" spans="1:41">
      <c r="A201" s="643" t="str">
        <f ca="1">IFERROR(__xludf.DUMMYFUNCTION("""COMPUTED_VALUE"""),"M: Heartsteel")</f>
        <v>M: Heartsteel</v>
      </c>
      <c r="B201" s="645" t="str">
        <f ca="1">IFERROR(__xludf.DUMMYFUNCTION("""COMPUTED_VALUE"""),"=3200")</f>
        <v>=3200</v>
      </c>
      <c r="C201" s="645" t="str">
        <f ca="1">IFERROR(__xludf.DUMMYFUNCTION("""COMPUTED_VALUE"""),"=1050")</f>
        <v>=1050</v>
      </c>
      <c r="D201" s="645" t="str">
        <f ca="1">IFERROR(__xludf.DUMMYFUNCTION("""COMPUTED_VALUE"""),"=3")</f>
        <v>=3</v>
      </c>
      <c r="E201" s="645"/>
      <c r="F201" s="645"/>
      <c r="G201" s="647"/>
      <c r="H201" s="647"/>
      <c r="I201" s="647"/>
      <c r="J201" s="647"/>
      <c r="K201" s="78"/>
      <c r="L201" s="76"/>
      <c r="M201" s="150" t="str">
        <f ca="1">IFERROR(__xludf.DUMMYFUNCTION("""COMPUTED_VALUE"""),"=25")</f>
        <v>=25</v>
      </c>
      <c r="N201" s="150"/>
      <c r="O201" s="150"/>
      <c r="P201" s="150"/>
      <c r="Q201" s="150"/>
      <c r="R201" s="150"/>
      <c r="S201" s="150"/>
      <c r="T201" s="150"/>
      <c r="U201" s="150"/>
      <c r="V201" s="150"/>
      <c r="W201" s="150"/>
      <c r="X201" s="150"/>
      <c r="Y201" s="150"/>
      <c r="Z201" s="150"/>
      <c r="AA201" s="150"/>
      <c r="AB201" s="150"/>
      <c r="AC201" s="150"/>
      <c r="AD201" s="150"/>
      <c r="AE201" s="150" t="str">
        <f ca="1">IFERROR(__xludf.DUMMYFUNCTION("""COMPUTED_VALUE"""),"=125 + 0,06 * E_MHP")</f>
        <v>=125 + 0,06 * E_MHP</v>
      </c>
      <c r="AF201" s="150"/>
      <c r="AG201" s="150"/>
      <c r="AH201" s="150"/>
      <c r="AI201" s="150" t="str">
        <f ca="1">IFERROR(__xludf.DUMMYFUNCTION("""COMPUTED_VALUE"""),"=IF($AO$2=1;COUNTIF(Interface!$C$22:$C$27;$A201);0)")</f>
        <v>=IF($AO$2=1;COUNTIF(Interface!$C$22:$C$27;$A201);0)</v>
      </c>
      <c r="AJ201" s="150" t="str">
        <f ca="1">IFERROR(__xludf.DUMMYFUNCTION("""COMPUTED_VALUE"""),"=IF($AO$2=2;COUNTIF(Interface!$C$30:$C$35;$A201);0)")</f>
        <v>=IF($AO$2=2;COUNTIF(Interface!$C$30:$C$35;$A201);0)</v>
      </c>
      <c r="AK201" s="150"/>
      <c r="AL201" s="150"/>
      <c r="AM201" s="150" t="str">
        <f ca="1">IFERROR(__xludf.DUMMYFUNCTION("""COMPUTED_VALUE"""),"=COUNTIF(Interface!$O$18:$O$23;$A201)")</f>
        <v>=COUNTIF(Interface!$O$18:$O$23;$A201)</v>
      </c>
      <c r="AN201" s="150" t="str">
        <f ca="1">IFERROR(__xludf.DUMMYFUNCTION("""COMPUTED_VALUE"""),"=Image(""https://ddragon.leagueoflegends.com/cdn/12.22.1/img/item/3084.png"")")</f>
        <v>=Image("https://ddragon.leagueoflegends.com/cdn/12.22.1/img/item/3084.png")</v>
      </c>
      <c r="AO201" s="150" t="b">
        <f ca="1">IFERROR(__xludf.DUMMYFUNCTION("""COMPUTED_VALUE"""),FALSE)</f>
        <v>0</v>
      </c>
    </row>
    <row r="202" spans="1:41">
      <c r="A202" s="643" t="str">
        <f ca="1">IFERROR(__xludf.DUMMYFUNCTION("""COMPUTED_VALUE"""),"M: Hextech Rocketbelt")</f>
        <v>M: Hextech Rocketbelt</v>
      </c>
      <c r="B202" s="645" t="str">
        <f ca="1">IFERROR(__xludf.DUMMYFUNCTION("""COMPUTED_VALUE"""),"=3200")</f>
        <v>=3200</v>
      </c>
      <c r="C202" s="645" t="str">
        <f ca="1">IFERROR(__xludf.DUMMYFUNCTION("""COMPUTED_VALUE"""),"=350")</f>
        <v>=350</v>
      </c>
      <c r="D202" s="645"/>
      <c r="E202" s="645"/>
      <c r="F202" s="645"/>
      <c r="G202" s="647"/>
      <c r="H202" s="647" t="str">
        <f ca="1">IFERROR(__xludf.DUMMYFUNCTION("""COMPUTED_VALUE"""),"=120")</f>
        <v>=120</v>
      </c>
      <c r="I202" s="647"/>
      <c r="J202" s="647"/>
      <c r="K202" s="78"/>
      <c r="L202" s="76"/>
      <c r="M202" s="150" t="str">
        <f ca="1">IFERROR(__xludf.DUMMYFUNCTION("""COMPUTED_VALUE"""),"=20")</f>
        <v>=20</v>
      </c>
      <c r="N202" s="150"/>
      <c r="O202" s="150"/>
      <c r="P202" s="150" t="str">
        <f ca="1">IFERROR(__xludf.DUMMYFUNCTION("""COMPUTED_VALUE"""),"=10 + 5 * Legendary")</f>
        <v>=10 + 5 * Legendary</v>
      </c>
      <c r="Q202" s="150"/>
      <c r="R202" s="150"/>
      <c r="S202" s="150"/>
      <c r="T202" s="150"/>
      <c r="U202" s="150"/>
      <c r="V202" s="150"/>
      <c r="W202" s="150" t="str">
        <f ca="1">IFERROR(__xludf.DUMMYFUNCTION("""COMPUTED_VALUE"""),"=125+0,15*Self_AP")</f>
        <v>=125+0,15*Self_AP</v>
      </c>
      <c r="X202" s="150"/>
      <c r="Y202" s="150"/>
      <c r="Z202" s="150"/>
      <c r="AA202" s="150"/>
      <c r="AB202" s="150"/>
      <c r="AC202" s="150"/>
      <c r="AD202" s="150"/>
      <c r="AE202" s="150"/>
      <c r="AF202" s="150"/>
      <c r="AG202" s="150"/>
      <c r="AH202" s="150"/>
      <c r="AI202" s="150" t="str">
        <f ca="1">IFERROR(__xludf.DUMMYFUNCTION("""COMPUTED_VALUE"""),"=IF($AO$2=1;COUNTIF(Interface!$C$22:$C$27;$A202);0)")</f>
        <v>=IF($AO$2=1;COUNTIF(Interface!$C$22:$C$27;$A202);0)</v>
      </c>
      <c r="AJ202" s="150" t="str">
        <f ca="1">IFERROR(__xludf.DUMMYFUNCTION("""COMPUTED_VALUE"""),"=IF($AO$2=2;COUNTIF(Interface!$C$30:$C$35;$A202);0)")</f>
        <v>=IF($AO$2=2;COUNTIF(Interface!$C$30:$C$35;$A202);0)</v>
      </c>
      <c r="AK202" s="150"/>
      <c r="AL202" s="150"/>
      <c r="AM202" s="150" t="str">
        <f ca="1">IFERROR(__xludf.DUMMYFUNCTION("""COMPUTED_VALUE"""),"=COUNTIF(Interface!$O$18:$O$23;$A202)")</f>
        <v>=COUNTIF(Interface!$O$18:$O$23;$A202)</v>
      </c>
      <c r="AN202" s="150" t="str">
        <f ca="1">IFERROR(__xludf.DUMMYFUNCTION("""COMPUTED_VALUE"""),"=Image(""https://ddragon.leagueoflegends.com/cdn/12.22.1/img/item/3152.png"")")</f>
        <v>=Image("https://ddragon.leagueoflegends.com/cdn/12.22.1/img/item/3152.png")</v>
      </c>
      <c r="AO202" s="150" t="b">
        <f ca="1">IFERROR(__xludf.DUMMYFUNCTION("""COMPUTED_VALUE"""),FALSE)</f>
        <v>0</v>
      </c>
    </row>
    <row r="203" spans="1:41">
      <c r="A203" s="643" t="str">
        <f ca="1">IFERROR(__xludf.DUMMYFUNCTION("""COMPUTED_VALUE"""),"M: Iceborn Gauntlet")</f>
        <v>M: Iceborn Gauntlet</v>
      </c>
      <c r="B203" s="652" t="str">
        <f ca="1">IFERROR(__xludf.DUMMYFUNCTION("""COMPUTED_VALUE"""),"=3000")</f>
        <v>=3000</v>
      </c>
      <c r="C203" s="652" t="str">
        <f ca="1">IFERROR(__xludf.DUMMYFUNCTION("""COMPUTED_VALUE"""),"=550 + 50 * Legendary")</f>
        <v>=550 + 50 * Legendary</v>
      </c>
      <c r="D203" s="652"/>
      <c r="E203" s="652"/>
      <c r="F203" s="652"/>
      <c r="G203" s="80"/>
      <c r="H203" s="80"/>
      <c r="I203" s="80" t="str">
        <f ca="1">IFERROR(__xludf.DUMMYFUNCTION("""COMPUTED_VALUE"""),"=70")</f>
        <v>=70</v>
      </c>
      <c r="J203" s="80"/>
      <c r="K203" s="80"/>
      <c r="L203" s="82"/>
      <c r="M203" s="653" t="str">
        <f ca="1">IFERROR(__xludf.DUMMYFUNCTION("""COMPUTED_VALUE"""),"=25")</f>
        <v>=25</v>
      </c>
      <c r="N203" s="653"/>
      <c r="O203" s="653"/>
      <c r="P203" s="653"/>
      <c r="Q203" s="653"/>
      <c r="R203" s="653"/>
      <c r="S203" s="653"/>
      <c r="T203" s="653"/>
      <c r="U203" s="653"/>
      <c r="V203" s="653"/>
      <c r="W203" s="653"/>
      <c r="X203" s="653" t="str">
        <f ca="1">IFERROR(__xludf.DUMMYFUNCTION("""COMPUTED_VALUE"""),"=Self_BaAD")</f>
        <v>=Self_BaAD</v>
      </c>
      <c r="Y203" s="653"/>
      <c r="Z203" s="653"/>
      <c r="AA203" s="653"/>
      <c r="AB203" s="653"/>
      <c r="AC203" s="653"/>
      <c r="AD203" s="653"/>
      <c r="AE203" s="653"/>
      <c r="AF203" s="653"/>
      <c r="AG203" s="653"/>
      <c r="AH203" s="653"/>
      <c r="AI203" s="653" t="str">
        <f ca="1">IFERROR(__xludf.DUMMYFUNCTION("""COMPUTED_VALUE"""),"=IF($AO$2=1;COUNTIF(Interface!$C$22:$C$27;$A203);0)")</f>
        <v>=IF($AO$2=1;COUNTIF(Interface!$C$22:$C$27;$A203);0)</v>
      </c>
      <c r="AJ203" s="653" t="str">
        <f ca="1">IFERROR(__xludf.DUMMYFUNCTION("""COMPUTED_VALUE"""),"=IF($AO$2=2;COUNTIF(Interface!$C$30:$C$35;$A203);0)")</f>
        <v>=IF($AO$2=2;COUNTIF(Interface!$C$30:$C$35;$A203);0)</v>
      </c>
      <c r="AK203" s="653"/>
      <c r="AL203" s="653"/>
      <c r="AM203" s="653" t="str">
        <f ca="1">IFERROR(__xludf.DUMMYFUNCTION("""COMPUTED_VALUE"""),"=COUNTIF(Interface!$O$18:$O$23;$A203)")</f>
        <v>=COUNTIF(Interface!$O$18:$O$23;$A203)</v>
      </c>
      <c r="AN203" s="653" t="str">
        <f ca="1">IFERROR(__xludf.DUMMYFUNCTION("""COMPUTED_VALUE"""),"=Image(""https://ddragon.leagueoflegends.com/cdn/12.22.1/img/item/6662.png"")")</f>
        <v>=Image("https://ddragon.leagueoflegends.com/cdn/12.22.1/img/item/6662.png")</v>
      </c>
      <c r="AO203" s="653" t="b">
        <f ca="1">IFERROR(__xludf.DUMMYFUNCTION("""COMPUTED_VALUE"""),FALSE)</f>
        <v>0</v>
      </c>
    </row>
    <row r="204" spans="1:41">
      <c r="A204" s="643" t="str">
        <f ca="1">IFERROR(__xludf.DUMMYFUNCTION("""COMPUTED_VALUE"""),"M: Infinity Edge")</f>
        <v>M: Infinity Edge</v>
      </c>
      <c r="B204" s="652" t="str">
        <f ca="1">IFERROR(__xludf.DUMMYFUNCTION("""COMPUTED_VALUE"""),"=3400")</f>
        <v>=3400</v>
      </c>
      <c r="C204" s="652"/>
      <c r="D204" s="652"/>
      <c r="E204" s="652"/>
      <c r="F204" s="652"/>
      <c r="G204" s="80" t="str">
        <f ca="1">IFERROR(__xludf.DUMMYFUNCTION("""COMPUTED_VALUE"""),"=100 + 5 * Legendary")</f>
        <v>=100 + 5 * Legendary</v>
      </c>
      <c r="H204" s="80"/>
      <c r="I204" s="80"/>
      <c r="J204" s="80"/>
      <c r="K204" s="80"/>
      <c r="L204" s="82" t="str">
        <f ca="1">IFERROR(__xludf.DUMMYFUNCTION("""COMPUTED_VALUE"""),"=20")</f>
        <v>=20</v>
      </c>
      <c r="M204" s="653"/>
      <c r="N204" s="653"/>
      <c r="O204" s="653"/>
      <c r="P204" s="653"/>
      <c r="Q204" s="653"/>
      <c r="R204" s="653"/>
      <c r="S204" s="653"/>
      <c r="T204" s="653"/>
      <c r="U204" s="653"/>
      <c r="V204" s="653"/>
      <c r="W204" s="653"/>
      <c r="X204" s="653"/>
      <c r="Y204" s="653"/>
      <c r="Z204" s="653"/>
      <c r="AA204" s="653" t="str">
        <f ca="1">IFERROR(__xludf.DUMMYFUNCTION("""COMPUTED_VALUE"""),"=35")</f>
        <v>=35</v>
      </c>
      <c r="AB204" s="653"/>
      <c r="AC204" s="653"/>
      <c r="AD204" s="653"/>
      <c r="AE204" s="653"/>
      <c r="AF204" s="653"/>
      <c r="AG204" s="653"/>
      <c r="AH204" s="653"/>
      <c r="AI204" s="653" t="str">
        <f ca="1">IFERROR(__xludf.DUMMYFUNCTION("""COMPUTED_VALUE"""),"=IF($AO$2=1;COUNTIF(Interface!$C$22:$C$27;$A204);0)")</f>
        <v>=IF($AO$2=1;COUNTIF(Interface!$C$22:$C$27;$A204);0)</v>
      </c>
      <c r="AJ204" s="653" t="str">
        <f ca="1">IFERROR(__xludf.DUMMYFUNCTION("""COMPUTED_VALUE"""),"=IF($AO$2=2;COUNTIF(Interface!$C$30:$C$35;$A204);0)")</f>
        <v>=IF($AO$2=2;COUNTIF(Interface!$C$30:$C$35;$A204);0)</v>
      </c>
      <c r="AK204" s="653"/>
      <c r="AL204" s="653"/>
      <c r="AM204" s="653" t="str">
        <f ca="1">IFERROR(__xludf.DUMMYFUNCTION("""COMPUTED_VALUE"""),"=COUNTIF(Interface!$O$18:$O$23;$A204)")</f>
        <v>=COUNTIF(Interface!$O$18:$O$23;$A204)</v>
      </c>
      <c r="AN204" s="653" t="str">
        <f ca="1">IFERROR(__xludf.DUMMYFUNCTION("""COMPUTED_VALUE"""),"=Image(""https://ddragon.leagueoflegends.com/cdn/12.22.1/img/item/3031.png"")")</f>
        <v>=Image("https://ddragon.leagueoflegends.com/cdn/12.22.1/img/item/3031.png")</v>
      </c>
      <c r="AO204" s="653" t="b">
        <f ca="1">IFERROR(__xludf.DUMMYFUNCTION("""COMPUTED_VALUE"""),FALSE)</f>
        <v>0</v>
      </c>
    </row>
    <row r="205" spans="1:41">
      <c r="A205" s="643" t="str">
        <f ca="1">IFERROR(__xludf.DUMMYFUNCTION("""COMPUTED_VALUE"""),"M: Jak'Sho The Protean")</f>
        <v>M: Jak'Sho The Protean</v>
      </c>
      <c r="B205" s="645" t="str">
        <f ca="1">IFERROR(__xludf.DUMMYFUNCTION("""COMPUTED_VALUE"""),"=3200")</f>
        <v>=3200</v>
      </c>
      <c r="C205" s="645" t="str">
        <f ca="1">IFERROR(__xludf.DUMMYFUNCTION("""COMPUTED_VALUE"""),"=550")</f>
        <v>=550</v>
      </c>
      <c r="D205" s="645"/>
      <c r="E205" s="645"/>
      <c r="F205" s="645"/>
      <c r="G205" s="647"/>
      <c r="H205" s="647"/>
      <c r="I205" s="647" t="str">
        <f ca="1">IFERROR(__xludf.DUMMYFUNCTION("""COMPUTED_VALUE"""),"=40 + 5 * Legendary + IF(Steroid_Items; 8; 0)")</f>
        <v>=40 + 5 * Legendary + IF(Steroid_Items; 8; 0)</v>
      </c>
      <c r="J205" s="647" t="str">
        <f ca="1">IFERROR(__xludf.DUMMYFUNCTION("""COMPUTED_VALUE"""),"=40 + 5 * Legendary + IF(Steroid_Items; 8; 0)")</f>
        <v>=40 + 5 * Legendary + IF(Steroid_Items; 8; 0)</v>
      </c>
      <c r="K205" s="78"/>
      <c r="L205" s="76"/>
      <c r="M205" s="150" t="str">
        <f ca="1">IFERROR(__xludf.DUMMYFUNCTION("""COMPUTED_VALUE"""),"=25")</f>
        <v>=25</v>
      </c>
      <c r="N205" s="150"/>
      <c r="O205" s="150"/>
      <c r="P205" s="150"/>
      <c r="Q205" s="150"/>
      <c r="R205" s="150"/>
      <c r="S205" s="150"/>
      <c r="T205" s="150"/>
      <c r="U205" s="150"/>
      <c r="V205" s="150"/>
      <c r="W205" s="150" t="str">
        <f ca="1">IFERROR(__xludf.DUMMYFUNCTION("""COMPUTED_VALUE"""),"=80 + 0,07 * Self_BoHP")</f>
        <v>=80 + 0,07 * Self_BoHP</v>
      </c>
      <c r="X205" s="150"/>
      <c r="Y205" s="150"/>
      <c r="Z205" s="150"/>
      <c r="AA205" s="150"/>
      <c r="AB205" s="150"/>
      <c r="AC205" s="150"/>
      <c r="AD205" s="150"/>
      <c r="AE205" s="150"/>
      <c r="AF205" s="150"/>
      <c r="AG205" s="150"/>
      <c r="AH205" s="150"/>
      <c r="AI205" s="150" t="str">
        <f ca="1">IFERROR(__xludf.DUMMYFUNCTION("""COMPUTED_VALUE"""),"=IF($AO$2=1;COUNTIF(Interface!$C$22:$C$27;$A205);0)")</f>
        <v>=IF($AO$2=1;COUNTIF(Interface!$C$22:$C$27;$A205);0)</v>
      </c>
      <c r="AJ205" s="150" t="str">
        <f ca="1">IFERROR(__xludf.DUMMYFUNCTION("""COMPUTED_VALUE"""),"=IF($AO$2=2;COUNTIF(Interface!$C$30:$C$35;$A205);0)")</f>
        <v>=IF($AO$2=2;COUNTIF(Interface!$C$30:$C$35;$A205);0)</v>
      </c>
      <c r="AK205" s="150"/>
      <c r="AL205" s="150"/>
      <c r="AM205" s="150" t="str">
        <f ca="1">IFERROR(__xludf.DUMMYFUNCTION("""COMPUTED_VALUE"""),"=COUNTIF(Interface!$O$18:$O$23;$A205)")</f>
        <v>=COUNTIF(Interface!$O$18:$O$23;$A205)</v>
      </c>
      <c r="AN205" s="150" t="str">
        <f ca="1">IFERROR(__xludf.DUMMYFUNCTION("""COMPUTED_VALUE"""),"=Image(""https://ddragon.leagueoflegends.com/cdn/12.22.1/img/item/6665.png"")")</f>
        <v>=Image("https://ddragon.leagueoflegends.com/cdn/12.22.1/img/item/6665.png")</v>
      </c>
      <c r="AO205" s="150" t="b">
        <f ca="1">IFERROR(__xludf.DUMMYFUNCTION("""COMPUTED_VALUE"""),FALSE)</f>
        <v>0</v>
      </c>
    </row>
    <row r="206" spans="1:41">
      <c r="A206" s="643" t="str">
        <f ca="1">IFERROR(__xludf.DUMMYFUNCTION("""COMPUTED_VALUE"""),"M: Liandry's Anguish")</f>
        <v>M: Liandry's Anguish</v>
      </c>
      <c r="B206" s="645" t="str">
        <f ca="1">IFERROR(__xludf.DUMMYFUNCTION("""COMPUTED_VALUE"""),"=3200")</f>
        <v>=3200</v>
      </c>
      <c r="C206" s="645"/>
      <c r="D206" s="645"/>
      <c r="E206" s="645" t="str">
        <f ca="1">IFERROR(__xludf.DUMMYFUNCTION("""COMPUTED_VALUE"""),"=800")</f>
        <v>=800</v>
      </c>
      <c r="F206" s="645"/>
      <c r="G206" s="647"/>
      <c r="H206" s="647" t="str">
        <f ca="1">IFERROR(__xludf.DUMMYFUNCTION("""COMPUTED_VALUE"""),"=110")</f>
        <v>=110</v>
      </c>
      <c r="I206" s="647"/>
      <c r="J206" s="647"/>
      <c r="K206" s="78"/>
      <c r="L206" s="76"/>
      <c r="M206" s="150" t="str">
        <f ca="1">IFERROR(__xludf.DUMMYFUNCTION("""COMPUTED_VALUE"""),"=25 + 5 * Legendary")</f>
        <v>=25 + 5 * Legendary</v>
      </c>
      <c r="N206" s="150"/>
      <c r="O206" s="150"/>
      <c r="P206" s="150"/>
      <c r="Q206" s="150"/>
      <c r="R206" s="150"/>
      <c r="S206" s="150"/>
      <c r="T206" s="150"/>
      <c r="U206" s="150"/>
      <c r="V206" s="150"/>
      <c r="W206" s="150" t="str">
        <f ca="1">IFERROR(__xludf.DUMMYFUNCTION("""COMPUTED_VALUE"""),"=50+0,06*Self_AP+0,04*E_MHP")</f>
        <v>=50+0,06*Self_AP+0,04*E_MHP</v>
      </c>
      <c r="X206" s="150"/>
      <c r="Y206" s="150"/>
      <c r="Z206" s="150"/>
      <c r="AA206" s="150"/>
      <c r="AB206" s="150"/>
      <c r="AC206" s="150" t="str">
        <f ca="1">IFERROR(__xludf.DUMMYFUNCTION("""COMPUTED_VALUE"""),"=MIN(0,12;IF(E_BoHp&gt;0;0,12*(E_BoHp/1250);0))")</f>
        <v>=MIN(0,12;IF(E_BoHp&gt;0;0,12*(E_BoHp/1250);0))</v>
      </c>
      <c r="AD206" s="150"/>
      <c r="AE206" s="150"/>
      <c r="AF206" s="150"/>
      <c r="AG206" s="150"/>
      <c r="AH206" s="150"/>
      <c r="AI206" s="150" t="str">
        <f ca="1">IFERROR(__xludf.DUMMYFUNCTION("""COMPUTED_VALUE"""),"=IF($AO$2=1;COUNTIF(Interface!$C$22:$C$27;$A206);0)")</f>
        <v>=IF($AO$2=1;COUNTIF(Interface!$C$22:$C$27;$A206);0)</v>
      </c>
      <c r="AJ206" s="150" t="str">
        <f ca="1">IFERROR(__xludf.DUMMYFUNCTION("""COMPUTED_VALUE"""),"=IF($AO$2=2;COUNTIF(Interface!$C$30:$C$35;$A206);0)")</f>
        <v>=IF($AO$2=2;COUNTIF(Interface!$C$30:$C$35;$A206);0)</v>
      </c>
      <c r="AK206" s="150"/>
      <c r="AL206" s="150"/>
      <c r="AM206" s="150" t="str">
        <f ca="1">IFERROR(__xludf.DUMMYFUNCTION("""COMPUTED_VALUE"""),"=COUNTIF(Interface!$O$18:$O$23;$A206)")</f>
        <v>=COUNTIF(Interface!$O$18:$O$23;$A206)</v>
      </c>
      <c r="AN206" s="150" t="str">
        <f ca="1">IFERROR(__xludf.DUMMYFUNCTION("""COMPUTED_VALUE"""),"=Image(""https://ddragon.leagueoflegends.com/cdn/12.22.1/img/item/6653.png"")")</f>
        <v>=Image("https://ddragon.leagueoflegends.com/cdn/12.22.1/img/item/6653.png")</v>
      </c>
      <c r="AO206" s="150" t="b">
        <f ca="1">IFERROR(__xludf.DUMMYFUNCTION("""COMPUTED_VALUE"""),FALSE)</f>
        <v>0</v>
      </c>
    </row>
    <row r="207" spans="1:41">
      <c r="A207" s="643" t="str">
        <f ca="1">IFERROR(__xludf.DUMMYFUNCTION("""COMPUTED_VALUE"""),"M: Locket of the Iron Solari")</f>
        <v>M: Locket of the Iron Solari</v>
      </c>
      <c r="B207" s="645" t="str">
        <f ca="1">IFERROR(__xludf.DUMMYFUNCTION("""COMPUTED_VALUE"""),"=2300")</f>
        <v>=2300</v>
      </c>
      <c r="C207" s="645" t="str">
        <f ca="1">IFERROR(__xludf.DUMMYFUNCTION("""COMPUTED_VALUE"""),"=400")</f>
        <v>=400</v>
      </c>
      <c r="D207" s="645"/>
      <c r="E207" s="645"/>
      <c r="F207" s="645"/>
      <c r="G207" s="647"/>
      <c r="H207" s="647"/>
      <c r="I207" s="647" t="str">
        <f ca="1">IFERROR(__xludf.DUMMYFUNCTION("""COMPUTED_VALUE"""),"=40")</f>
        <v>=40</v>
      </c>
      <c r="J207" s="647" t="str">
        <f ca="1">IFERROR(__xludf.DUMMYFUNCTION("""COMPUTED_VALUE"""),"=40")</f>
        <v>=40</v>
      </c>
      <c r="K207" s="78"/>
      <c r="L207" s="76"/>
      <c r="M207" s="150" t="str">
        <f ca="1">IFERROR(__xludf.DUMMYFUNCTION("""COMPUTED_VALUE"""),"=25")</f>
        <v>=25</v>
      </c>
      <c r="N207" s="150"/>
      <c r="O207" s="150"/>
      <c r="P207" s="150"/>
      <c r="Q207" s="150"/>
      <c r="R207" s="150"/>
      <c r="S207" s="150"/>
      <c r="T207" s="150"/>
      <c r="U207" s="150"/>
      <c r="V207" s="150"/>
      <c r="W207" s="150"/>
      <c r="X207" s="150"/>
      <c r="Y207" s="150"/>
      <c r="Z207" s="150"/>
      <c r="AA207" s="150"/>
      <c r="AB207" s="150"/>
      <c r="AC207" s="150"/>
      <c r="AD207" s="150"/>
      <c r="AE207" s="150"/>
      <c r="AF207" s="150"/>
      <c r="AG207" s="150"/>
      <c r="AH207" s="150" t="str">
        <f ca="1">IFERROR(__xludf.DUMMYFUNCTION("""COMPUTED_VALUE"""),"=(200 + 160 * Sc_Lin) * MOD_SelfHeal")</f>
        <v>=(200 + 160 * Sc_Lin) * MOD_SelfHeal</v>
      </c>
      <c r="AI207" s="150" t="str">
        <f ca="1">IFERROR(__xludf.DUMMYFUNCTION("""COMPUTED_VALUE"""),"=IF($AO$2=1;COUNTIF(Interface!$C$22:$C$27;$A207);0)")</f>
        <v>=IF($AO$2=1;COUNTIF(Interface!$C$22:$C$27;$A207);0)</v>
      </c>
      <c r="AJ207" s="150" t="str">
        <f ca="1">IFERROR(__xludf.DUMMYFUNCTION("""COMPUTED_VALUE"""),"=IF($AO$2=2;COUNTIF(Interface!$C$30:$C$35;$A207);0)")</f>
        <v>=IF($AO$2=2;COUNTIF(Interface!$C$30:$C$35;$A207);0)</v>
      </c>
      <c r="AK207" s="150"/>
      <c r="AL207" s="150"/>
      <c r="AM207" s="150" t="str">
        <f ca="1">IFERROR(__xludf.DUMMYFUNCTION("""COMPUTED_VALUE"""),"=COUNTIF(Interface!$O$18:$O$23;$A207)")</f>
        <v>=COUNTIF(Interface!$O$18:$O$23;$A207)</v>
      </c>
      <c r="AN207" s="150" t="str">
        <f ca="1">IFERROR(__xludf.DUMMYFUNCTION("""COMPUTED_VALUE"""),"=Image(""https://ddragon.leagueoflegends.com/cdn/12.22.1/img/item/3190.png"")")</f>
        <v>=Image("https://ddragon.leagueoflegends.com/cdn/12.22.1/img/item/3190.png")</v>
      </c>
      <c r="AO207" s="150" t="b">
        <f ca="1">IFERROR(__xludf.DUMMYFUNCTION("""COMPUTED_VALUE"""),FALSE)</f>
        <v>0</v>
      </c>
    </row>
    <row r="208" spans="1:41">
      <c r="A208" s="643" t="str">
        <f ca="1">IFERROR(__xludf.DUMMYFUNCTION("""COMPUTED_VALUE"""),"M: Luden's Tempest")</f>
        <v>M: Luden's Tempest</v>
      </c>
      <c r="B208" s="645" t="str">
        <f ca="1">IFERROR(__xludf.DUMMYFUNCTION("""COMPUTED_VALUE"""),"=3200")</f>
        <v>=3200</v>
      </c>
      <c r="C208" s="645"/>
      <c r="D208" s="645"/>
      <c r="E208" s="645" t="str">
        <f ca="1">IFERROR(__xludf.DUMMYFUNCTION("""COMPUTED_VALUE"""),"=800")</f>
        <v>=800</v>
      </c>
      <c r="F208" s="645"/>
      <c r="G208" s="647"/>
      <c r="H208" s="647" t="str">
        <f ca="1">IFERROR(__xludf.DUMMYFUNCTION("""COMPUTED_VALUE"""),"=100")</f>
        <v>=100</v>
      </c>
      <c r="I208" s="647"/>
      <c r="J208" s="647"/>
      <c r="K208" s="78"/>
      <c r="L208" s="76"/>
      <c r="M208" s="150" t="str">
        <f ca="1">IFERROR(__xludf.DUMMYFUNCTION("""COMPUTED_VALUE"""),"=25")</f>
        <v>=25</v>
      </c>
      <c r="N208" s="150"/>
      <c r="O208" s="150"/>
      <c r="P208" s="150" t="str">
        <f ca="1">IFERROR(__xludf.DUMMYFUNCTION("""COMPUTED_VALUE"""),"=11+5*Legendary")</f>
        <v>=11+5*Legendary</v>
      </c>
      <c r="Q208" s="150"/>
      <c r="R208" s="150"/>
      <c r="S208" s="150"/>
      <c r="T208" s="150"/>
      <c r="U208" s="150"/>
      <c r="V208" s="150"/>
      <c r="W208" s="150" t="str">
        <f ca="1">IFERROR(__xludf.DUMMYFUNCTION("""COMPUTED_VALUE"""),"=100+0,1*Self_AP")</f>
        <v>=100+0,1*Self_AP</v>
      </c>
      <c r="X208" s="150"/>
      <c r="Y208" s="150"/>
      <c r="Z208" s="150"/>
      <c r="AA208" s="150"/>
      <c r="AB208" s="150"/>
      <c r="AC208" s="150"/>
      <c r="AD208" s="150"/>
      <c r="AE208" s="150"/>
      <c r="AF208" s="150"/>
      <c r="AG208" s="150"/>
      <c r="AH208" s="150"/>
      <c r="AI208" s="150" t="str">
        <f ca="1">IFERROR(__xludf.DUMMYFUNCTION("""COMPUTED_VALUE"""),"=IF($AO$2=1;COUNTIF(Interface!$C$22:$C$27;$A208);0)")</f>
        <v>=IF($AO$2=1;COUNTIF(Interface!$C$22:$C$27;$A208);0)</v>
      </c>
      <c r="AJ208" s="150" t="str">
        <f ca="1">IFERROR(__xludf.DUMMYFUNCTION("""COMPUTED_VALUE"""),"=IF($AO$2=2;COUNTIF(Interface!$C$30:$C$35;$A208);0)")</f>
        <v>=IF($AO$2=2;COUNTIF(Interface!$C$30:$C$35;$A208);0)</v>
      </c>
      <c r="AK208" s="150"/>
      <c r="AL208" s="150"/>
      <c r="AM208" s="150" t="str">
        <f ca="1">IFERROR(__xludf.DUMMYFUNCTION("""COMPUTED_VALUE"""),"=COUNTIF(Interface!$O$18:$O$23;$A208)")</f>
        <v>=COUNTIF(Interface!$O$18:$O$23;$A208)</v>
      </c>
      <c r="AN208" s="150" t="str">
        <f ca="1">IFERROR(__xludf.DUMMYFUNCTION("""COMPUTED_VALUE"""),"=Image(""https://ddragon.leagueoflegends.com/cdn/12.22.1/img/item/6655.png"")")</f>
        <v>=Image("https://ddragon.leagueoflegends.com/cdn/12.22.1/img/item/6655.png")</v>
      </c>
      <c r="AO208" s="150" t="b">
        <f ca="1">IFERROR(__xludf.DUMMYFUNCTION("""COMPUTED_VALUE"""),FALSE)</f>
        <v>0</v>
      </c>
    </row>
    <row r="209" spans="1:41">
      <c r="A209" s="643" t="str">
        <f ca="1">IFERROR(__xludf.DUMMYFUNCTION("""COMPUTED_VALUE"""),"M: Moonstone Renewer")</f>
        <v>M: Moonstone Renewer</v>
      </c>
      <c r="B209" s="645" t="str">
        <f ca="1">IFERROR(__xludf.DUMMYFUNCTION("""COMPUTED_VALUE"""),"=2300")</f>
        <v>=2300</v>
      </c>
      <c r="C209" s="645" t="str">
        <f ca="1">IFERROR(__xludf.DUMMYFUNCTION("""COMPUTED_VALUE"""),"=300")</f>
        <v>=300</v>
      </c>
      <c r="D209" s="645"/>
      <c r="E209" s="645"/>
      <c r="F209" s="645" t="str">
        <f ca="1">IFERROR(__xludf.DUMMYFUNCTION("""COMPUTED_VALUE"""),"=2")</f>
        <v>=2</v>
      </c>
      <c r="G209" s="647"/>
      <c r="H209" s="647" t="str">
        <f ca="1">IFERROR(__xludf.DUMMYFUNCTION("""COMPUTED_VALUE"""),"=65")</f>
        <v>=65</v>
      </c>
      <c r="I209" s="647"/>
      <c r="J209" s="647"/>
      <c r="K209" s="78"/>
      <c r="L209" s="76"/>
      <c r="M209" s="150" t="str">
        <f ca="1">IFERROR(__xludf.DUMMYFUNCTION("""COMPUTED_VALUE"""),"=25")</f>
        <v>=25</v>
      </c>
      <c r="N209" s="150"/>
      <c r="O209" s="150"/>
      <c r="P209" s="150"/>
      <c r="Q209" s="150"/>
      <c r="R209" s="150"/>
      <c r="S209" s="150" t="str">
        <f ca="1">IFERROR(__xludf.DUMMYFUNCTION("""COMPUTED_VALUE"""),"=5 * Legendary")</f>
        <v>=5 * Legendary</v>
      </c>
      <c r="T209" s="150"/>
      <c r="U209" s="150"/>
      <c r="V209" s="150"/>
      <c r="W209" s="150"/>
      <c r="X209" s="150"/>
      <c r="Y209" s="150"/>
      <c r="Z209" s="150"/>
      <c r="AA209" s="150"/>
      <c r="AB209" s="150"/>
      <c r="AC209" s="150"/>
      <c r="AD209" s="150"/>
      <c r="AE209" s="150"/>
      <c r="AF209" s="150"/>
      <c r="AG209" s="150"/>
      <c r="AH209" s="150"/>
      <c r="AI209" s="150" t="str">
        <f ca="1">IFERROR(__xludf.DUMMYFUNCTION("""COMPUTED_VALUE"""),"=IF($AO$2=1;COUNTIF(Interface!$C$22:$C$27;$A209);0)")</f>
        <v>=IF($AO$2=1;COUNTIF(Interface!$C$22:$C$27;$A209);0)</v>
      </c>
      <c r="AJ209" s="150" t="str">
        <f ca="1">IFERROR(__xludf.DUMMYFUNCTION("""COMPUTED_VALUE"""),"=IF($AO$2=2;COUNTIF(Interface!$C$30:$C$35;$A209);0)")</f>
        <v>=IF($AO$2=2;COUNTIF(Interface!$C$30:$C$35;$A209);0)</v>
      </c>
      <c r="AK209" s="150"/>
      <c r="AL209" s="150"/>
      <c r="AM209" s="150" t="str">
        <f ca="1">IFERROR(__xludf.DUMMYFUNCTION("""COMPUTED_VALUE"""),"=COUNTIF(Interface!$O$18:$O$23;$A209)")</f>
        <v>=COUNTIF(Interface!$O$18:$O$23;$A209)</v>
      </c>
      <c r="AN209" s="150" t="str">
        <f ca="1">IFERROR(__xludf.DUMMYFUNCTION("""COMPUTED_VALUE"""),"=Image(""https://ddragon.leagueoflegends.com/cdn/12.22.1/img/item/6617.png"")")</f>
        <v>=Image("https://ddragon.leagueoflegends.com/cdn/12.22.1/img/item/6617.png")</v>
      </c>
      <c r="AO209" s="150" t="b">
        <f ca="1">IFERROR(__xludf.DUMMYFUNCTION("""COMPUTED_VALUE"""),FALSE)</f>
        <v>0</v>
      </c>
    </row>
    <row r="210" spans="1:41">
      <c r="A210" s="643" t="str">
        <f ca="1">IFERROR(__xludf.DUMMYFUNCTION("""COMPUTED_VALUE"""),"M: Navori Quickblade")</f>
        <v>M: Navori Quickblade</v>
      </c>
      <c r="B210" s="645" t="str">
        <f ca="1">IFERROR(__xludf.DUMMYFUNCTION("""COMPUTED_VALUE"""),"=3400")</f>
        <v>=3400</v>
      </c>
      <c r="C210" s="645"/>
      <c r="D210" s="645"/>
      <c r="E210" s="645"/>
      <c r="F210" s="645"/>
      <c r="G210" s="647" t="str">
        <f ca="1">IFERROR(__xludf.DUMMYFUNCTION("""COMPUTED_VALUE"""),"=85 + 5 * Legendary")</f>
        <v>=85 + 5 * Legendary</v>
      </c>
      <c r="H210" s="647"/>
      <c r="I210" s="647"/>
      <c r="J210" s="647"/>
      <c r="K210" s="78"/>
      <c r="L210" s="76" t="str">
        <f ca="1">IFERROR(__xludf.DUMMYFUNCTION("""COMPUTED_VALUE"""),"=20")</f>
        <v>=20</v>
      </c>
      <c r="M210" s="150" t="str">
        <f ca="1">IFERROR(__xludf.DUMMYFUNCTION("""COMPUTED_VALUE"""),"=25")</f>
        <v>=25</v>
      </c>
      <c r="N210" s="150"/>
      <c r="O210" s="150"/>
      <c r="P210" s="150"/>
      <c r="Q210" s="150"/>
      <c r="R210" s="150"/>
      <c r="S210" s="150"/>
      <c r="T210" s="150"/>
      <c r="U210" s="150"/>
      <c r="V210" s="150"/>
      <c r="W210" s="150"/>
      <c r="X210" s="150"/>
      <c r="Y210" s="150"/>
      <c r="Z210" s="150"/>
      <c r="AA210" s="150"/>
      <c r="AB210" s="150"/>
      <c r="AC210" s="150"/>
      <c r="AD210" s="150"/>
      <c r="AE210" s="150"/>
      <c r="AF210" s="150"/>
      <c r="AG210" s="150"/>
      <c r="AH210" s="150"/>
      <c r="AI210" s="150" t="str">
        <f ca="1">IFERROR(__xludf.DUMMYFUNCTION("""COMPUTED_VALUE"""),"=IF($AO$2=1;COUNTIF(Interface!$C$22:$C$27;$A210);0)")</f>
        <v>=IF($AO$2=1;COUNTIF(Interface!$C$22:$C$27;$A210);0)</v>
      </c>
      <c r="AJ210" s="150" t="str">
        <f ca="1">IFERROR(__xludf.DUMMYFUNCTION("""COMPUTED_VALUE"""),"=IF($AO$2=2;COUNTIF(Interface!$C$30:$C$35;$A210);0)")</f>
        <v>=IF($AO$2=2;COUNTIF(Interface!$C$30:$C$35;$A210);0)</v>
      </c>
      <c r="AK210" s="150"/>
      <c r="AL210" s="150"/>
      <c r="AM210" s="150" t="str">
        <f ca="1">IFERROR(__xludf.DUMMYFUNCTION("""COMPUTED_VALUE"""),"=COUNTIF(Interface!$O$18:$O$23;$A210)")</f>
        <v>=COUNTIF(Interface!$O$18:$O$23;$A210)</v>
      </c>
      <c r="AN210" s="150" t="str">
        <f ca="1">IFERROR(__xludf.DUMMYFUNCTION("""COMPUTED_VALUE"""),"=Image(""https://ddragon.leagueoflegends.com/cdn/12.22.1/img/item/6675.png"")")</f>
        <v>=Image("https://ddragon.leagueoflegends.com/cdn/12.22.1/img/item/6675.png")</v>
      </c>
      <c r="AO210" s="150" t="b">
        <f ca="1">IFERROR(__xludf.DUMMYFUNCTION("""COMPUTED_VALUE"""),FALSE)</f>
        <v>0</v>
      </c>
    </row>
    <row r="211" spans="1:41">
      <c r="A211" s="643" t="str">
        <f ca="1">IFERROR(__xludf.DUMMYFUNCTION("""COMPUTED_VALUE"""),"M: Night Harvester")</f>
        <v>M: Night Harvester</v>
      </c>
      <c r="B211" s="645" t="str">
        <f ca="1">IFERROR(__xludf.DUMMYFUNCTION("""COMPUTED_VALUE"""),"=3200")</f>
        <v>=3200</v>
      </c>
      <c r="C211" s="645" t="str">
        <f ca="1">IFERROR(__xludf.DUMMYFUNCTION("""COMPUTED_VALUE"""),"=400")</f>
        <v>=400</v>
      </c>
      <c r="D211" s="645"/>
      <c r="E211" s="645"/>
      <c r="F211" s="645"/>
      <c r="G211" s="647"/>
      <c r="H211" s="647" t="str">
        <f ca="1">IFERROR(__xludf.DUMMYFUNCTION("""COMPUTED_VALUE"""),"=120")</f>
        <v>=120</v>
      </c>
      <c r="I211" s="647"/>
      <c r="J211" s="647"/>
      <c r="K211" s="78"/>
      <c r="L211" s="76"/>
      <c r="M211" s="150" t="str">
        <f ca="1">IFERROR(__xludf.DUMMYFUNCTION("""COMPUTED_VALUE"""),"=30 + 5 * Legendary")</f>
        <v>=30 + 5 * Legendary</v>
      </c>
      <c r="N211" s="150"/>
      <c r="O211" s="150"/>
      <c r="P211" s="150"/>
      <c r="Q211" s="150"/>
      <c r="R211" s="150"/>
      <c r="S211" s="150"/>
      <c r="T211" s="150"/>
      <c r="U211" s="150"/>
      <c r="V211" s="150"/>
      <c r="W211" s="150" t="str">
        <f ca="1">IFERROR(__xludf.DUMMYFUNCTION("""COMPUTED_VALUE"""),"=125+0,15*Self_AP")</f>
        <v>=125+0,15*Self_AP</v>
      </c>
      <c r="X211" s="150"/>
      <c r="Y211" s="150"/>
      <c r="Z211" s="150"/>
      <c r="AA211" s="150"/>
      <c r="AB211" s="150"/>
      <c r="AC211" s="150"/>
      <c r="AD211" s="150"/>
      <c r="AE211" s="150"/>
      <c r="AF211" s="150"/>
      <c r="AG211" s="150"/>
      <c r="AH211" s="150"/>
      <c r="AI211" s="150" t="str">
        <f ca="1">IFERROR(__xludf.DUMMYFUNCTION("""COMPUTED_VALUE"""),"=IF($AO$2=1;COUNTIF(Interface!$C$22:$C$27;$A211);0)")</f>
        <v>=IF($AO$2=1;COUNTIF(Interface!$C$22:$C$27;$A211);0)</v>
      </c>
      <c r="AJ211" s="150" t="str">
        <f ca="1">IFERROR(__xludf.DUMMYFUNCTION("""COMPUTED_VALUE"""),"=IF($AO$2=2;COUNTIF(Interface!$C$30:$C$35;$A211);0)")</f>
        <v>=IF($AO$2=2;COUNTIF(Interface!$C$30:$C$35;$A211);0)</v>
      </c>
      <c r="AK211" s="150"/>
      <c r="AL211" s="150"/>
      <c r="AM211" s="150" t="str">
        <f ca="1">IFERROR(__xludf.DUMMYFUNCTION("""COMPUTED_VALUE"""),"=COUNTIF(Interface!$O$18:$O$23;$A211)")</f>
        <v>=COUNTIF(Interface!$O$18:$O$23;$A211)</v>
      </c>
      <c r="AN211" s="150" t="str">
        <f ca="1">IFERROR(__xludf.DUMMYFUNCTION("""COMPUTED_VALUE"""),"=Image(""https://ddragon.leagueoflegends.com/cdn/12.22.1/img/item/4636.png"")")</f>
        <v>=Image("https://ddragon.leagueoflegends.com/cdn/12.22.1/img/item/4636.png")</v>
      </c>
      <c r="AO211" s="150" t="b">
        <f ca="1">IFERROR(__xludf.DUMMYFUNCTION("""COMPUTED_VALUE"""),FALSE)</f>
        <v>0</v>
      </c>
    </row>
    <row r="212" spans="1:41">
      <c r="A212" s="643" t="str">
        <f ca="1">IFERROR(__xludf.DUMMYFUNCTION("""COMPUTED_VALUE"""),"M: Radiant Virtue")</f>
        <v>M: Radiant Virtue</v>
      </c>
      <c r="B212" s="645" t="str">
        <f ca="1">IFERROR(__xludf.DUMMYFUNCTION("""COMPUTED_VALUE"""),"=2700")</f>
        <v>=2700</v>
      </c>
      <c r="C212" s="645" t="str">
        <f ca="1">IFERROR(__xludf.DUMMYFUNCTION("""COMPUTED_VALUE"""),"=500 + Legendary * 75")</f>
        <v>=500 + Legendary * 75</v>
      </c>
      <c r="D212" s="645"/>
      <c r="E212" s="645"/>
      <c r="F212" s="645"/>
      <c r="G212" s="647"/>
      <c r="H212" s="647"/>
      <c r="I212" s="647" t="str">
        <f ca="1">IFERROR(__xludf.DUMMYFUNCTION("""COMPUTED_VALUE"""),"=40")</f>
        <v>=40</v>
      </c>
      <c r="J212" s="647" t="str">
        <f ca="1">IFERROR(__xludf.DUMMYFUNCTION("""COMPUTED_VALUE"""),"=40")</f>
        <v>=40</v>
      </c>
      <c r="K212" s="78"/>
      <c r="L212" s="76"/>
      <c r="M212" s="150" t="str">
        <f ca="1">IFERROR(__xludf.DUMMYFUNCTION("""COMPUTED_VALUE"""),"=15")</f>
        <v>=15</v>
      </c>
      <c r="N212" s="150"/>
      <c r="O212" s="150"/>
      <c r="P212" s="150"/>
      <c r="Q212" s="150"/>
      <c r="R212" s="150"/>
      <c r="S212" s="150"/>
      <c r="T212" s="150"/>
      <c r="U212" s="150"/>
      <c r="V212" s="150"/>
      <c r="W212" s="150"/>
      <c r="X212" s="150"/>
      <c r="Y212" s="150"/>
      <c r="Z212" s="150"/>
      <c r="AA212" s="150"/>
      <c r="AB212" s="150"/>
      <c r="AC212" s="150"/>
      <c r="AD212" s="150"/>
      <c r="AE212" s="150"/>
      <c r="AF212" s="150"/>
      <c r="AG212" s="150"/>
      <c r="AH212" s="150"/>
      <c r="AI212" s="150" t="str">
        <f ca="1">IFERROR(__xludf.DUMMYFUNCTION("""COMPUTED_VALUE"""),"=IF($AO$2=1;COUNTIF(Interface!$C$22:$C$27;$A212);0)")</f>
        <v>=IF($AO$2=1;COUNTIF(Interface!$C$22:$C$27;$A212);0)</v>
      </c>
      <c r="AJ212" s="150" t="str">
        <f ca="1">IFERROR(__xludf.DUMMYFUNCTION("""COMPUTED_VALUE"""),"=IF($AO$2=2;COUNTIF(Interface!$C$30:$C$35;$A212);0)")</f>
        <v>=IF($AO$2=2;COUNTIF(Interface!$C$30:$C$35;$A212);0)</v>
      </c>
      <c r="AK212" s="150"/>
      <c r="AL212" s="150"/>
      <c r="AM212" s="150" t="str">
        <f ca="1">IFERROR(__xludf.DUMMYFUNCTION("""COMPUTED_VALUE"""),"=COUNTIF(Interface!$O$18:$O$23;$A212)")</f>
        <v>=COUNTIF(Interface!$O$18:$O$23;$A212)</v>
      </c>
      <c r="AN212" s="150" t="str">
        <f ca="1">IFERROR(__xludf.DUMMYFUNCTION("""COMPUTED_VALUE"""),"=Image(""https://ddragon.leagueoflegends.com/cdn/12.22.1/img/item/6667.png"")")</f>
        <v>=Image("https://ddragon.leagueoflegends.com/cdn/12.22.1/img/item/6667.png")</v>
      </c>
      <c r="AO212" s="150" t="b">
        <f ca="1">IFERROR(__xludf.DUMMYFUNCTION("""COMPUTED_VALUE"""),FALSE)</f>
        <v>0</v>
      </c>
    </row>
    <row r="213" spans="1:41">
      <c r="A213" s="643" t="str">
        <f ca="1">IFERROR(__xludf.DUMMYFUNCTION("""COMPUTED_VALUE"""),"M: Riftmaker")</f>
        <v>M: Riftmaker</v>
      </c>
      <c r="B213" s="645" t="str">
        <f ca="1">IFERROR(__xludf.DUMMYFUNCTION("""COMPUTED_VALUE"""),"=3200")</f>
        <v>=3200</v>
      </c>
      <c r="C213" s="645" t="str">
        <f ca="1">IFERROR(__xludf.DUMMYFUNCTION("""COMPUTED_VALUE"""),"=450")</f>
        <v>=450</v>
      </c>
      <c r="D213" s="645"/>
      <c r="E213" s="645"/>
      <c r="F213" s="645"/>
      <c r="G213" s="647"/>
      <c r="H213" s="647" t="str">
        <f ca="1">IFERROR(__xludf.DUMMYFUNCTION("""COMPUTED_VALUE"""),"=90+8*Legendary")</f>
        <v>=90+8*Legendary</v>
      </c>
      <c r="I213" s="647"/>
      <c r="J213" s="647"/>
      <c r="K213" s="78"/>
      <c r="L213" s="76"/>
      <c r="M213" s="150" t="str">
        <f ca="1">IFERROR(__xludf.DUMMYFUNCTION("""COMPUTED_VALUE"""),"=20")</f>
        <v>=20</v>
      </c>
      <c r="N213" s="150" t="str">
        <f ca="1">IFERROR(__xludf.DUMMYFUNCTION("""COMPUTED_VALUE"""),"=8 + 2 * Legendary")</f>
        <v>=8 + 2 * Legendary</v>
      </c>
      <c r="O213" s="150"/>
      <c r="P213" s="150"/>
      <c r="Q213" s="150"/>
      <c r="R213" s="150"/>
      <c r="S213" s="150"/>
      <c r="T213" s="150"/>
      <c r="U213" s="150"/>
      <c r="V213" s="150"/>
      <c r="W213" s="150"/>
      <c r="X213" s="150"/>
      <c r="Y213" s="150"/>
      <c r="Z213" s="150"/>
      <c r="AA213" s="150"/>
      <c r="AB213" s="150" t="str">
        <f ca="1">IFERROR(__xludf.DUMMYFUNCTION("""COMPUTED_VALUE"""),"=8 + 2 * Legendary")</f>
        <v>=8 + 2 * Legendary</v>
      </c>
      <c r="AC213" s="150"/>
      <c r="AD213" s="150"/>
      <c r="AE213" s="150"/>
      <c r="AF213" s="150"/>
      <c r="AG213" s="150"/>
      <c r="AH213" s="150"/>
      <c r="AI213" s="150" t="str">
        <f ca="1">IFERROR(__xludf.DUMMYFUNCTION("""COMPUTED_VALUE"""),"=IF($AO$2=1;COUNTIF(Interface!$C$22:$C$27;$A213);0)")</f>
        <v>=IF($AO$2=1;COUNTIF(Interface!$C$22:$C$27;$A213);0)</v>
      </c>
      <c r="AJ213" s="150" t="str">
        <f ca="1">IFERROR(__xludf.DUMMYFUNCTION("""COMPUTED_VALUE"""),"=IF($AO$2=2;COUNTIF(Interface!$C$30:$C$35;$A213);0)")</f>
        <v>=IF($AO$2=2;COUNTIF(Interface!$C$30:$C$35;$A213);0)</v>
      </c>
      <c r="AK213" s="150"/>
      <c r="AL213" s="150"/>
      <c r="AM213" s="150" t="str">
        <f ca="1">IFERROR(__xludf.DUMMYFUNCTION("""COMPUTED_VALUE"""),"=COUNTIF(Interface!$O$18:$O$23;$A213)")</f>
        <v>=COUNTIF(Interface!$O$18:$O$23;$A213)</v>
      </c>
      <c r="AN213" s="150" t="str">
        <f ca="1">IFERROR(__xludf.DUMMYFUNCTION("""COMPUTED_VALUE"""),"=Image(""https://ddragon.leagueoflegends.com/cdn/12.22.1/img/item/4633.png"")")</f>
        <v>=Image("https://ddragon.leagueoflegends.com/cdn/12.22.1/img/item/4633.png")</v>
      </c>
      <c r="AO213" s="150" t="b">
        <f ca="1">IFERROR(__xludf.DUMMYFUNCTION("""COMPUTED_VALUE"""),FALSE)</f>
        <v>0</v>
      </c>
    </row>
    <row r="214" spans="1:41">
      <c r="A214" s="643" t="str">
        <f ca="1">IFERROR(__xludf.DUMMYFUNCTION("""COMPUTED_VALUE"""),"M: Rod Of Ages")</f>
        <v>M: Rod Of Ages</v>
      </c>
      <c r="B214" s="645" t="str">
        <f ca="1">IFERROR(__xludf.DUMMYFUNCTION("""COMPUTED_VALUE"""),"=2800")</f>
        <v>=2800</v>
      </c>
      <c r="C214" s="645" t="str">
        <f ca="1">IFERROR(__xludf.DUMMYFUNCTION("""COMPUTED_VALUE"""),"=550 + IF(Steroid_Items; 200; 0)")</f>
        <v>=550 + IF(Steroid_Items; 200; 0)</v>
      </c>
      <c r="D214" s="645"/>
      <c r="E214" s="645" t="str">
        <f ca="1">IFERROR(__xludf.DUMMYFUNCTION("""COMPUTED_VALUE"""),"=550 + IF(Steroid_Items; 200; 0)")</f>
        <v>=550 + IF(Steroid_Items; 200; 0)</v>
      </c>
      <c r="F214" s="645"/>
      <c r="G214" s="647"/>
      <c r="H214" s="647" t="str">
        <f ca="1">IFERROR(__xludf.DUMMYFUNCTION("""COMPUTED_VALUE"""),"=80 + IF(Steroid_Items; 40; 0)")</f>
        <v>=80 + IF(Steroid_Items; 40; 0)</v>
      </c>
      <c r="I214" s="647"/>
      <c r="J214" s="647"/>
      <c r="K214" s="78"/>
      <c r="L214" s="76"/>
      <c r="M214" s="150" t="str">
        <f ca="1">IFERROR(__xludf.DUMMYFUNCTION("""COMPUTED_VALUE"""),"=5 * Legendary")</f>
        <v>=5 * Legendary</v>
      </c>
      <c r="N214" s="150"/>
      <c r="O214" s="150"/>
      <c r="P214" s="150"/>
      <c r="Q214" s="150"/>
      <c r="R214" s="150"/>
      <c r="S214" s="150"/>
      <c r="T214" s="150"/>
      <c r="U214" s="150"/>
      <c r="V214" s="150"/>
      <c r="W214" s="150"/>
      <c r="X214" s="150"/>
      <c r="Y214" s="150"/>
      <c r="Z214" s="150"/>
      <c r="AA214" s="150"/>
      <c r="AB214" s="150"/>
      <c r="AC214" s="150"/>
      <c r="AD214" s="150"/>
      <c r="AE214" s="150"/>
      <c r="AF214" s="150"/>
      <c r="AG214" s="150"/>
      <c r="AH214" s="150"/>
      <c r="AI214" s="150" t="str">
        <f ca="1">IFERROR(__xludf.DUMMYFUNCTION("""COMPUTED_VALUE"""),"=IF($AO$2=1;COUNTIF(Interface!$C$22:$C$27;$A214);0)")</f>
        <v>=IF($AO$2=1;COUNTIF(Interface!$C$22:$C$27;$A214);0)</v>
      </c>
      <c r="AJ214" s="150" t="str">
        <f ca="1">IFERROR(__xludf.DUMMYFUNCTION("""COMPUTED_VALUE"""),"=IF($AO$2=2;COUNTIF(Interface!$C$30:$C$35;$A214);0)")</f>
        <v>=IF($AO$2=2;COUNTIF(Interface!$C$30:$C$35;$A214);0)</v>
      </c>
      <c r="AK214" s="150"/>
      <c r="AL214" s="150"/>
      <c r="AM214" s="150" t="str">
        <f ca="1">IFERROR(__xludf.DUMMYFUNCTION("""COMPUTED_VALUE"""),"=COUNTIF(Interface!$O$18:$O$23;$A214)")</f>
        <v>=COUNTIF(Interface!$O$18:$O$23;$A214)</v>
      </c>
      <c r="AN214" s="150" t="str">
        <f ca="1">IFERROR(__xludf.DUMMYFUNCTION("""COMPUTED_VALUE"""),"=Image(""https://ddragon.leagueoflegends.com/cdn/12.22.1/img/item/6657.png"")")</f>
        <v>=Image("https://ddragon.leagueoflegends.com/cdn/12.22.1/img/item/6657.png")</v>
      </c>
      <c r="AO214" s="150" t="b">
        <f ca="1">IFERROR(__xludf.DUMMYFUNCTION("""COMPUTED_VALUE"""),FALSE)</f>
        <v>0</v>
      </c>
    </row>
    <row r="215" spans="1:41">
      <c r="A215" s="643" t="str">
        <f ca="1">IFERROR(__xludf.DUMMYFUNCTION("""COMPUTED_VALUE"""),"M: Shurelya's Battlesong")</f>
        <v>M: Shurelya's Battlesong</v>
      </c>
      <c r="B215" s="645" t="str">
        <f ca="1">IFERROR(__xludf.DUMMYFUNCTION("""COMPUTED_VALUE"""),"=2300")</f>
        <v>=2300</v>
      </c>
      <c r="C215" s="645" t="str">
        <f ca="1">IFERROR(__xludf.DUMMYFUNCTION("""COMPUTED_VALUE"""),"=300")</f>
        <v>=300</v>
      </c>
      <c r="D215" s="645"/>
      <c r="E215" s="645"/>
      <c r="F215" s="645" t="str">
        <f ca="1">IFERROR(__xludf.DUMMYFUNCTION("""COMPUTED_VALUE"""),"=2")</f>
        <v>=2</v>
      </c>
      <c r="G215" s="647"/>
      <c r="H215" s="647" t="str">
        <f ca="1">IFERROR(__xludf.DUMMYFUNCTION("""COMPUTED_VALUE"""),"=65")</f>
        <v>=65</v>
      </c>
      <c r="I215" s="647"/>
      <c r="J215" s="647"/>
      <c r="K215" s="78"/>
      <c r="L215" s="76"/>
      <c r="M215" s="150" t="str">
        <f ca="1">IFERROR(__xludf.DUMMYFUNCTION("""COMPUTED_VALUE"""),"=25 + 5 * Legendary")</f>
        <v>=25 + 5 * Legendary</v>
      </c>
      <c r="N215" s="150"/>
      <c r="O215" s="150"/>
      <c r="P215" s="150"/>
      <c r="Q215" s="150"/>
      <c r="R215" s="150"/>
      <c r="S215" s="150"/>
      <c r="T215" s="150"/>
      <c r="U215" s="150"/>
      <c r="V215" s="150"/>
      <c r="W215" s="150"/>
      <c r="X215" s="150"/>
      <c r="Y215" s="150"/>
      <c r="Z215" s="150"/>
      <c r="AA215" s="150"/>
      <c r="AB215" s="150"/>
      <c r="AC215" s="150"/>
      <c r="AD215" s="150"/>
      <c r="AE215" s="150"/>
      <c r="AF215" s="150"/>
      <c r="AG215" s="150"/>
      <c r="AH215" s="150"/>
      <c r="AI215" s="150" t="str">
        <f ca="1">IFERROR(__xludf.DUMMYFUNCTION("""COMPUTED_VALUE"""),"=IF($AO$2=1;COUNTIF(Interface!$C$22:$C$27;$A215);0)")</f>
        <v>=IF($AO$2=1;COUNTIF(Interface!$C$22:$C$27;$A215);0)</v>
      </c>
      <c r="AJ215" s="150" t="str">
        <f ca="1">IFERROR(__xludf.DUMMYFUNCTION("""COMPUTED_VALUE"""),"=IF($AO$2=2;COUNTIF(Interface!$C$30:$C$35;$A215);0)")</f>
        <v>=IF($AO$2=2;COUNTIF(Interface!$C$30:$C$35;$A215);0)</v>
      </c>
      <c r="AK215" s="150"/>
      <c r="AL215" s="150"/>
      <c r="AM215" s="150" t="str">
        <f ca="1">IFERROR(__xludf.DUMMYFUNCTION("""COMPUTED_VALUE"""),"=COUNTIF(Interface!$O$18:$O$23;$A215)")</f>
        <v>=COUNTIF(Interface!$O$18:$O$23;$A215)</v>
      </c>
      <c r="AN215" s="150" t="str">
        <f ca="1">IFERROR(__xludf.DUMMYFUNCTION("""COMPUTED_VALUE"""),"=Image(""https://ddragon.leagueoflegends.com/cdn/12.22.1/img/item/2065.png"")")</f>
        <v>=Image("https://ddragon.leagueoflegends.com/cdn/12.22.1/img/item/2065.png")</v>
      </c>
      <c r="AO215" s="150" t="b">
        <f ca="1">IFERROR(__xludf.DUMMYFUNCTION("""COMPUTED_VALUE"""),FALSE)</f>
        <v>0</v>
      </c>
    </row>
    <row r="216" spans="1:41">
      <c r="A216" s="643" t="str">
        <f ca="1">IFERROR(__xludf.DUMMYFUNCTION("""COMPUTED_VALUE"""),"M: Stridebreaker")</f>
        <v>M: Stridebreaker</v>
      </c>
      <c r="B216" s="645" t="str">
        <f ca="1">IFERROR(__xludf.DUMMYFUNCTION("""COMPUTED_VALUE"""),"=3300")</f>
        <v>=3300</v>
      </c>
      <c r="C216" s="645" t="str">
        <f ca="1">IFERROR(__xludf.DUMMYFUNCTION("""COMPUTED_VALUE"""),"=400")</f>
        <v>=400</v>
      </c>
      <c r="D216" s="645"/>
      <c r="E216" s="645"/>
      <c r="F216" s="645"/>
      <c r="G216" s="647" t="str">
        <f ca="1">IFERROR(__xludf.DUMMYFUNCTION("""COMPUTED_VALUE"""),"=70")</f>
        <v>=70</v>
      </c>
      <c r="H216" s="647"/>
      <c r="I216" s="647"/>
      <c r="J216" s="647"/>
      <c r="K216" s="78" t="str">
        <f ca="1">IFERROR(__xludf.DUMMYFUNCTION("""COMPUTED_VALUE"""),"=30")</f>
        <v>=30</v>
      </c>
      <c r="L216" s="76"/>
      <c r="M216" s="150" t="str">
        <f ca="1">IFERROR(__xludf.DUMMYFUNCTION("""COMPUTED_VALUE"""),"=25")</f>
        <v>=25</v>
      </c>
      <c r="N216" s="150"/>
      <c r="O216" s="150"/>
      <c r="P216" s="150"/>
      <c r="Q216" s="150"/>
      <c r="R216" s="150" t="str">
        <f ca="1">IFERROR(__xludf.DUMMYFUNCTION("""COMPUTED_VALUE"""),"=2 * Legendary")</f>
        <v>=2 * Legendary</v>
      </c>
      <c r="S216" s="150"/>
      <c r="T216" s="150"/>
      <c r="U216" s="150"/>
      <c r="V216" s="150"/>
      <c r="W216" s="150"/>
      <c r="X216" s="150"/>
      <c r="Y216" s="150"/>
      <c r="Z216" s="150"/>
      <c r="AA216" s="150"/>
      <c r="AB216" s="150"/>
      <c r="AC216" s="150"/>
      <c r="AD216" s="150"/>
      <c r="AE216" s="150" t="str">
        <f ca="1">IFERROR(__xludf.DUMMYFUNCTION("""COMPUTED_VALUE"""),"=Self_BaAD * 1,75")</f>
        <v>=Self_BaAD * 1,75</v>
      </c>
      <c r="AF216" s="150"/>
      <c r="AG216" s="150"/>
      <c r="AH216" s="150"/>
      <c r="AI216" s="150" t="str">
        <f ca="1">IFERROR(__xludf.DUMMYFUNCTION("""COMPUTED_VALUE"""),"=IF($AO$2=1;COUNTIF(Interface!$C$22:$C$27;$A216);0)")</f>
        <v>=IF($AO$2=1;COUNTIF(Interface!$C$22:$C$27;$A216);0)</v>
      </c>
      <c r="AJ216" s="150" t="str">
        <f ca="1">IFERROR(__xludf.DUMMYFUNCTION("""COMPUTED_VALUE"""),"=IF($AO$2=2;COUNTIF(Interface!$C$30:$C$35;$A216);0)")</f>
        <v>=IF($AO$2=2;COUNTIF(Interface!$C$30:$C$35;$A216);0)</v>
      </c>
      <c r="AK216" s="150"/>
      <c r="AL216" s="150"/>
      <c r="AM216" s="150" t="str">
        <f ca="1">IFERROR(__xludf.DUMMYFUNCTION("""COMPUTED_VALUE"""),"=COUNTIF(Interface!$O$18:$O$23;$A216)")</f>
        <v>=COUNTIF(Interface!$O$18:$O$23;$A216)</v>
      </c>
      <c r="AN216" s="150" t="str">
        <f ca="1">IFERROR(__xludf.DUMMYFUNCTION("""COMPUTED_VALUE"""),"=Image(""https://ddragon.leagueoflegends.com/cdn/12.22.1/img/item/6631.png"")")</f>
        <v>=Image("https://ddragon.leagueoflegends.com/cdn/12.22.1/img/item/6631.png")</v>
      </c>
      <c r="AO216" s="150" t="b">
        <f ca="1">IFERROR(__xludf.DUMMYFUNCTION("""COMPUTED_VALUE"""),FALSE)</f>
        <v>0</v>
      </c>
    </row>
    <row r="217" spans="1:41">
      <c r="A217" s="643" t="str">
        <f ca="1">IFERROR(__xludf.DUMMYFUNCTION("""COMPUTED_VALUE"""),"M: Trinity Force")</f>
        <v>M: Trinity Force</v>
      </c>
      <c r="B217" s="645" t="str">
        <f ca="1">IFERROR(__xludf.DUMMYFUNCTION("""COMPUTED_VALUE"""),"=3333")</f>
        <v>=3333</v>
      </c>
      <c r="C217" s="645" t="str">
        <f ca="1">IFERROR(__xludf.DUMMYFUNCTION("""COMPUTED_VALUE"""),"=400")</f>
        <v>=400</v>
      </c>
      <c r="D217" s="645"/>
      <c r="E217" s="645"/>
      <c r="F217" s="645"/>
      <c r="G217" s="647" t="str">
        <f ca="1">IFERROR(__xludf.DUMMYFUNCTION("""COMPUTED_VALUE"""),"=50 + 3 * Legendary")</f>
        <v>=50 + 3 * Legendary</v>
      </c>
      <c r="H217" s="647"/>
      <c r="I217" s="647"/>
      <c r="J217" s="647"/>
      <c r="K217" s="78" t="str">
        <f ca="1">IFERROR(__xludf.DUMMYFUNCTION("""COMPUTED_VALUE"""),"=45")</f>
        <v>=45</v>
      </c>
      <c r="L217" s="76"/>
      <c r="M217" s="150" t="str">
        <f ca="1">IFERROR(__xludf.DUMMYFUNCTION("""COMPUTED_VALUE"""),"=25 + 3 * Legendary")</f>
        <v>=25 + 3 * Legendary</v>
      </c>
      <c r="N217" s="150"/>
      <c r="O217" s="150"/>
      <c r="P217" s="150"/>
      <c r="Q217" s="150"/>
      <c r="R217" s="150"/>
      <c r="S217" s="150"/>
      <c r="T217" s="150"/>
      <c r="U217" s="150"/>
      <c r="V217" s="150"/>
      <c r="W217" s="150"/>
      <c r="X217" s="150" t="str">
        <f ca="1">IFERROR(__xludf.DUMMYFUNCTION("""COMPUTED_VALUE"""),"=2*Self_BaAD*MOD_Phys")</f>
        <v>=2*Self_BaAD*MOD_Phys</v>
      </c>
      <c r="Y217" s="150"/>
      <c r="Z217" s="150"/>
      <c r="AA217" s="150"/>
      <c r="AB217" s="150"/>
      <c r="AC217" s="150"/>
      <c r="AD217" s="150"/>
      <c r="AE217" s="150"/>
      <c r="AF217" s="150"/>
      <c r="AG217" s="150" t="str">
        <f ca="1">IFERROR(__xludf.DUMMYFUNCTION("""COMPUTED_VALUE"""),"=3 * Legendary")</f>
        <v>=3 * Legendary</v>
      </c>
      <c r="AH217" s="150"/>
      <c r="AI217" s="150" t="str">
        <f ca="1">IFERROR(__xludf.DUMMYFUNCTION("""COMPUTED_VALUE"""),"=IF($AO$2=1;COUNTIF(Interface!$C$22:$C$27;$A217);0)")</f>
        <v>=IF($AO$2=1;COUNTIF(Interface!$C$22:$C$27;$A217);0)</v>
      </c>
      <c r="AJ217" s="150" t="str">
        <f ca="1">IFERROR(__xludf.DUMMYFUNCTION("""COMPUTED_VALUE"""),"=IF($AO$2=2;COUNTIF(Interface!$C$30:$C$35;$A217);0)")</f>
        <v>=IF($AO$2=2;COUNTIF(Interface!$C$30:$C$35;$A217);0)</v>
      </c>
      <c r="AK217" s="150"/>
      <c r="AL217" s="150"/>
      <c r="AM217" s="150" t="str">
        <f ca="1">IFERROR(__xludf.DUMMYFUNCTION("""COMPUTED_VALUE"""),"=COUNTIF(Interface!$O$18:$O$23;$A217)")</f>
        <v>=COUNTIF(Interface!$O$18:$O$23;$A217)</v>
      </c>
      <c r="AN217" s="150" t="str">
        <f ca="1">IFERROR(__xludf.DUMMYFUNCTION("""COMPUTED_VALUE"""),"=Image(""https://ddragon.leagueoflegends.com/cdn/12.22.1/img/item/3078.png"")")</f>
        <v>=Image("https://ddragon.leagueoflegends.com/cdn/12.22.1/img/item/3078.png")</v>
      </c>
      <c r="AO217" s="150" t="b">
        <f ca="1">IFERROR(__xludf.DUMMYFUNCTION("""COMPUTED_VALUE"""),FALSE)</f>
        <v>0</v>
      </c>
    </row>
    <row r="218" spans="1:41">
      <c r="A218" s="643" t="str">
        <f ca="1">IFERROR(__xludf.DUMMYFUNCTION("""COMPUTED_VALUE"""),"M: Youmuu's Ghostblade")</f>
        <v>M: Youmuu's Ghostblade</v>
      </c>
      <c r="B218" s="645" t="str">
        <f ca="1">IFERROR(__xludf.DUMMYFUNCTION("""COMPUTED_VALUE"""),"=3100")</f>
        <v>=3100</v>
      </c>
      <c r="C218" s="645"/>
      <c r="D218" s="645"/>
      <c r="E218" s="645"/>
      <c r="F218" s="645"/>
      <c r="G218" s="647" t="str">
        <f ca="1">IFERROR(__xludf.DUMMYFUNCTION("""COMPUTED_VALUE"""),"=75 + 7 * Legendary")</f>
        <v>=75 + 7 * Legendary</v>
      </c>
      <c r="H218" s="647"/>
      <c r="I218" s="647"/>
      <c r="J218" s="647"/>
      <c r="K218" s="78"/>
      <c r="L218" s="76"/>
      <c r="M218" s="150" t="str">
        <f ca="1">IFERROR(__xludf.DUMMYFUNCTION("""COMPUTED_VALUE"""),"=20")</f>
        <v>=20</v>
      </c>
      <c r="N218" s="150"/>
      <c r="O218" s="150" t="str">
        <f ca="1">IFERROR(__xludf.DUMMYFUNCTION("""COMPUTED_VALUE"""),"=26 + IF(Steroid_Items;3 + 9 * Sc_Lin)")</f>
        <v>=26 + IF(Steroid_Items;3 + 9 * Sc_Lin)</v>
      </c>
      <c r="P218" s="150"/>
      <c r="Q218" s="150"/>
      <c r="R218" s="150"/>
      <c r="S218" s="150"/>
      <c r="T218" s="150"/>
      <c r="U218" s="150"/>
      <c r="V218" s="150"/>
      <c r="W218" s="150"/>
      <c r="X218" s="150"/>
      <c r="Y218" s="150"/>
      <c r="Z218" s="150"/>
      <c r="AA218" s="150"/>
      <c r="AB218" s="150"/>
      <c r="AC218" s="150"/>
      <c r="AD218" s="150"/>
      <c r="AE218" s="150"/>
      <c r="AF218" s="150"/>
      <c r="AG218" s="150" t="str">
        <f ca="1">IFERROR(__xludf.DUMMYFUNCTION("""COMPUTED_VALUE"""),"=40")</f>
        <v>=40</v>
      </c>
      <c r="AH218" s="150"/>
      <c r="AI218" s="150" t="str">
        <f ca="1">IFERROR(__xludf.DUMMYFUNCTION("""COMPUTED_VALUE"""),"=IF($AO$2=1;COUNTIF(Interface!$C$22:$C$27;$A218);0)")</f>
        <v>=IF($AO$2=1;COUNTIF(Interface!$C$22:$C$27;$A218);0)</v>
      </c>
      <c r="AJ218" s="150" t="str">
        <f ca="1">IFERROR(__xludf.DUMMYFUNCTION("""COMPUTED_VALUE"""),"=IF($AO$2=2;COUNTIF(Interface!$C$30:$C$35;$A218);0)")</f>
        <v>=IF($AO$2=2;COUNTIF(Interface!$C$30:$C$35;$A218);0)</v>
      </c>
      <c r="AK218" s="150"/>
      <c r="AL218" s="150"/>
      <c r="AM218" s="150" t="str">
        <f ca="1">IFERROR(__xludf.DUMMYFUNCTION("""COMPUTED_VALUE"""),"=COUNTIF(Interface!$O$18:$O$23;$A218)")</f>
        <v>=COUNTIF(Interface!$O$18:$O$23;$A218)</v>
      </c>
      <c r="AN218" s="150" t="str">
        <f ca="1">IFERROR(__xludf.DUMMYFUNCTION("""COMPUTED_VALUE"""),"=Image(""https://ddragon.leagueoflegends.com/cdn/12.22.1/img/item/3142.png"")")</f>
        <v>=Image("https://ddragon.leagueoflegends.com/cdn/12.22.1/img/item/3142.png")</v>
      </c>
      <c r="AO218" s="150" t="b">
        <f ca="1">IFERROR(__xludf.DUMMYFUNCTION("""COMPUTED_VALUE"""),FALSE)</f>
        <v>0</v>
      </c>
    </row>
    <row r="219" spans="1:41">
      <c r="A219" s="643"/>
      <c r="B219" s="645"/>
      <c r="C219" s="645"/>
      <c r="D219" s="645"/>
      <c r="E219" s="645"/>
      <c r="F219" s="645"/>
      <c r="G219" s="647"/>
      <c r="H219" s="647"/>
      <c r="I219" s="647"/>
      <c r="J219" s="647"/>
      <c r="K219" s="78"/>
      <c r="L219" s="76"/>
      <c r="M219" s="150"/>
      <c r="N219" s="150"/>
      <c r="O219" s="150"/>
      <c r="P219" s="150"/>
      <c r="Q219" s="150"/>
      <c r="R219" s="150"/>
      <c r="S219" s="150"/>
      <c r="T219" s="150"/>
      <c r="U219" s="150"/>
      <c r="V219" s="150"/>
      <c r="W219" s="150"/>
      <c r="X219" s="150"/>
      <c r="Y219" s="150"/>
      <c r="Z219" s="150"/>
      <c r="AA219" s="150"/>
      <c r="AB219" s="150"/>
      <c r="AC219" s="150"/>
      <c r="AD219" s="150"/>
      <c r="AE219" s="150"/>
      <c r="AF219" s="150"/>
      <c r="AG219" s="150"/>
      <c r="AH219" s="150"/>
      <c r="AI219" s="150"/>
      <c r="AJ219" s="150"/>
      <c r="AK219" s="150"/>
      <c r="AL219" s="150"/>
      <c r="AM219" s="150"/>
      <c r="AN219" s="150"/>
      <c r="AO219" s="150"/>
    </row>
    <row r="220" spans="1:41">
      <c r="A220" s="643"/>
      <c r="B220" s="645"/>
      <c r="C220" s="645"/>
      <c r="D220" s="645"/>
      <c r="E220" s="645"/>
      <c r="F220" s="645"/>
      <c r="G220" s="647"/>
      <c r="H220" s="647"/>
      <c r="I220" s="647"/>
      <c r="J220" s="647"/>
      <c r="K220" s="78"/>
      <c r="L220" s="76"/>
      <c r="M220" s="150"/>
      <c r="N220" s="150"/>
      <c r="O220" s="150"/>
      <c r="P220" s="150"/>
      <c r="Q220" s="150"/>
      <c r="R220" s="150"/>
      <c r="S220" s="150"/>
      <c r="T220" s="150"/>
      <c r="U220" s="150"/>
      <c r="V220" s="150"/>
      <c r="W220" s="150"/>
      <c r="X220" s="150"/>
      <c r="Y220" s="150"/>
      <c r="Z220" s="150"/>
      <c r="AA220" s="150"/>
      <c r="AB220" s="150"/>
      <c r="AC220" s="150"/>
      <c r="AD220" s="150"/>
      <c r="AE220" s="150"/>
      <c r="AF220" s="150"/>
      <c r="AG220" s="150"/>
      <c r="AH220" s="150"/>
      <c r="AI220" s="150"/>
      <c r="AJ220" s="150"/>
      <c r="AK220" s="150"/>
      <c r="AL220" s="150"/>
      <c r="AM220" s="150"/>
      <c r="AN220" s="150"/>
      <c r="AO220" s="150"/>
    </row>
    <row r="221" spans="1:41">
      <c r="A221" s="643" t="str">
        <f ca="1">IFERROR(__xludf.DUMMYFUNCTION("""COMPUTED_VALUE"""),"-Elixir-")</f>
        <v>-Elixir-</v>
      </c>
      <c r="B221" s="645"/>
      <c r="C221" s="645"/>
      <c r="D221" s="645"/>
      <c r="E221" s="645"/>
      <c r="F221" s="645"/>
      <c r="G221" s="647"/>
      <c r="H221" s="647"/>
      <c r="I221" s="647"/>
      <c r="J221" s="647"/>
      <c r="K221" s="78"/>
      <c r="L221" s="76"/>
      <c r="M221" s="150"/>
      <c r="N221" s="150"/>
      <c r="O221" s="150"/>
      <c r="P221" s="150"/>
      <c r="Q221" s="150"/>
      <c r="R221" s="150"/>
      <c r="S221" s="150"/>
      <c r="T221" s="150"/>
      <c r="U221" s="150"/>
      <c r="V221" s="150"/>
      <c r="W221" s="150"/>
      <c r="X221" s="150"/>
      <c r="Y221" s="150"/>
      <c r="Z221" s="150"/>
      <c r="AA221" s="150"/>
      <c r="AB221" s="150"/>
      <c r="AC221" s="150"/>
      <c r="AD221" s="150"/>
      <c r="AE221" s="150"/>
      <c r="AF221" s="150"/>
      <c r="AG221" s="150"/>
      <c r="AH221" s="150"/>
      <c r="AI221" s="150"/>
      <c r="AJ221" s="150"/>
      <c r="AK221" s="150"/>
      <c r="AL221" s="150"/>
      <c r="AM221" s="150"/>
      <c r="AN221" s="150" t="str">
        <f ca="1">IFERROR(__xludf.DUMMYFUNCTION("""COMPUTED_VALUE"""),"=IMAGE(""https://puu.sh/I6Yf5/3e90b34ed8.png"")")</f>
        <v>=IMAGE("https://puu.sh/I6Yf5/3e90b34ed8.png")</v>
      </c>
      <c r="AO221" s="150"/>
    </row>
    <row r="222" spans="1:41">
      <c r="A222" s="643" t="str">
        <f ca="1">IFERROR(__xludf.DUMMYFUNCTION("""COMPUTED_VALUE"""),"Elixir of Iron")</f>
        <v>Elixir of Iron</v>
      </c>
      <c r="B222" s="645" t="str">
        <f ca="1">IFERROR(__xludf.DUMMYFUNCTION("""COMPUTED_VALUE"""),"=500")</f>
        <v>=500</v>
      </c>
      <c r="C222" s="645" t="str">
        <f ca="1">IFERROR(__xludf.DUMMYFUNCTION("""COMPUTED_VALUE"""),"=300")</f>
        <v>=300</v>
      </c>
      <c r="D222" s="645"/>
      <c r="E222" s="645"/>
      <c r="F222" s="645"/>
      <c r="G222" s="647"/>
      <c r="H222" s="647"/>
      <c r="I222" s="647"/>
      <c r="J222" s="647"/>
      <c r="K222" s="78"/>
      <c r="L222" s="76"/>
      <c r="M222" s="150"/>
      <c r="N222" s="150"/>
      <c r="O222" s="150"/>
      <c r="P222" s="150"/>
      <c r="Q222" s="150"/>
      <c r="R222" s="150"/>
      <c r="S222" s="150"/>
      <c r="T222" s="150"/>
      <c r="U222" s="150"/>
      <c r="V222" s="150"/>
      <c r="W222" s="150"/>
      <c r="X222" s="150"/>
      <c r="Y222" s="150"/>
      <c r="Z222" s="150"/>
      <c r="AA222" s="150"/>
      <c r="AB222" s="150"/>
      <c r="AC222" s="150"/>
      <c r="AD222" s="150"/>
      <c r="AE222" s="150"/>
      <c r="AF222" s="150" t="str">
        <f ca="1">IFERROR(__xludf.DUMMYFUNCTION("""COMPUTED_VALUE"""),"=25")</f>
        <v>=25</v>
      </c>
      <c r="AG222" s="150"/>
      <c r="AH222" s="150"/>
      <c r="AI222" s="150" t="str">
        <f ca="1">IFERROR(__xludf.DUMMYFUNCTION("""COMPUTED_VALUE"""),"=IF($AO$2=1;COUNTIF(Interface!$C$22:$C$28;$A222);0)")</f>
        <v>=IF($AO$2=1;COUNTIF(Interface!$C$22:$C$28;$A222);0)</v>
      </c>
      <c r="AJ222" s="150" t="str">
        <f ca="1">IFERROR(__xludf.DUMMYFUNCTION("""COMPUTED_VALUE"""),"=IF($AO$2=2;COUNTIF(Interface!$C$30:$C$36;$A222);0)")</f>
        <v>=IF($AO$2=2;COUNTIF(Interface!$C$30:$C$36;$A222);0)</v>
      </c>
      <c r="AK222" s="150"/>
      <c r="AL222" s="150"/>
      <c r="AM222" s="150" t="str">
        <f ca="1">IFERROR(__xludf.DUMMYFUNCTION("""COMPUTED_VALUE"""),"=COUNTIF(Interface!$O$18:$O$23;$A222)")</f>
        <v>=COUNTIF(Interface!$O$18:$O$23;$A222)</v>
      </c>
      <c r="AN222" s="150" t="str">
        <f ca="1">IFERROR(__xludf.DUMMYFUNCTION("""COMPUTED_VALUE"""),"=Image(""https://ddragon.leagueoflegends.com/cdn/12.22.1/img/item/2138.png"")")</f>
        <v>=Image("https://ddragon.leagueoflegends.com/cdn/12.22.1/img/item/2138.png")</v>
      </c>
      <c r="AO222" s="150" t="b">
        <f ca="1">IFERROR(__xludf.DUMMYFUNCTION("""COMPUTED_VALUE"""),FALSE)</f>
        <v>0</v>
      </c>
    </row>
    <row r="223" spans="1:41">
      <c r="A223" s="643" t="str">
        <f ca="1">IFERROR(__xludf.DUMMYFUNCTION("""COMPUTED_VALUE"""),"Elixir of Sorcery")</f>
        <v>Elixir of Sorcery</v>
      </c>
      <c r="B223" s="645" t="str">
        <f ca="1">IFERROR(__xludf.DUMMYFUNCTION("""COMPUTED_VALUE"""),"=500")</f>
        <v>=500</v>
      </c>
      <c r="C223" s="645"/>
      <c r="D223" s="645"/>
      <c r="E223" s="645"/>
      <c r="F223" s="645"/>
      <c r="G223" s="647"/>
      <c r="H223" s="647" t="str">
        <f ca="1">IFERROR(__xludf.DUMMYFUNCTION("""COMPUTED_VALUE"""),"=50")</f>
        <v>=50</v>
      </c>
      <c r="I223" s="647"/>
      <c r="J223" s="647"/>
      <c r="K223" s="78"/>
      <c r="L223" s="76"/>
      <c r="M223" s="150"/>
      <c r="N223" s="150"/>
      <c r="O223" s="150"/>
      <c r="P223" s="150"/>
      <c r="Q223" s="150"/>
      <c r="R223" s="150"/>
      <c r="S223" s="150"/>
      <c r="T223" s="150"/>
      <c r="U223" s="150"/>
      <c r="V223" s="150"/>
      <c r="W223" s="150"/>
      <c r="X223" s="150"/>
      <c r="Y223" s="150"/>
      <c r="Z223" s="150"/>
      <c r="AA223" s="150"/>
      <c r="AB223" s="150"/>
      <c r="AC223" s="150"/>
      <c r="AD223" s="150"/>
      <c r="AE223" s="150"/>
      <c r="AF223" s="150"/>
      <c r="AG223" s="150"/>
      <c r="AH223" s="150"/>
      <c r="AI223" s="150" t="str">
        <f ca="1">IFERROR(__xludf.DUMMYFUNCTION("""COMPUTED_VALUE"""),"=IF($AO$2=1;COUNTIF(Interface!$C$22:$C$28;$A223);0)")</f>
        <v>=IF($AO$2=1;COUNTIF(Interface!$C$22:$C$28;$A223);0)</v>
      </c>
      <c r="AJ223" s="150" t="str">
        <f ca="1">IFERROR(__xludf.DUMMYFUNCTION("""COMPUTED_VALUE"""),"=IF($AO$2=2;COUNTIF(Interface!$C$30:$C$36;$A223);0)")</f>
        <v>=IF($AO$2=2;COUNTIF(Interface!$C$30:$C$36;$A223);0)</v>
      </c>
      <c r="AK223" s="150"/>
      <c r="AL223" s="150"/>
      <c r="AM223" s="150" t="str">
        <f ca="1">IFERROR(__xludf.DUMMYFUNCTION("""COMPUTED_VALUE"""),"=COUNTIF(Interface!$O$18:$O$23;$A223)")</f>
        <v>=COUNTIF(Interface!$O$18:$O$23;$A223)</v>
      </c>
      <c r="AN223" s="150" t="str">
        <f ca="1">IFERROR(__xludf.DUMMYFUNCTION("""COMPUTED_VALUE"""),"=Image(""https://ddragon.leagueoflegends.com/cdn/12.22.1/img/item/2139.png"")")</f>
        <v>=Image("https://ddragon.leagueoflegends.com/cdn/12.22.1/img/item/2139.png")</v>
      </c>
      <c r="AO223" s="150" t="b">
        <f ca="1">IFERROR(__xludf.DUMMYFUNCTION("""COMPUTED_VALUE"""),FALSE)</f>
        <v>0</v>
      </c>
    </row>
    <row r="224" spans="1:41">
      <c r="A224" s="643" t="str">
        <f ca="1">IFERROR(__xludf.DUMMYFUNCTION("""COMPUTED_VALUE"""),"Elixir of Wrath")</f>
        <v>Elixir of Wrath</v>
      </c>
      <c r="B224" s="645" t="str">
        <f ca="1">IFERROR(__xludf.DUMMYFUNCTION("""COMPUTED_VALUE"""),"=500")</f>
        <v>=500</v>
      </c>
      <c r="C224" s="645"/>
      <c r="D224" s="645"/>
      <c r="E224" s="645"/>
      <c r="F224" s="645"/>
      <c r="G224" s="647" t="str">
        <f ca="1">IFERROR(__xludf.DUMMYFUNCTION("""COMPUTED_VALUE"""),"=30")</f>
        <v>=30</v>
      </c>
      <c r="H224" s="647"/>
      <c r="I224" s="647"/>
      <c r="J224" s="647"/>
      <c r="K224" s="78"/>
      <c r="L224" s="76"/>
      <c r="M224" s="150"/>
      <c r="N224" s="150" t="str">
        <f ca="1">IFERROR(__xludf.DUMMYFUNCTION("""COMPUTED_VALUE"""),"=12")</f>
        <v>=12</v>
      </c>
      <c r="O224" s="150"/>
      <c r="P224" s="150"/>
      <c r="Q224" s="150"/>
      <c r="R224" s="150"/>
      <c r="S224" s="150"/>
      <c r="T224" s="150"/>
      <c r="U224" s="150"/>
      <c r="V224" s="150"/>
      <c r="W224" s="150"/>
      <c r="X224" s="150"/>
      <c r="Y224" s="150"/>
      <c r="Z224" s="150"/>
      <c r="AA224" s="150"/>
      <c r="AB224" s="150" t="str">
        <f ca="1">IFERROR(__xludf.DUMMYFUNCTION("""COMPUTED_VALUE"""),"=12")</f>
        <v>=12</v>
      </c>
      <c r="AC224" s="150"/>
      <c r="AD224" s="150"/>
      <c r="AE224" s="150"/>
      <c r="AF224" s="150"/>
      <c r="AG224" s="150"/>
      <c r="AH224" s="150"/>
      <c r="AI224" s="150" t="str">
        <f ca="1">IFERROR(__xludf.DUMMYFUNCTION("""COMPUTED_VALUE"""),"=IF($AO$2=1;COUNTIF(Interface!$C$22:$C$28;$A224);0)")</f>
        <v>=IF($AO$2=1;COUNTIF(Interface!$C$22:$C$28;$A224);0)</v>
      </c>
      <c r="AJ224" s="150" t="str">
        <f ca="1">IFERROR(__xludf.DUMMYFUNCTION("""COMPUTED_VALUE"""),"=IF($AO$2=2;COUNTIF(Interface!$C$30:$C$36;$A224);0)")</f>
        <v>=IF($AO$2=2;COUNTIF(Interface!$C$30:$C$36;$A224);0)</v>
      </c>
      <c r="AK224" s="150"/>
      <c r="AL224" s="150"/>
      <c r="AM224" s="150" t="str">
        <f ca="1">IFERROR(__xludf.DUMMYFUNCTION("""COMPUTED_VALUE"""),"=COUNTIF(Interface!$O$18:$O$23;$A224)")</f>
        <v>=COUNTIF(Interface!$O$18:$O$23;$A224)</v>
      </c>
      <c r="AN224" s="150" t="str">
        <f ca="1">IFERROR(__xludf.DUMMYFUNCTION("""COMPUTED_VALUE"""),"=Image(""https://ddragon.leagueoflegends.com/cdn/12.22.1/img/item/2140.png"")")</f>
        <v>=Image("https://ddragon.leagueoflegends.com/cdn/12.22.1/img/item/2140.png")</v>
      </c>
      <c r="AO224" s="150" t="b">
        <f ca="1">IFERROR(__xludf.DUMMYFUNCTION("""COMPUTED_VALUE"""),FALSE)</f>
        <v>0</v>
      </c>
    </row>
    <row r="225" spans="1:41">
      <c r="A225" s="643"/>
      <c r="B225" s="645"/>
      <c r="C225" s="645"/>
      <c r="D225" s="645"/>
      <c r="E225" s="645"/>
      <c r="F225" s="645"/>
      <c r="G225" s="647"/>
      <c r="H225" s="647"/>
      <c r="I225" s="647"/>
      <c r="J225" s="647"/>
      <c r="K225" s="78"/>
      <c r="L225" s="76"/>
      <c r="M225" s="150"/>
      <c r="N225" s="150"/>
      <c r="O225" s="150"/>
      <c r="P225" s="150"/>
      <c r="Q225" s="150"/>
      <c r="R225" s="150"/>
      <c r="S225" s="150"/>
      <c r="T225" s="150"/>
      <c r="U225" s="150"/>
      <c r="V225" s="150"/>
      <c r="W225" s="150"/>
      <c r="X225" s="150"/>
      <c r="Y225" s="150"/>
      <c r="Z225" s="150"/>
      <c r="AA225" s="150"/>
      <c r="AB225" s="150"/>
      <c r="AC225" s="150"/>
      <c r="AD225" s="150"/>
      <c r="AE225" s="150"/>
      <c r="AF225" s="150"/>
      <c r="AG225" s="150"/>
      <c r="AH225" s="150"/>
      <c r="AI225" s="150"/>
      <c r="AJ225" s="150"/>
      <c r="AK225" s="150"/>
      <c r="AL225" s="150"/>
      <c r="AM225" s="150"/>
      <c r="AN225" s="150"/>
      <c r="AO225" s="150"/>
    </row>
    <row r="226" spans="1:41">
      <c r="A226" s="643" t="str">
        <f ca="1">IFERROR(__xludf.DUMMYFUNCTION("""COMPUTED_VALUE"""),"PLAYER TOTAL")</f>
        <v>PLAYER TOTAL</v>
      </c>
      <c r="B226" s="645" t="str">
        <f ca="1">IFERROR(__xludf.DUMMYFUNCTION("""COMPUTED_VALUE"""),"=IF(ItemSet=1;SUM(ARRAYFORMULA(B2:B225*$AI2:$AI225));IF(ItemSet=2;SUM(ARRAYFORMULA(B2:B225*$AJ2:$AJ225));IF(ItemSet=3;SUM(ARRAYFORMULA(B2:B225*$AK2:$AK225));IF(ItemSet=4;SUM(ARRAYFORMULA(B2:B225*$AL2:$AL225));0))))")</f>
        <v>=IF(ItemSet=1;SUM(ARRAYFORMULA(B2:B225*$AI2:$AI225));IF(ItemSet=2;SUM(ARRAYFORMULA(B2:B225*$AJ2:$AJ225));IF(ItemSet=3;SUM(ARRAYFORMULA(B2:B225*$AK2:$AK225));IF(ItemSet=4;SUM(ARRAYFORMULA(B2:B225*$AL2:$AL225));0))))</v>
      </c>
      <c r="C226" s="645" t="str">
        <f ca="1">IFERROR(__xludf.DUMMYFUNCTION("""COMPUTED_VALUE"""),"=IF(ItemSet=1;SUM(ARRAYFORMULA(C2:C225*$AI2:$AI225));IF(ItemSet=2;SUM(ARRAYFORMULA(C2:C225*$AJ2:$AJ225));IF(ItemSet=3;SUM(ARRAYFORMULA(C2:C225*$AK2:$AK225));IF(ItemSet=4;SUM(ARRAYFORMULA(C2:C225*$AL2:$AL225));0))))")</f>
        <v>=IF(ItemSet=1;SUM(ARRAYFORMULA(C2:C225*$AI2:$AI225));IF(ItemSet=2;SUM(ARRAYFORMULA(C2:C225*$AJ2:$AJ225));IF(ItemSet=3;SUM(ARRAYFORMULA(C2:C225*$AK2:$AK225));IF(ItemSet=4;SUM(ARRAYFORMULA(C2:C225*$AL2:$AL225));0))))</v>
      </c>
      <c r="D226" s="645" t="str">
        <f ca="1">IFERROR(__xludf.DUMMYFUNCTION("""COMPUTED_VALUE"""),"=IF(ItemSet=1;SUM(ARRAYFORMULA(D2:D225*$AI2:$AI225));IF(ItemSet=2;SUM(ARRAYFORMULA(D2:D225*$AJ2:$AJ225));IF(ItemSet=3;SUM(ARRAYFORMULA(D2:D225*$AK2:$AK225));IF(ItemSet=4;SUM(ARRAYFORMULA(D2:D225*$AL2:$AL225));0))))")</f>
        <v>=IF(ItemSet=1;SUM(ARRAYFORMULA(D2:D225*$AI2:$AI225));IF(ItemSet=2;SUM(ARRAYFORMULA(D2:D225*$AJ2:$AJ225));IF(ItemSet=3;SUM(ARRAYFORMULA(D2:D225*$AK2:$AK225));IF(ItemSet=4;SUM(ARRAYFORMULA(D2:D225*$AL2:$AL225));0))))</v>
      </c>
      <c r="E226" s="645" t="str">
        <f ca="1">IFERROR(__xludf.DUMMYFUNCTION("""COMPUTED_VALUE"""),"=IF(ItemSet=1;SUM(ARRAYFORMULA(E2:E225*$AI2:$AI225));IF(ItemSet=2;SUM(ARRAYFORMULA(E2:E225*$AJ2:$AJ225));IF(ItemSet=3;SUM(ARRAYFORMULA(E2:E225*$AK2:$AK225));IF(ItemSet=4;SUM(ARRAYFORMULA(E2:E225*$AL2:$AL225));0))))")</f>
        <v>=IF(ItemSet=1;SUM(ARRAYFORMULA(E2:E225*$AI2:$AI225));IF(ItemSet=2;SUM(ARRAYFORMULA(E2:E225*$AJ2:$AJ225));IF(ItemSet=3;SUM(ARRAYFORMULA(E2:E225*$AK2:$AK225));IF(ItemSet=4;SUM(ARRAYFORMULA(E2:E225*$AL2:$AL225));0))))</v>
      </c>
      <c r="F226" s="645" t="str">
        <f ca="1">IFERROR(__xludf.DUMMYFUNCTION("""COMPUTED_VALUE"""),"=IF(ItemSet=1;SUM(ARRAYFORMULA(F2:F225*$AI2:$AI225));IF(ItemSet=2;SUM(ARRAYFORMULA(F2:F225*$AJ2:$AJ225));IF(ItemSet=3;SUM(ARRAYFORMULA(F2:F225*$AK2:$AK225));IF(ItemSet=4;SUM(ARRAYFORMULA(F2:F225*$AL2:$AL225));0))))")</f>
        <v>=IF(ItemSet=1;SUM(ARRAYFORMULA(F2:F225*$AI2:$AI225));IF(ItemSet=2;SUM(ARRAYFORMULA(F2:F225*$AJ2:$AJ225));IF(ItemSet=3;SUM(ARRAYFORMULA(F2:F225*$AK2:$AK225));IF(ItemSet=4;SUM(ARRAYFORMULA(F2:F225*$AL2:$AL225));0))))</v>
      </c>
      <c r="G226" s="647" t="str">
        <f ca="1">IFERROR(__xludf.DUMMYFUNCTION("""COMPUTED_VALUE"""),"=IF(ItemSet=1;SUM(ARRAYFORMULA(G2:G225*$AI2:$AI225));IF(ItemSet=2;SUM(ARRAYFORMULA(G2:G225*$AJ2:$AJ225));IF(ItemSet=3;SUM(ARRAYFORMULA(G2:G225*$AK2:$AK225));IF(ItemSet=4;SUM(ARRAYFORMULA(G2:G225*$AL2:$AL225));0))))")</f>
        <v>=IF(ItemSet=1;SUM(ARRAYFORMULA(G2:G225*$AI2:$AI225));IF(ItemSet=2;SUM(ARRAYFORMULA(G2:G225*$AJ2:$AJ225));IF(ItemSet=3;SUM(ARRAYFORMULA(G2:G225*$AK2:$AK225));IF(ItemSet=4;SUM(ARRAYFORMULA(G2:G225*$AL2:$AL225));0))))</v>
      </c>
      <c r="H226" s="647" t="str">
        <f ca="1">IFERROR(__xludf.DUMMYFUNCTION("""COMPUTED_VALUE"""),"=IF(ItemSet=1;SUM(ARRAYFORMULA(H2:H225*$AI2:$AI225));IF(ItemSet=2;SUM(ARRAYFORMULA(H2:H225*$AJ2:$AJ225));IF(ItemSet=3;SUM(ARRAYFORMULA(H2:H225*$AK2:$AK225));IF(ItemSet=4;SUM(ARRAYFORMULA(H2:H225*$AL2:$AL225));0))))")</f>
        <v>=IF(ItemSet=1;SUM(ARRAYFORMULA(H2:H225*$AI2:$AI225));IF(ItemSet=2;SUM(ARRAYFORMULA(H2:H225*$AJ2:$AJ225));IF(ItemSet=3;SUM(ARRAYFORMULA(H2:H225*$AK2:$AK225));IF(ItemSet=4;SUM(ARRAYFORMULA(H2:H225*$AL2:$AL225));0))))</v>
      </c>
      <c r="I226" s="647" t="str">
        <f ca="1">IFERROR(__xludf.DUMMYFUNCTION("""COMPUTED_VALUE"""),"=IF(ItemSet=1;SUM(ARRAYFORMULA(I2:I225*$AI2:$AI225));IF(ItemSet=2;SUM(ARRAYFORMULA(I2:I225*$AJ2:$AJ225));IF(ItemSet=3;SUM(ARRAYFORMULA(I2:I225*$AK2:$AK225));IF(ItemSet=4;SUM(ARRAYFORMULA(I2:I225*$AL2:$AL225));0))))")</f>
        <v>=IF(ItemSet=1;SUM(ARRAYFORMULA(I2:I225*$AI2:$AI225));IF(ItemSet=2;SUM(ARRAYFORMULA(I2:I225*$AJ2:$AJ225));IF(ItemSet=3;SUM(ARRAYFORMULA(I2:I225*$AK2:$AK225));IF(ItemSet=4;SUM(ARRAYFORMULA(I2:I225*$AL2:$AL225));0))))</v>
      </c>
      <c r="J226" s="647" t="str">
        <f ca="1">IFERROR(__xludf.DUMMYFUNCTION("""COMPUTED_VALUE"""),"=IF(ItemSet=1;SUM(ARRAYFORMULA(J2:J225*$AI2:$AI225));IF(ItemSet=2;SUM(ARRAYFORMULA(J2:J225*$AJ2:$AJ225));IF(ItemSet=3;SUM(ARRAYFORMULA(J2:J225*$AK2:$AK225));IF(ItemSet=4;SUM(ARRAYFORMULA(J2:J225*$AL2:$AL225));0))))")</f>
        <v>=IF(ItemSet=1;SUM(ARRAYFORMULA(J2:J225*$AI2:$AI225));IF(ItemSet=2;SUM(ARRAYFORMULA(J2:J225*$AJ2:$AJ225));IF(ItemSet=3;SUM(ARRAYFORMULA(J2:J225*$AK2:$AK225));IF(ItemSet=4;SUM(ARRAYFORMULA(J2:J225*$AL2:$AL225));0))))</v>
      </c>
      <c r="K226" s="78" t="str">
        <f ca="1">IFERROR(__xludf.DUMMYFUNCTION("""COMPUTED_VALUE"""),"=IF(ItemSet=1;SUM(ARRAYFORMULA(K2:K225*$AI2:$AI225));IF(ItemSet=2;SUM(ARRAYFORMULA(K2:K225*$AJ2:$AJ225));IF(ItemSet=3;SUM(ARRAYFORMULA(K2:K225*$AK2:$AK225));IF(ItemSet=4;SUM(ARRAYFORMULA(K2:K225*$AL2:$AL225));0)))) / 100")</f>
        <v>=IF(ItemSet=1;SUM(ARRAYFORMULA(K2:K225*$AI2:$AI225));IF(ItemSet=2;SUM(ARRAYFORMULA(K2:K225*$AJ2:$AJ225));IF(ItemSet=3;SUM(ARRAYFORMULA(K2:K225*$AK2:$AK225));IF(ItemSet=4;SUM(ARRAYFORMULA(K2:K225*$AL2:$AL225));0)))) / 100</v>
      </c>
      <c r="L226" s="76" t="str">
        <f ca="1">IFERROR(__xludf.DUMMYFUNCTION("""COMPUTED_VALUE"""),"=IF(ItemSet=1;SUM(ARRAYFORMULA(L2:L225*$AI2:$AI225));IF(ItemSet=2;SUM(ARRAYFORMULA(L2:L225*$AJ2:$AJ225));IF(ItemSet=3;SUM(ARRAYFORMULA(L2:L225*$AK2:$AK225));IF(ItemSet=4;SUM(ARRAYFORMULA(L2:L225*$AL2:$AL225));0)))) / 100")</f>
        <v>=IF(ItemSet=1;SUM(ARRAYFORMULA(L2:L225*$AI2:$AI225));IF(ItemSet=2;SUM(ARRAYFORMULA(L2:L225*$AJ2:$AJ225));IF(ItemSet=3;SUM(ARRAYFORMULA(L2:L225*$AK2:$AK225));IF(ItemSet=4;SUM(ARRAYFORMULA(L2:L225*$AL2:$AL225));0)))) / 100</v>
      </c>
      <c r="M226" s="150" t="str">
        <f ca="1">IFERROR(__xludf.DUMMYFUNCTION("""COMPUTED_VALUE"""),"=IF(ItemSet=1;SUM(ARRAYFORMULA(M2:M225*$AI2:$AI225));IF(ItemSet=2;SUM(ARRAYFORMULA(M2:M225*$AJ2:$AJ225));IF(ItemSet=3;SUM(ARRAYFORMULA(M2:M225*$AK2:$AK225));IF(ItemSet=4;SUM(ARRAYFORMULA(M2:M225*$AL2:$AL225));0)))) / 100")</f>
        <v>=IF(ItemSet=1;SUM(ARRAYFORMULA(M2:M225*$AI2:$AI225));IF(ItemSet=2;SUM(ARRAYFORMULA(M2:M225*$AJ2:$AJ225));IF(ItemSet=3;SUM(ARRAYFORMULA(M2:M225*$AK2:$AK225));IF(ItemSet=4;SUM(ARRAYFORMULA(M2:M225*$AL2:$AL225));0)))) / 100</v>
      </c>
      <c r="N226" s="150" t="str">
        <f ca="1">IFERROR(__xludf.DUMMYFUNCTION("""COMPUTED_VALUE"""),"=IF(ItemSet=1;SUMIF($AI2:$AI225;""&gt;0"";N2:N225);IF(ItemSet=2;SUMIF($AJ2:$AJ225;""&gt;0"";N2:N225);IF(ItemSet=3;SUMIF($AK2:$AK225;""&gt;0"";N2:N225);IF(ItemSet=4;SUMIF($AL2:$AL225;""&gt;0"";N2:N225);0)))) / 100")</f>
        <v>=IF(ItemSet=1;SUMIF($AI2:$AI225;"&gt;0";N2:N225);IF(ItemSet=2;SUMIF($AJ2:$AJ225;"&gt;0";N2:N225);IF(ItemSet=3;SUMIF($AK2:$AK225;"&gt;0";N2:N225);IF(ItemSet=4;SUMIF($AL2:$AL225;"&gt;0";N2:N225);0)))) / 100</v>
      </c>
      <c r="O226" s="150" t="str">
        <f ca="1">IFERROR(__xludf.DUMMYFUNCTION("""COMPUTED_VALUE"""),"=IF(ItemSet=1;SUMIF($AI2:$AI225;""&gt;0"";O2:O225);IF(ItemSet=2;SUMIF($AJ2:$AJ225;""&gt;0"";O2:O225);IF(ItemSet=3;SUMIF($AK2:$AK225;""&gt;0"";O2:O225);IF(ItemSet=4;SUMIF($AL2:$AL225;""&gt;0"";O2:O225);0))))")</f>
        <v>=IF(ItemSet=1;SUMIF($AI2:$AI225;"&gt;0";O2:O225);IF(ItemSet=2;SUMIF($AJ2:$AJ225;"&gt;0";O2:O225);IF(ItemSet=3;SUMIF($AK2:$AK225;"&gt;0";O2:O225);IF(ItemSet=4;SUMIF($AL2:$AL225;"&gt;0";O2:O225);0))))</v>
      </c>
      <c r="P226" s="150" t="str">
        <f ca="1">IFERROR(__xludf.DUMMYFUNCTION("""COMPUTED_VALUE"""),"=IF(ItemSet=1;SUMIF($AI2:$AI225;""&gt;0"";P2:P225);IF(ItemSet=2;SUMIF($AJ2:$AJ225;""&gt;0"";P2:P225);IF(ItemSet=3;SUMIF($AK2:$AK225;""&gt;0"";P2:P225);IF(ItemSet=4;SUMIF($AL2:$AL225;""&gt;0"";P2:P225);0))))")</f>
        <v>=IF(ItemSet=1;SUMIF($AI2:$AI225;"&gt;0";P2:P225);IF(ItemSet=2;SUMIF($AJ2:$AJ225;"&gt;0";P2:P225);IF(ItemSet=3;SUMIF($AK2:$AK225;"&gt;0";P2:P225);IF(ItemSet=4;SUMIF($AL2:$AL225;"&gt;0";P2:P225);0))))</v>
      </c>
      <c r="Q226" s="150" t="str">
        <f ca="1">IFERROR(__xludf.DUMMYFUNCTION("""COMPUTED_VALUE"""),"=IF(ItemSet=1;SUMIF($AI2:$AI225;""&gt;0"";Q2:Q225);IF(ItemSet=2;SUMIF($AJ2:$AJ225;""&gt;0"";Q2:Q225);IF(ItemSet=3;SUMIF($AK2:$AK225;""&gt;0"";Q2:Q225);IF(ItemSet=4;SUMIF($AL2:$AL225;""&gt;0"";Q2:Q225);0))))")</f>
        <v>=IF(ItemSet=1;SUMIF($AI2:$AI225;"&gt;0";Q2:Q225);IF(ItemSet=2;SUMIF($AJ2:$AJ225;"&gt;0";Q2:Q225);IF(ItemSet=3;SUMIF($AK2:$AK225;"&gt;0";Q2:Q225);IF(ItemSet=4;SUMIF($AL2:$AL225;"&gt;0";Q2:Q225);0))))</v>
      </c>
      <c r="R226" s="150" t="str">
        <f ca="1">IFERROR(__xludf.DUMMYFUNCTION("""COMPUTED_VALUE"""),"=IF(ItemSet=1;SUMIF($AI2:$AI225;""&gt;0"";R2:R225);IF(ItemSet=2;SUMIF($AJ2:$AJ225;""&gt;0"";R2:R225);IF(ItemSet=3;SUMIF($AK2:$AK225;""&gt;0"";R2:R225);IF(ItemSet=4;SUMIF($AL2:$AL225;""&gt;0"";R2:R225);0)))) / 100")</f>
        <v>=IF(ItemSet=1;SUMIF($AI2:$AI225;"&gt;0";R2:R225);IF(ItemSet=2;SUMIF($AJ2:$AJ225;"&gt;0";R2:R225);IF(ItemSet=3;SUMIF($AK2:$AK225;"&gt;0";R2:R225);IF(ItemSet=4;SUMIF($AL2:$AL225;"&gt;0";R2:R225);0)))) / 100</v>
      </c>
      <c r="S226" s="150" t="str">
        <f ca="1">IFERROR(__xludf.DUMMYFUNCTION("""COMPUTED_VALUE"""),"=IF(ItemSet=1;SUMIF($AI2:$AI225;""&gt;0"";S2:S225);IF(ItemSet=2;SUMIF($AJ2:$AJ225;""&gt;0"";S2:S225);IF(ItemSet=3;SUMIF($AK2:$AK225;""&gt;0"";S2:S225);IF(ItemSet=4;SUMIF($AL2:$AL225;""&gt;0"";S2:S225);0)))) / 100")</f>
        <v>=IF(ItemSet=1;SUMIF($AI2:$AI225;"&gt;0";S2:S225);IF(ItemSet=2;SUMIF($AJ2:$AJ225;"&gt;0";S2:S225);IF(ItemSet=3;SUMIF($AK2:$AK225;"&gt;0";S2:S225);IF(ItemSet=4;SUMIF($AL2:$AL225;"&gt;0";S2:S225);0)))) / 100</v>
      </c>
      <c r="T226" s="150" t="str">
        <f ca="1">IFERROR(__xludf.DUMMYFUNCTION("""COMPUTED_VALUE"""),"=IF(ItemSet=1;SUMIF($AI2:$AI225;""&gt;0"";T2:T225);IF(ItemSet=2;SUMIF($AJ2:$AJ225;""&gt;0"";T2:T225);IF(ItemSet=3;SUMIF($AK2:$AK225;""&gt;0"";T2:T225);IF(ItemSet=4;SUMIF($AL2:$AL225;""&gt;0"";T2:T225);0))))")</f>
        <v>=IF(ItemSet=1;SUMIF($AI2:$AI225;"&gt;0";T2:T225);IF(ItemSet=2;SUMIF($AJ2:$AJ225;"&gt;0";T2:T225);IF(ItemSet=3;SUMIF($AK2:$AK225;"&gt;0";T2:T225);IF(ItemSet=4;SUMIF($AL2:$AL225;"&gt;0";T2:T225);0))))</v>
      </c>
      <c r="U226" s="150" t="str">
        <f ca="1">IFERROR(__xludf.DUMMYFUNCTION("""COMPUTED_VALUE"""),"=IF(ItemSet=1;SUMIF($AI2:$AI225;""&gt;0"";U2:U225);IF(ItemSet=2;SUMIF($AJ2:$AJ225;""&gt;0"";U2:U225);IF(ItemSet=3;SUMIF($AK2:$AK225;""&gt;0"";U2:U225);IF(ItemSet=4;SUMIF($AL2:$AL225;""&gt;0"";U2:U225);0))))")</f>
        <v>=IF(ItemSet=1;SUMIF($AI2:$AI225;"&gt;0";U2:U225);IF(ItemSet=2;SUMIF($AJ2:$AJ225;"&gt;0";U2:U225);IF(ItemSet=3;SUMIF($AK2:$AK225;"&gt;0";U2:U225);IF(ItemSet=4;SUMIF($AL2:$AL225;"&gt;0";U2:U225);0))))</v>
      </c>
      <c r="V226" s="150" t="str">
        <f ca="1">IFERROR(__xludf.DUMMYFUNCTION("""COMPUTED_VALUE"""),"=IF(ItemSet=1;SUMIF($AI2:$AI225;""&gt;0"";V2:V225);IF(ItemSet=2;SUMIF($AJ2:$AJ225;""&gt;0"";V2:V225);IF(ItemSet=3;SUMIF($AK2:$AK225;""&gt;0"";V2:V225);IF(ItemSet=4;SUMIF($AL2:$AL225;""&gt;0"";V2:V225);0))))")</f>
        <v>=IF(ItemSet=1;SUMIF($AI2:$AI225;"&gt;0";V2:V225);IF(ItemSet=2;SUMIF($AJ2:$AJ225;"&gt;0";V2:V225);IF(ItemSet=3;SUMIF($AK2:$AK225;"&gt;0";V2:V225);IF(ItemSet=4;SUMIF($AL2:$AL225;"&gt;0";V2:V225);0))))</v>
      </c>
      <c r="W226" s="150" t="str">
        <f ca="1">IFERROR(__xludf.DUMMYFUNCTION("""COMPUTED_VALUE"""),"=IF(ItemSet=1;SUMIF($AI2:$AI225;""&gt;0"";W2:W225);IF(ItemSet=2;SUMIF($AJ2:$AJ225;""&gt;0"";W2:W225);IF(ItemSet=3;SUMIF($AK2:$AK225;""&gt;0"";W2:W225);IF(ItemSet=4;SUMIF($AL2:$AL225;""&gt;0"";W2:W225);0))))")</f>
        <v>=IF(ItemSet=1;SUMIF($AI2:$AI225;"&gt;0";W2:W225);IF(ItemSet=2;SUMIF($AJ2:$AJ225;"&gt;0";W2:W225);IF(ItemSet=3;SUMIF($AK2:$AK225;"&gt;0";W2:W225);IF(ItemSet=4;SUMIF($AL2:$AL225;"&gt;0";W2:W225);0))))</v>
      </c>
      <c r="X226" s="150" t="str">
        <f ca="1">IFERROR(__xludf.DUMMYFUNCTION("""COMPUTED_VALUE"""),"=IF(ItemSet=1;MAXIFS(X2:X223;$AI2:$AI223;""&gt;0"");IF(ItemSet=2;MAXIFS(X2:X223;$AJ2:$AJ223;""&gt;0"");0))")</f>
        <v>=IF(ItemSet=1;MAXIFS(X2:X223;$AI2:$AI223;"&gt;0");IF(ItemSet=2;MAXIFS(X2:X223;$AJ2:$AJ223;"&gt;0");0))</v>
      </c>
      <c r="Y226" s="150" t="str">
        <f ca="1">IFERROR(__xludf.DUMMYFUNCTION("""COMPUTED_VALUE"""),"=IF(ItemSet=1;(100-MAXIFS(Y2:Y159;$AI2:$AI159;""&gt;0""))*(100-MAXIFS(Y161:Y223;$AI161:$AI223;""&gt;0""));IF(ItemSet=2;(100-MAXIFS(Y2:Y159;$AJ2:$AJ159;""&gt;0""))*(100-MAXIFS(Y161:Y223;$AJ161:$AJ223;""&gt;0""));10000)) / 10000")</f>
        <v>=IF(ItemSet=1;(100-MAXIFS(Y2:Y159;$AI2:$AI159;"&gt;0"))*(100-MAXIFS(Y161:Y223;$AI161:$AI223;"&gt;0"));IF(ItemSet=2;(100-MAXIFS(Y2:Y159;$AJ2:$AJ159;"&gt;0"))*(100-MAXIFS(Y161:Y223;$AJ161:$AJ223;"&gt;0"));10000)) / 10000</v>
      </c>
      <c r="Z226" s="150" t="str">
        <f ca="1">IFERROR(__xludf.DUMMYFUNCTION("""COMPUTED_VALUE"""),"=IF(ItemSet=1;(100-MAXIFS(Z2:Z159;$AI2:$AI159;""&gt;0""))*(100-MAXIFS(Z161:Z224;$AI161:$AI224;""&gt;0""));IF(ItemSet=2;(100-MAXIFS(Z2:Z159;$AJ2:$AJ159;""&gt;0""))*(100-MAXIFS(Z161:Z224;$AJ161:$AJ224;""&gt;0""));10000)) / 10000")</f>
        <v>=IF(ItemSet=1;(100-MAXIFS(Z2:Z159;$AI2:$AI159;"&gt;0"))*(100-MAXIFS(Z161:Z224;$AI161:$AI224;"&gt;0"));IF(ItemSet=2;(100-MAXIFS(Z2:Z159;$AJ2:$AJ159;"&gt;0"))*(100-MAXIFS(Z161:Z224;$AJ161:$AJ224;"&gt;0"));10000)) / 10000</v>
      </c>
      <c r="AA226" s="150" t="str">
        <f ca="1">IFERROR(__xludf.DUMMYFUNCTION("""COMPUTED_VALUE"""),"=IF(ItemSet=1;MAXIFS(AA2:AA225;$AI2:$AI225;""&gt;0"");IF(ItemSet=2;MAXIFS(AA2:AA225;$AJ2:$AJ225;""&gt;0"");0)) / 100")</f>
        <v>=IF(ItemSet=1;MAXIFS(AA2:AA225;$AI2:$AI225;"&gt;0");IF(ItemSet=2;MAXIFS(AA2:AA225;$AJ2:$AJ225;"&gt;0");0)) / 100</v>
      </c>
      <c r="AB226" s="150" t="str">
        <f ca="1">IFERROR(__xludf.DUMMYFUNCTION("""COMPUTED_VALUE"""),"=IF(ItemSet=1;SUMIF($AI2:$AI225;""&gt;0"";AB2:AB225);IF(ItemSet=2;SUMIF($AJ2:$AJ225;""&gt;0"";AB2:AB225);0)) / 100")</f>
        <v>=IF(ItemSet=1;SUMIF($AI2:$AI225;"&gt;0";AB2:AB225);IF(ItemSet=2;SUMIF($AJ2:$AJ225;"&gt;0";AB2:AB225);0)) / 100</v>
      </c>
      <c r="AC226" s="150" t="str">
        <f ca="1">IFERROR(__xludf.DUMMYFUNCTION("""COMPUTED_VALUE"""),"=1+IF(ItemSet=1;SUM(ARRAYFORMULA(AC2:AC225*$AI2:$AI225));IF(ItemSet=2;SUM(ARRAYFORMULA(AC2:AC225*$AJ2:$AJ225));IF(ItemSet=3;SUM(ARRAYFORMULA(AC2:AC225*$AK2:$AK225));IF(ItemSet=4;SUM(ARRAYFORMULA(AC2:AC225*$AL2:$AL225));1)))) / 100")</f>
        <v>=1+IF(ItemSet=1;SUM(ARRAYFORMULA(AC2:AC225*$AI2:$AI225));IF(ItemSet=2;SUM(ARRAYFORMULA(AC2:AC225*$AJ2:$AJ225));IF(ItemSet=3;SUM(ARRAYFORMULA(AC2:AC225*$AK2:$AK225));IF(ItemSet=4;SUM(ARRAYFORMULA(AC2:AC225*$AL2:$AL225));1)))) / 100</v>
      </c>
      <c r="AD226" s="150" t="str">
        <f ca="1">IFERROR(__xludf.DUMMYFUNCTION("""COMPUTED_VALUE"""),"=1+IF(ItemSet=1;SUM(ARRAYFORMULA(AD2:AD225*$AI2:$AI225));IF(ItemSet=2;SUM(ARRAYFORMULA(AD2:AD225*$AJ2:$AJ225));IF(ItemSet=3;SUM(ARRAYFORMULA(AD2:AD225*$AK2:$AK225));IF(ItemSet=4;SUM(ARRAYFORMULA(AD2:AD225*$AL2:$AL225));1)))) / 100")</f>
        <v>=1+IF(ItemSet=1;SUM(ARRAYFORMULA(AD2:AD225*$AI2:$AI225));IF(ItemSet=2;SUM(ARRAYFORMULA(AD2:AD225*$AJ2:$AJ225));IF(ItemSet=3;SUM(ARRAYFORMULA(AD2:AD225*$AK2:$AK225));IF(ItemSet=4;SUM(ARRAYFORMULA(AD2:AD225*$AL2:$AL225));1)))) / 100</v>
      </c>
      <c r="AE226" s="150" t="str">
        <f ca="1">IFERROR(__xludf.DUMMYFUNCTION("""COMPUTED_VALUE"""),"=IF(ItemSet=1;SUMIF($AI2:$AI225;""&gt;0"";AE2:AE225);IF(ItemSet=2;SUMIF($AJ2:$AJ225;""&gt;0"";AE2:AE225);IF(ItemSet=3;SUMIF($AK2:$AK225;""&gt;0"";AE2:AE225);IF(ItemSet=4;SUMIF($AL2:$AL225;""&gt;0"";AE2:AE225);0))))")</f>
        <v>=IF(ItemSet=1;SUMIF($AI2:$AI225;"&gt;0";AE2:AE225);IF(ItemSet=2;SUMIF($AJ2:$AJ225;"&gt;0";AE2:AE225);IF(ItemSet=3;SUMIF($AK2:$AK225;"&gt;0";AE2:AE225);IF(ItemSet=4;SUMIF($AL2:$AL225;"&gt;0";AE2:AE225);0))))</v>
      </c>
      <c r="AF226" s="150" t="str">
        <f ca="1">IFERROR(__xludf.DUMMYFUNCTION("""COMPUTED_VALUE"""),"=IF(ItemSet=1;(100-MAXIFS(AF2:AF159;$AI2:$AI159;""&gt;0""))*(100-MAXIFS(AF161:AF223;$AI161:$AI223;""&gt;0""));IF(ItemSet=2;(100-MAXIFS(AF2:AF159;$AJ2:$AJ159;""&gt;0""))*(100-MAXIFS(AF161:AF223;$AJ161:$AJ223;""&gt;0""));10000)) / 10000")</f>
        <v>=IF(ItemSet=1;(100-MAXIFS(AF2:AF159;$AI2:$AI159;"&gt;0"))*(100-MAXIFS(AF161:AF223;$AI161:$AI223;"&gt;0"));IF(ItemSet=2;(100-MAXIFS(AF2:AF159;$AJ2:$AJ159;"&gt;0"))*(100-MAXIFS(AF161:AF223;$AJ161:$AJ223;"&gt;0"));10000)) / 10000</v>
      </c>
      <c r="AG226" s="150" t="str">
        <f ca="1">IFERROR(__xludf.DUMMYFUNCTION("""COMPUTED_VALUE"""),"=IF(ItemSet=1;MAXIFS(AG2:AG225;$AI2:$AI225;""&gt;0"");IF(ItemSet=2;MAXIFS(AG2:AG225;$AJ2:$AJ225;""&gt;0"");0))")</f>
        <v>=IF(ItemSet=1;MAXIFS(AG2:AG225;$AI2:$AI225;"&gt;0");IF(ItemSet=2;MAXIFS(AG2:AG225;$AJ2:$AJ225;"&gt;0");0))</v>
      </c>
      <c r="AH226" s="150" t="str">
        <f ca="1">IFERROR(__xludf.DUMMYFUNCTION("""COMPUTED_VALUE"""),"=IF(ItemSet=1;SUMIF($AI2:$AI225;""&gt;0"";AH2:AH225);IF(ItemSet=2;SUMIF($AJ2:$AJ225;""&gt;0"";AH2:AH225);0))")</f>
        <v>=IF(ItemSet=1;SUMIF($AI2:$AI225;"&gt;0";AH2:AH225);IF(ItemSet=2;SUMIF($AJ2:$AJ225;"&gt;0";AH2:AH225);0))</v>
      </c>
      <c r="AI226" s="150"/>
      <c r="AJ226" s="150"/>
      <c r="AK226" s="150"/>
      <c r="AL226" s="150"/>
      <c r="AM226" s="150"/>
      <c r="AN226" s="150"/>
      <c r="AO226" s="150" t="str">
        <f ca="1">IFERROR(__xludf.DUMMYFUNCTION("""COMPUTED_VALUE"""),"=SUM(ARRAYFORMULA(AI2:AL225*AO2:AO225))")</f>
        <v>=SUM(ARRAYFORMULA(AI2:AL225*AO2:AO225))</v>
      </c>
    </row>
    <row r="227" spans="1:41">
      <c r="A227" s="643" t="str">
        <f ca="1">IFERROR(__xludf.DUMMYFUNCTION("""COMPUTED_VALUE"""),"ENEMY TOTAL")</f>
        <v>ENEMY TOTAL</v>
      </c>
      <c r="B227" s="645"/>
      <c r="C227" s="645" t="str">
        <f ca="1">IFERROR(__xludf.DUMMYFUNCTION("""COMPUTED_VALUE"""),"=SUM(ARRAYFORMULA(C2:C225*$AM2:$AM225)) - (IF(OR(AM165;AM195);100;0))")</f>
        <v>=SUM(ARRAYFORMULA(C2:C225*$AM2:$AM225)) - (IF(OR(AM165;AM195);100;0))</v>
      </c>
      <c r="D227" s="645"/>
      <c r="E227" s="645"/>
      <c r="F227" s="645"/>
      <c r="G227" s="647"/>
      <c r="H227" s="647"/>
      <c r="I227" s="647" t="str">
        <f ca="1">IFERROR(__xludf.DUMMYFUNCTION("""COMPUTED_VALUE"""),"=SUM(ARRAYFORMULA(I2:I225*$AM2:$AM225)) - IF(OR(AM215;AM185);5;0) * Legendary")</f>
        <v>=SUM(ARRAYFORMULA(I2:I225*$AM2:$AM225)) - IF(OR(AM215;AM185);5;0) * Legendary</v>
      </c>
      <c r="J227" s="647" t="str">
        <f ca="1">IFERROR(__xludf.DUMMYFUNCTION("""COMPUTED_VALUE"""),"=SUM(ARRAYFORMULA(J2:J225*$AM2:$AM225)) - IF(OR(AM215;AM185);5;0) * Legendary")</f>
        <v>=SUM(ARRAYFORMULA(J2:J225*$AM2:$AM225)) - IF(OR(AM215;AM185);5;0) * Legendary</v>
      </c>
      <c r="K227" s="78"/>
      <c r="L227" s="76"/>
      <c r="M227" s="150"/>
      <c r="N227" s="150"/>
      <c r="O227" s="150"/>
      <c r="P227" s="150"/>
      <c r="Q227" s="150"/>
      <c r="R227" s="150"/>
      <c r="S227" s="150"/>
      <c r="T227" s="150"/>
      <c r="U227" s="150"/>
      <c r="V227" s="150"/>
      <c r="W227" s="150"/>
      <c r="X227" s="150"/>
      <c r="Y227" s="150"/>
      <c r="Z227" s="150"/>
      <c r="AA227" s="150"/>
      <c r="AB227" s="150"/>
      <c r="AC227" s="150"/>
      <c r="AD227" s="150"/>
      <c r="AE227" s="150"/>
      <c r="AF227" s="150"/>
      <c r="AG227" s="150"/>
      <c r="AH227" s="150"/>
      <c r="AI227" s="150"/>
      <c r="AJ227" s="150"/>
      <c r="AK227" s="150"/>
      <c r="AL227" s="150"/>
      <c r="AM227" s="150"/>
      <c r="AN227" s="150"/>
      <c r="AO227" s="150"/>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1C4587"/>
    <outlinePr summaryBelow="0" summaryRight="0"/>
  </sheetPr>
  <dimension ref="A1:V45"/>
  <sheetViews>
    <sheetView showGridLines="0" workbookViewId="0"/>
  </sheetViews>
  <sheetFormatPr baseColWidth="10" defaultColWidth="12.6640625" defaultRowHeight="15" customHeight="1"/>
  <cols>
    <col min="1" max="1" width="2.6640625" customWidth="1"/>
    <col min="2" max="2" width="19.77734375" customWidth="1"/>
    <col min="3" max="3" width="21.88671875" customWidth="1"/>
    <col min="4" max="4" width="0.88671875" customWidth="1"/>
    <col min="5" max="5" width="19.33203125" customWidth="1"/>
    <col min="6" max="6" width="15.21875" customWidth="1"/>
    <col min="7" max="7" width="1" customWidth="1"/>
    <col min="8" max="8" width="14.6640625" customWidth="1"/>
    <col min="9" max="9" width="12" customWidth="1"/>
    <col min="10" max="10" width="2.33203125" customWidth="1"/>
    <col min="11" max="12" width="10.6640625" customWidth="1"/>
    <col min="13" max="13" width="1.109375" customWidth="1"/>
    <col min="14" max="14" width="11.88671875" customWidth="1"/>
    <col min="15" max="15" width="11.44140625" customWidth="1"/>
    <col min="16" max="16" width="2" customWidth="1"/>
    <col min="17" max="17" width="25.109375" customWidth="1"/>
    <col min="18" max="18" width="1.44140625" customWidth="1"/>
    <col min="19" max="19" width="20.33203125" customWidth="1"/>
    <col min="20" max="20" width="1.109375" customWidth="1"/>
    <col min="21" max="21" width="18.21875" customWidth="1"/>
    <col min="22" max="22" width="2.109375" customWidth="1"/>
  </cols>
  <sheetData>
    <row r="1" spans="1:22" ht="13.5" customHeight="1">
      <c r="A1" s="8"/>
      <c r="B1" s="9"/>
      <c r="C1" s="9"/>
      <c r="D1" s="9"/>
      <c r="E1" s="9"/>
      <c r="F1" s="9"/>
      <c r="G1" s="9"/>
      <c r="H1" s="9"/>
      <c r="I1" s="9"/>
      <c r="J1" s="9"/>
      <c r="K1" s="9"/>
      <c r="L1" s="9"/>
      <c r="M1" s="9"/>
      <c r="N1" s="9"/>
      <c r="O1" s="9"/>
      <c r="P1" s="9"/>
      <c r="Q1" s="9"/>
      <c r="R1" s="9"/>
      <c r="S1" s="9"/>
      <c r="T1" s="9"/>
      <c r="U1" s="9"/>
      <c r="V1" s="10"/>
    </row>
    <row r="2" spans="1:22" ht="13.5" customHeight="1">
      <c r="A2" s="9"/>
      <c r="B2" s="656" t="s">
        <v>6</v>
      </c>
      <c r="C2" s="657"/>
      <c r="D2" s="657"/>
      <c r="E2" s="657"/>
      <c r="F2" s="657"/>
      <c r="G2" s="11"/>
      <c r="H2" s="12" t="s">
        <v>7</v>
      </c>
      <c r="I2" s="658" t="str">
        <f>IF(B3="-","",VLOOKUP(B3,Champs!A3:AF200,32,FALSE))</f>
        <v/>
      </c>
      <c r="J2" s="9"/>
      <c r="K2" s="659" t="s">
        <v>8</v>
      </c>
      <c r="L2" s="657"/>
      <c r="M2" s="657"/>
      <c r="N2" s="657"/>
      <c r="O2" s="657"/>
      <c r="P2" s="9"/>
      <c r="Q2" s="670" t="s">
        <v>9</v>
      </c>
      <c r="R2" s="657"/>
      <c r="S2" s="657"/>
      <c r="T2" s="10"/>
      <c r="U2" s="14" t="s">
        <v>10</v>
      </c>
      <c r="V2" s="10"/>
    </row>
    <row r="3" spans="1:22" ht="12.75" customHeight="1">
      <c r="A3" s="9"/>
      <c r="B3" s="660" t="s">
        <v>11</v>
      </c>
      <c r="C3" s="657"/>
      <c r="D3" s="657"/>
      <c r="E3" s="657"/>
      <c r="F3" s="657"/>
      <c r="G3" s="15"/>
      <c r="H3" s="16">
        <v>1</v>
      </c>
      <c r="I3" s="657"/>
      <c r="J3" s="9"/>
      <c r="K3" s="661" t="s">
        <v>12</v>
      </c>
      <c r="L3" s="657"/>
      <c r="M3" s="17"/>
      <c r="N3" s="17"/>
      <c r="O3" s="13" t="s">
        <v>13</v>
      </c>
      <c r="P3" s="9"/>
      <c r="Q3" s="657"/>
      <c r="R3" s="657"/>
      <c r="S3" s="657"/>
      <c r="T3" s="9"/>
      <c r="U3" s="18" t="s">
        <v>14</v>
      </c>
      <c r="V3" s="10"/>
    </row>
    <row r="4" spans="1:22" ht="12.75" customHeight="1">
      <c r="A4" s="9"/>
      <c r="B4" s="19" t="s">
        <v>15</v>
      </c>
      <c r="C4" s="20">
        <f>IF(B4 = "Total AD", Self_AD, Self_BoAD)</f>
        <v>0</v>
      </c>
      <c r="D4" s="662"/>
      <c r="E4" s="22" t="s">
        <v>16</v>
      </c>
      <c r="F4" s="20">
        <f>Self_AP</f>
        <v>0</v>
      </c>
      <c r="G4" s="662"/>
      <c r="H4" s="19" t="s">
        <v>17</v>
      </c>
      <c r="I4" s="23">
        <f>IF(H4 = "Critchance", Self_Crit, IF(H4 = "Critdamage", Self_CritDMG, 0))</f>
        <v>0</v>
      </c>
      <c r="J4" s="9"/>
      <c r="K4" s="24" t="s">
        <v>18</v>
      </c>
      <c r="L4" s="25">
        <v>0</v>
      </c>
      <c r="M4" s="17"/>
      <c r="N4" s="17"/>
      <c r="O4" s="26" t="s">
        <v>11</v>
      </c>
      <c r="P4" s="9"/>
      <c r="Q4" s="657"/>
      <c r="R4" s="657"/>
      <c r="S4" s="657"/>
      <c r="T4" s="27"/>
      <c r="U4" s="28" t="s">
        <v>19</v>
      </c>
      <c r="V4" s="10"/>
    </row>
    <row r="5" spans="1:22" ht="12.75" customHeight="1">
      <c r="A5" s="9"/>
      <c r="B5" s="29" t="s">
        <v>20</v>
      </c>
      <c r="C5" s="30">
        <f>Self_AS</f>
        <v>0</v>
      </c>
      <c r="D5" s="657"/>
      <c r="E5" s="31" t="s">
        <v>21</v>
      </c>
      <c r="F5" s="32">
        <f ca="1">IFERROR(__xludf.DUMMYFUNCTION("IF(E5=""Ability Haste"",ROUND(Self_AH*100),TO_PERCENT(1-1/(1+Self_AH)))"),0)</f>
        <v>0</v>
      </c>
      <c r="G5" s="657"/>
      <c r="H5" s="33" t="s">
        <v>22</v>
      </c>
      <c r="I5" s="34" t="e">
        <f ca="1">IF(H5 = "Total Onhit", OH_Phys + OH_Magic + OH_True,
IF(H5 = "Physical Onhit", OH_Phys,
IF(H5 = "Magical Onhit", OH_Magic,
IF(H5 = "Truedamage Onhit", OH_True, 0))))</f>
        <v>#NAME?</v>
      </c>
      <c r="J5" s="9"/>
      <c r="K5" s="35" t="s">
        <v>23</v>
      </c>
      <c r="L5" s="36">
        <v>0</v>
      </c>
      <c r="M5" s="17"/>
      <c r="N5" s="17"/>
      <c r="O5" s="37">
        <f>VLOOKUP(O4,Calc!P75:Q80,2,FALSE)</f>
        <v>0</v>
      </c>
      <c r="P5" s="9"/>
      <c r="Q5" s="657"/>
      <c r="R5" s="657"/>
      <c r="S5" s="657"/>
      <c r="T5" s="27"/>
      <c r="U5" s="38">
        <v>45092</v>
      </c>
      <c r="V5" s="10"/>
    </row>
    <row r="6" spans="1:22" ht="12.75" customHeight="1">
      <c r="A6" s="9"/>
      <c r="B6" s="19" t="s">
        <v>24</v>
      </c>
      <c r="C6" s="20" t="e">
        <f ca="1">IF(B6 = "Lethality", Self_Leth, IF(B6 = "Armorpen%", Calc!C33, E_AR - Calc!M6))</f>
        <v>#NAME?</v>
      </c>
      <c r="D6" s="657"/>
      <c r="E6" s="19" t="s">
        <v>25</v>
      </c>
      <c r="F6" s="20" t="e">
        <f ca="1">IF(E6 = "Magic Pen", Self_MpenF, IF(E6 = "Magicpen%", Calc!C38, E_MR - Calc!M20))</f>
        <v>#NAME?</v>
      </c>
      <c r="G6" s="657"/>
      <c r="H6" s="22" t="s">
        <v>26</v>
      </c>
      <c r="I6" s="23">
        <f>MOD_Heal</f>
        <v>1</v>
      </c>
      <c r="J6" s="9"/>
      <c r="K6" s="39" t="s">
        <v>27</v>
      </c>
      <c r="L6" s="40">
        <v>0</v>
      </c>
      <c r="M6" s="17"/>
      <c r="N6" s="17"/>
      <c r="O6" s="41" t="s">
        <v>28</v>
      </c>
      <c r="P6" s="9"/>
      <c r="Q6" s="657"/>
      <c r="R6" s="657"/>
      <c r="S6" s="657"/>
      <c r="T6" s="27"/>
      <c r="U6" s="671" t="str">
        <f>HYPERLINK("https://discord.gg/xHZb7sM","Discord Server for Updates")</f>
        <v>Discord Server for Updates</v>
      </c>
      <c r="V6" s="10"/>
    </row>
    <row r="7" spans="1:22" ht="12.75" customHeight="1">
      <c r="A7" s="9"/>
      <c r="B7" s="33" t="s">
        <v>29</v>
      </c>
      <c r="C7" s="32">
        <f ca="1">IFERROR(__xludf.DUMMYFUNCTION("IF(B7 = ""Lifesteal"", TO_PERCENT(Self_LS), IF(B7=""Lifesteal/Hit"", Calc!G43, ROUND(Calc!G43 * Self_AS)))"),0)</f>
        <v>0</v>
      </c>
      <c r="D7" s="657"/>
      <c r="E7" s="29" t="s">
        <v>30</v>
      </c>
      <c r="F7" s="42">
        <f>Self_SV</f>
        <v>0</v>
      </c>
      <c r="G7" s="657"/>
      <c r="H7" s="33" t="s">
        <v>31</v>
      </c>
      <c r="I7" s="43">
        <f>IF(H7 = "Physical Shield Health", Calc!G41, IF(H7 = "Magical Shield Health", Calc!G42, Self_Shield))</f>
        <v>0</v>
      </c>
      <c r="J7" s="9"/>
      <c r="K7" s="35" t="s">
        <v>32</v>
      </c>
      <c r="L7" s="36">
        <v>0</v>
      </c>
      <c r="M7" s="17"/>
      <c r="N7" s="17"/>
      <c r="O7" s="44" t="s">
        <v>11</v>
      </c>
      <c r="P7" s="9"/>
      <c r="Q7" s="657"/>
      <c r="R7" s="657"/>
      <c r="S7" s="657"/>
      <c r="T7" s="27"/>
      <c r="U7" s="657"/>
      <c r="V7" s="10"/>
    </row>
    <row r="8" spans="1:22" ht="12.75" customHeight="1">
      <c r="A8" s="9"/>
      <c r="B8" s="45" t="s">
        <v>33</v>
      </c>
      <c r="C8" s="20">
        <v>0</v>
      </c>
      <c r="D8" s="657"/>
      <c r="E8" s="46" t="str">
        <f>IF(OR(Name="Zed",Name="Shen",Name="Akali",Name="Kennen",Name="Lee Sin"),"Energy",IF(OR(Name="Gnar",Name="Renekton",Name="Shyvanna",Name="Tryndamere",Name="Rek'Sai",Name="Kled"),"Rage",IF(OR(Name="Garen",Name="Katarina",Name="Riven",Name="Zac",Name="Dr, Mundo",Name="Aatrox",Name="Vladimir",Name="Yasuo"),"Resource","Mana")))</f>
        <v>Mana</v>
      </c>
      <c r="F8" s="20">
        <v>0</v>
      </c>
      <c r="G8" s="657"/>
      <c r="H8" s="22" t="s">
        <v>34</v>
      </c>
      <c r="I8" s="23" t="e">
        <f ca="1">Self_TC</f>
        <v>#NAME?</v>
      </c>
      <c r="J8" s="9"/>
      <c r="K8" s="47" t="s">
        <v>35</v>
      </c>
      <c r="L8" s="47" t="s">
        <v>36</v>
      </c>
      <c r="M8" s="48"/>
      <c r="N8" s="47" t="s">
        <v>37</v>
      </c>
      <c r="O8" s="47" t="s">
        <v>38</v>
      </c>
      <c r="P8" s="9"/>
      <c r="Q8" s="657"/>
      <c r="R8" s="657"/>
      <c r="S8" s="657"/>
      <c r="T8" s="17"/>
      <c r="U8" s="657"/>
      <c r="V8" s="10"/>
    </row>
    <row r="9" spans="1:22" ht="12.75" customHeight="1">
      <c r="A9" s="9"/>
      <c r="B9" s="31" t="s">
        <v>39</v>
      </c>
      <c r="C9" s="49">
        <f>Self_HPR * IF(B9 = "HP/sec", 0.2, IF(B9 = "HP/min", 12, 1))</f>
        <v>0</v>
      </c>
      <c r="D9" s="657"/>
      <c r="E9" s="31" t="s">
        <v>40</v>
      </c>
      <c r="F9" s="49">
        <f>Self_MPR * IF(E9 = "MP/sec", 0.2, IF(E9="MP/min", 12, 1))</f>
        <v>0</v>
      </c>
      <c r="G9" s="657"/>
      <c r="H9" s="50" t="s">
        <v>41</v>
      </c>
      <c r="I9" s="51">
        <f>Self_MS</f>
        <v>0</v>
      </c>
      <c r="J9" s="9"/>
      <c r="K9" s="52" t="s">
        <v>18</v>
      </c>
      <c r="L9" s="53">
        <f>Calc!K29</f>
        <v>0</v>
      </c>
      <c r="M9" s="54"/>
      <c r="N9" s="55">
        <f>Calc!K34</f>
        <v>0</v>
      </c>
      <c r="O9" s="56">
        <f>IF(Name="-",0,IF(P_Q&gt;0,L9/N9,0))</f>
        <v>0</v>
      </c>
      <c r="P9" s="9"/>
      <c r="Q9" s="17"/>
      <c r="R9" s="17"/>
      <c r="S9" s="17"/>
      <c r="T9" s="17"/>
      <c r="U9" s="17"/>
      <c r="V9" s="10"/>
    </row>
    <row r="10" spans="1:22" ht="12.75" customHeight="1">
      <c r="A10" s="9"/>
      <c r="B10" s="46" t="s">
        <v>42</v>
      </c>
      <c r="C10" s="20">
        <f>Self_AR</f>
        <v>0</v>
      </c>
      <c r="D10" s="657"/>
      <c r="E10" s="46" t="s">
        <v>43</v>
      </c>
      <c r="F10" s="20">
        <f>Self_MR</f>
        <v>0</v>
      </c>
      <c r="G10" s="657"/>
      <c r="H10" s="46" t="s">
        <v>44</v>
      </c>
      <c r="I10" s="57">
        <f>Calc!M42</f>
        <v>0</v>
      </c>
      <c r="J10" s="9"/>
      <c r="K10" s="24" t="s">
        <v>23</v>
      </c>
      <c r="L10" s="58">
        <f>Calc!K30</f>
        <v>0</v>
      </c>
      <c r="M10" s="59"/>
      <c r="N10" s="60">
        <f>Calc!K35</f>
        <v>0</v>
      </c>
      <c r="O10" s="61">
        <f>IF(OR(Name="-",Name="Urgot"),0,IF(P_W&gt;0,L10/N10,0))</f>
        <v>0</v>
      </c>
      <c r="P10" s="9"/>
      <c r="Q10" s="672" t="s">
        <v>45</v>
      </c>
      <c r="R10" s="657"/>
      <c r="S10" s="657"/>
      <c r="T10" s="657"/>
      <c r="U10" s="657"/>
      <c r="V10" s="10"/>
    </row>
    <row r="11" spans="1:22" ht="12.75" customHeight="1">
      <c r="A11" s="9"/>
      <c r="B11" s="663" t="s">
        <v>46</v>
      </c>
      <c r="C11" s="657"/>
      <c r="D11" s="657"/>
      <c r="E11" s="657"/>
      <c r="F11" s="657"/>
      <c r="G11" s="657"/>
      <c r="H11" s="657"/>
      <c r="I11" s="657"/>
      <c r="J11" s="9"/>
      <c r="K11" s="52" t="s">
        <v>27</v>
      </c>
      <c r="L11" s="62">
        <f>Calc!K31</f>
        <v>0</v>
      </c>
      <c r="M11" s="54"/>
      <c r="N11" s="55">
        <f>Calc!K36</f>
        <v>0</v>
      </c>
      <c r="O11" s="56">
        <f>IF(Name="-",0,IF(P_E&gt;0,L11/N11,0))</f>
        <v>0</v>
      </c>
      <c r="P11" s="9"/>
      <c r="Q11" s="673" t="s">
        <v>47</v>
      </c>
      <c r="R11" s="657"/>
      <c r="S11" s="657"/>
      <c r="T11" s="44"/>
      <c r="U11" s="44" t="s">
        <v>48</v>
      </c>
      <c r="V11" s="10"/>
    </row>
    <row r="12" spans="1:22" ht="12.75" customHeight="1">
      <c r="A12" s="9"/>
      <c r="B12" s="22" t="s">
        <v>49</v>
      </c>
      <c r="C12" s="63" t="e">
        <f ca="1">Self_HitDmg</f>
        <v>#NAME?</v>
      </c>
      <c r="D12" s="21"/>
      <c r="E12" s="22" t="str">
        <f>IF(Name="Ashe","DMG by passive","Critical hit")</f>
        <v>Critical hit</v>
      </c>
      <c r="F12" s="20" t="e">
        <f ca="1">Self_CritHit</f>
        <v>#NAME?</v>
      </c>
      <c r="G12" s="21"/>
      <c r="H12" s="64" t="s">
        <v>50</v>
      </c>
      <c r="I12" s="20" t="e">
        <f ca="1">IF(H12="Sheen Items",Calc!O31,IF(H12="Item Damage",Self_Proc_item - Calc!Q30,IF(H12="Infernal",Calc!Q30,IF(H12="Proc Damage",Calc!O32,0))))</f>
        <v>#NAME?</v>
      </c>
      <c r="J12" s="9"/>
      <c r="K12" s="24" t="s">
        <v>32</v>
      </c>
      <c r="L12" s="58">
        <f>Calc!K32</f>
        <v>0</v>
      </c>
      <c r="M12" s="59"/>
      <c r="N12" s="60">
        <f>Calc!K37</f>
        <v>0</v>
      </c>
      <c r="O12" s="61">
        <f>IF(Name="-",0,IF(P_R&gt;0,L12/N12,0))</f>
        <v>0</v>
      </c>
      <c r="P12" s="9"/>
      <c r="Q12" s="674" t="str">
        <f>IF(U11="Season 13",VLOOKUP(Q11,Log!B1:C9,2,FALSE),IF(U11="Season 12",VLOOKUP(Q11,Log!D1:E9,2,FALSE),IF(U11="Season 11",VLOOKUP(Q11,Log!F1:G9,2,FALSE),IF(U11="Season 10",VLOOKUP(Q11,Log!H1:I9,2,FALSE),IF(U11="Season 9",VLOOKUP(Q11,Log!J1:K9,2,FALSE),0)))))</f>
        <v>v. 13.10: (16.05.2023 | 00:00 gmt+1):
- Updated to latest patch
- Its recommended to get a new copy of the sheet
v. 13.11: (01.06.2023 | 13:00 gmt+1):
- Updated to latest patch
v. 13.12: (15.06.2023 | 03:10 gmt+1):
- Updated to latest patch</v>
      </c>
      <c r="R12" s="657"/>
      <c r="S12" s="657"/>
      <c r="T12" s="657"/>
      <c r="U12" s="657"/>
      <c r="V12" s="10"/>
    </row>
    <row r="13" spans="1:22" ht="12.75" customHeight="1">
      <c r="A13" s="9"/>
      <c r="B13" s="29" t="s">
        <v>51</v>
      </c>
      <c r="C13" s="65" t="e">
        <f ca="1">Self_DPS</f>
        <v>#NAME?</v>
      </c>
      <c r="D13" s="21"/>
      <c r="E13" s="29" t="s">
        <v>52</v>
      </c>
      <c r="F13" s="66">
        <f>IF(Name="-",0,E_CHPV / Self_DPS)</f>
        <v>0</v>
      </c>
      <c r="G13" s="21"/>
      <c r="H13" s="29" t="s">
        <v>53</v>
      </c>
      <c r="I13" s="67">
        <f>IF(H13="All in",VLOOKUP(B3,Champs!A:AH,33,FALSE),0)</f>
        <v>0</v>
      </c>
      <c r="J13" s="9"/>
      <c r="K13" s="52" t="s">
        <v>54</v>
      </c>
      <c r="L13" s="68">
        <f>VLOOKUP(Name,Champs!A2:Y200,25,FALSE)</f>
        <v>0</v>
      </c>
      <c r="M13" s="54"/>
      <c r="N13" s="55">
        <f>Calc!K38</f>
        <v>0</v>
      </c>
      <c r="O13" s="56">
        <f>IF(OR(Name="-",Name="Aphelios"),0,L13/N13)</f>
        <v>0</v>
      </c>
      <c r="P13" s="9"/>
      <c r="Q13" s="657"/>
      <c r="R13" s="657"/>
      <c r="S13" s="657"/>
      <c r="T13" s="657"/>
      <c r="U13" s="657"/>
      <c r="V13" s="10"/>
    </row>
    <row r="14" spans="1:22" ht="12.75" customHeight="1">
      <c r="A14" s="9"/>
      <c r="B14" s="17"/>
      <c r="C14" s="69"/>
      <c r="D14" s="17"/>
      <c r="E14" s="17"/>
      <c r="F14" s="17"/>
      <c r="G14" s="17"/>
      <c r="H14" s="17"/>
      <c r="I14" s="17"/>
      <c r="J14" s="9"/>
      <c r="K14" s="70"/>
      <c r="L14" s="70"/>
      <c r="M14" s="17"/>
      <c r="N14" s="17"/>
      <c r="O14" s="17"/>
      <c r="P14" s="9"/>
      <c r="Q14" s="657"/>
      <c r="R14" s="657"/>
      <c r="S14" s="657"/>
      <c r="T14" s="657"/>
      <c r="U14" s="657"/>
      <c r="V14" s="10"/>
    </row>
    <row r="15" spans="1:22" ht="12.75" customHeight="1">
      <c r="A15" s="9"/>
      <c r="B15" s="664" t="s">
        <v>55</v>
      </c>
      <c r="C15" s="657"/>
      <c r="D15" s="71"/>
      <c r="E15" s="665" t="s">
        <v>56</v>
      </c>
      <c r="F15" s="657"/>
      <c r="G15" s="71"/>
      <c r="H15" s="680" t="s">
        <v>57</v>
      </c>
      <c r="I15" s="657"/>
      <c r="J15" s="9"/>
      <c r="K15" s="666" t="s">
        <v>58</v>
      </c>
      <c r="L15" s="657"/>
      <c r="M15" s="17"/>
      <c r="N15" s="667" t="s">
        <v>59</v>
      </c>
      <c r="O15" s="657"/>
      <c r="P15" s="9"/>
      <c r="Q15" s="657"/>
      <c r="R15" s="657"/>
      <c r="S15" s="657"/>
      <c r="T15" s="657"/>
      <c r="U15" s="657"/>
      <c r="V15" s="10"/>
    </row>
    <row r="16" spans="1:22" ht="12.75" customHeight="1">
      <c r="A16" s="9"/>
      <c r="B16" s="72" t="s">
        <v>60</v>
      </c>
      <c r="C16" s="73" t="str">
        <f>Self_MaxCS</f>
        <v>0</v>
      </c>
      <c r="D16" s="71"/>
      <c r="E16" s="668" t="s">
        <v>61</v>
      </c>
      <c r="F16" s="657"/>
      <c r="G16" s="71"/>
      <c r="H16" s="74" t="s">
        <v>62</v>
      </c>
      <c r="I16" s="75">
        <v>0</v>
      </c>
      <c r="J16" s="9"/>
      <c r="K16" s="74" t="s">
        <v>63</v>
      </c>
      <c r="L16" s="75">
        <v>100</v>
      </c>
      <c r="M16" s="17"/>
      <c r="N16" s="669" t="s">
        <v>11</v>
      </c>
      <c r="O16" s="657"/>
      <c r="P16" s="9"/>
      <c r="Q16" s="657"/>
      <c r="R16" s="657"/>
      <c r="S16" s="657"/>
      <c r="T16" s="657"/>
      <c r="U16" s="657"/>
      <c r="V16" s="10"/>
    </row>
    <row r="17" spans="1:22" ht="12.75" customHeight="1">
      <c r="A17" s="9"/>
      <c r="B17" s="76" t="s">
        <v>64</v>
      </c>
      <c r="C17" s="77">
        <f>Self_MaxGold</f>
        <v>500</v>
      </c>
      <c r="D17" s="71"/>
      <c r="E17" s="78" t="s">
        <v>65</v>
      </c>
      <c r="F17" s="79" t="str">
        <f>IF(E18="-","",IF(E16="Precision",VLOOKUP(E18,Runes!A1:D7,2,TRUE),IF(E16="Domination",VLOOKUP(E18,Runes!E1:H7,2,TRUE),IF(E16="Sorcery",VLOOKUP(E18,Runes!I1:L7,2,TRUE),IF(E16="Resolve",VLOOKUP(E18,Runes!M1:P7,2,TRUE),IF(E16="Inspiration",VLOOKUP(E18,Runes!Q1:T7,2,TRUE),"Not Taken"))))))</f>
        <v/>
      </c>
      <c r="G17" s="71"/>
      <c r="H17" s="80" t="s">
        <v>66</v>
      </c>
      <c r="I17" s="81">
        <v>0</v>
      </c>
      <c r="J17" s="9"/>
      <c r="K17" s="82" t="s">
        <v>67</v>
      </c>
      <c r="L17" s="83" t="b">
        <v>0</v>
      </c>
      <c r="M17" s="17"/>
      <c r="N17" s="78" t="s">
        <v>7</v>
      </c>
      <c r="O17" s="81">
        <v>1</v>
      </c>
      <c r="P17" s="9"/>
      <c r="Q17" s="657"/>
      <c r="R17" s="657"/>
      <c r="S17" s="657"/>
      <c r="T17" s="657"/>
      <c r="U17" s="657"/>
      <c r="V17" s="10"/>
    </row>
    <row r="18" spans="1:22" ht="12.75" customHeight="1">
      <c r="A18" s="9"/>
      <c r="B18" s="84" t="s">
        <v>68</v>
      </c>
      <c r="C18" s="85">
        <f>Self_Gold</f>
        <v>500</v>
      </c>
      <c r="D18" s="71"/>
      <c r="E18" s="26" t="s">
        <v>11</v>
      </c>
      <c r="F18" s="86" t="str">
        <f>IF(E18="-","",IF(E16="Precision",VLOOKUP(E18,Runes!A1:D7,4,FALSE),IF(E16="Domination",VLOOKUP(E18,Runes!E1:H7,4,FALSE),IF(E16="Sorcery",VLOOKUP(E18,Runes!I1:L7,4,FALSE),IF(E16="Resolve",VLOOKUP(E18,Runes!M1:P7,4,FALSE),IF(E16="Inspiration",VLOOKUP(E18,Runes!Q1:T7,4,FALSE),0))))))</f>
        <v/>
      </c>
      <c r="G18" s="71"/>
      <c r="H18" s="74" t="s">
        <v>69</v>
      </c>
      <c r="I18" s="75">
        <v>0</v>
      </c>
      <c r="J18" s="9"/>
      <c r="K18" s="87" t="s">
        <v>18</v>
      </c>
      <c r="L18" s="88" t="b">
        <v>0</v>
      </c>
      <c r="M18" s="17"/>
      <c r="N18" s="89" t="e">
        <f ca="1">IF(O18="-","Mystic",VLOOKUP(O18,Items!$A$3:$AN$200,40,FALSE))</f>
        <v>#NAME?</v>
      </c>
      <c r="O18" s="90" t="s">
        <v>70</v>
      </c>
      <c r="P18" s="9"/>
      <c r="Q18" s="657"/>
      <c r="R18" s="657"/>
      <c r="S18" s="657"/>
      <c r="T18" s="657"/>
      <c r="U18" s="657"/>
      <c r="V18" s="10"/>
    </row>
    <row r="19" spans="1:22" ht="12.75" customHeight="1">
      <c r="A19" s="9"/>
      <c r="B19" s="76" t="s">
        <v>71</v>
      </c>
      <c r="C19" s="91">
        <f>IT_Cost</f>
        <v>0</v>
      </c>
      <c r="D19" s="71"/>
      <c r="E19" s="78" t="s">
        <v>72</v>
      </c>
      <c r="F19" s="79" t="str">
        <f>IF(E20="-","",IF(E16="Precision",VLOOKUP(E20,Runes!A8:D13,2,TRUE),IF(E16="Domination",VLOOKUP(E20,Runes!E8:H13,2,TRUE),IF(E16="Sorcery",VLOOKUP(E20,Runes!I8:L13,2,TRUE),IF(E16="Resolve",VLOOKUP(E20,Runes!M8:P13,2,TRUE),IF(E16="Inspiration",VLOOKUP(E20,Runes!Q8:T13,2,TRUE),"Not Taken"))))))</f>
        <v/>
      </c>
      <c r="G19" s="71"/>
      <c r="H19" s="679" t="s">
        <v>73</v>
      </c>
      <c r="I19" s="657"/>
      <c r="J19" s="9"/>
      <c r="K19" s="82" t="s">
        <v>23</v>
      </c>
      <c r="L19" s="92" t="b">
        <v>0</v>
      </c>
      <c r="M19" s="17"/>
      <c r="N19" s="93" t="e">
        <f ca="1">VLOOKUP(O19,Items!$A$2:$AN$200,40,FALSE)</f>
        <v>#NAME?</v>
      </c>
      <c r="O19" s="94" t="s">
        <v>11</v>
      </c>
      <c r="P19" s="9"/>
      <c r="Q19" s="657"/>
      <c r="R19" s="657"/>
      <c r="S19" s="657"/>
      <c r="T19" s="657"/>
      <c r="U19" s="657"/>
      <c r="V19" s="10"/>
    </row>
    <row r="20" spans="1:22" ht="12.75" customHeight="1">
      <c r="A20" s="9"/>
      <c r="B20" s="95" t="s">
        <v>74</v>
      </c>
      <c r="C20" s="96" t="b">
        <v>0</v>
      </c>
      <c r="D20" s="71"/>
      <c r="E20" s="26" t="s">
        <v>11</v>
      </c>
      <c r="F20" s="86" t="str">
        <f>IF(E20="-","",IF(E16="Precision",VLOOKUP(E20,Runes!A8:D13,4,FALSE),IF(E16="Domination",VLOOKUP(E20,Runes!E8:H13,4,FALSE),IF(E16="Sorcery",VLOOKUP(E20,Runes!I8:L13,4,FALSE),IF(E16="Resolve",VLOOKUP(E20,Runes!M8:P13,4,FALSE),IF(E16="Inspiration",VLOOKUP(E20,Runes!Q8:T13,4,FALSE),0))))))</f>
        <v/>
      </c>
      <c r="G20" s="71"/>
      <c r="H20" s="74" t="s">
        <v>75</v>
      </c>
      <c r="I20" s="75">
        <v>0</v>
      </c>
      <c r="J20" s="9"/>
      <c r="K20" s="87" t="s">
        <v>27</v>
      </c>
      <c r="L20" s="88" t="b">
        <v>0</v>
      </c>
      <c r="M20" s="17"/>
      <c r="N20" s="89" t="e">
        <f ca="1">VLOOKUP(O20,Items!$A$2:$AN$200,40,FALSE)</f>
        <v>#NAME?</v>
      </c>
      <c r="O20" s="90" t="s">
        <v>11</v>
      </c>
      <c r="P20" s="9"/>
      <c r="Q20" s="657"/>
      <c r="R20" s="657"/>
      <c r="S20" s="657"/>
      <c r="T20" s="657"/>
      <c r="U20" s="657"/>
      <c r="V20" s="10"/>
    </row>
    <row r="21" spans="1:22" ht="12.75" customHeight="1">
      <c r="A21" s="9"/>
      <c r="B21" s="681" t="s">
        <v>76</v>
      </c>
      <c r="C21" s="657"/>
      <c r="D21" s="71"/>
      <c r="E21" s="78" t="s">
        <v>77</v>
      </c>
      <c r="F21" s="79" t="str">
        <f>IF(E22="-","",IF(E16="Precision",VLOOKUP(E22,Runes!A14:D19,2,TRUE),IF(E16="Domination",VLOOKUP(E22,Runes!E14:H19,2,TRUE),IF(E16="Sorcery",VLOOKUP(E22,Runes!I14:L19,2,TRUE),IF(E16="Resolve",VLOOKUP(E22,Runes!M14:P19,2,TRUE),IF(E16="Inspiration",VLOOKUP(E22,Runes!Q14:T19,2,TRUE),"Not Taken"))))))</f>
        <v/>
      </c>
      <c r="G21" s="71"/>
      <c r="H21" s="80" t="s">
        <v>78</v>
      </c>
      <c r="I21" s="81">
        <v>0</v>
      </c>
      <c r="J21" s="9"/>
      <c r="K21" s="82" t="s">
        <v>32</v>
      </c>
      <c r="L21" s="92" t="b">
        <v>0</v>
      </c>
      <c r="M21" s="17"/>
      <c r="N21" s="93" t="e">
        <f ca="1">VLOOKUP(O21,Items!$A$2:$AN$200,40,FALSE)</f>
        <v>#NAME?</v>
      </c>
      <c r="O21" s="94" t="s">
        <v>11</v>
      </c>
      <c r="P21" s="9"/>
      <c r="Q21" s="657"/>
      <c r="R21" s="657"/>
      <c r="S21" s="657"/>
      <c r="T21" s="657"/>
      <c r="U21" s="657"/>
      <c r="V21" s="10"/>
    </row>
    <row r="22" spans="1:22" ht="12.75" customHeight="1">
      <c r="A22" s="9"/>
      <c r="B22" s="97" t="e">
        <f ca="1">VLOOKUP(C22,Items!$A$2:$AO$227,40,FALSE)</f>
        <v>#NAME?</v>
      </c>
      <c r="C22" s="90" t="s">
        <v>70</v>
      </c>
      <c r="D22" s="71"/>
      <c r="E22" s="26" t="s">
        <v>11</v>
      </c>
      <c r="F22" s="86" t="str">
        <f>IF(E22="-","",IF(E16="Precision",VLOOKUP(E22,Runes!A14:D19,4,FALSE),IF(E16="Domination",VLOOKUP(E22,Runes!E14:H19,4,FALSE),IF(E16="Sorcery",VLOOKUP(E22,Runes!I14:L19,4,FALSE),IF(E16="Resolve",VLOOKUP(E22,Runes!M14:P19,4,FALSE),IF(E16="Inspiration",VLOOKUP(E22,Runes!Q14:T19,4,FALSE),0))))))</f>
        <v/>
      </c>
      <c r="G22" s="71"/>
      <c r="H22" s="74" t="s">
        <v>79</v>
      </c>
      <c r="I22" s="75">
        <v>0</v>
      </c>
      <c r="J22" s="9"/>
      <c r="K22" s="87" t="s">
        <v>54</v>
      </c>
      <c r="L22" s="88" t="b">
        <v>0</v>
      </c>
      <c r="M22" s="17"/>
      <c r="N22" s="89" t="e">
        <f ca="1">VLOOKUP(O22,Items!$A$2:$AN$200,40,FALSE)</f>
        <v>#NAME?</v>
      </c>
      <c r="O22" s="90" t="s">
        <v>11</v>
      </c>
      <c r="P22" s="9"/>
      <c r="Q22" s="657"/>
      <c r="R22" s="657"/>
      <c r="S22" s="657"/>
      <c r="T22" s="657"/>
      <c r="U22" s="657"/>
      <c r="V22" s="10"/>
    </row>
    <row r="23" spans="1:22" ht="12.75" customHeight="1">
      <c r="A23" s="9"/>
      <c r="B23" s="98" t="e">
        <f ca="1">VLOOKUP(C23,Items!$A$2:$AO$227,40,FALSE)</f>
        <v>#NAME?</v>
      </c>
      <c r="C23" s="94" t="s">
        <v>11</v>
      </c>
      <c r="D23" s="71"/>
      <c r="E23" s="78" t="s">
        <v>80</v>
      </c>
      <c r="F23" s="79" t="str">
        <f>IF(E24="-","",IF(E16="Precision",VLOOKUP(E24,Runes!A20:D25,2,TRUE),IF(E16="Domination",VLOOKUP(E24,Runes!E20:H25,2,TRUE),IF(E16="Sorcery",VLOOKUP(E24,Runes!I20:L25,2,TRUE),IF(E16="Resolve",VLOOKUP(E24,Runes!M20:P25,2,TRUE),IF(E16="Inspiration",VLOOKUP(E24,Runes!Q20:T25,2,TRUE),"Not Taken"))))))</f>
        <v/>
      </c>
      <c r="G23" s="71"/>
      <c r="H23" s="80" t="s">
        <v>81</v>
      </c>
      <c r="I23" s="81">
        <v>0</v>
      </c>
      <c r="J23" s="9"/>
      <c r="K23" s="82" t="s">
        <v>82</v>
      </c>
      <c r="L23" s="83" t="b">
        <v>0</v>
      </c>
      <c r="M23" s="17"/>
      <c r="N23" s="93" t="e">
        <f ca="1">VLOOKUP(O23,Items!$A$2:$AN$200,40,FALSE)</f>
        <v>#NAME?</v>
      </c>
      <c r="O23" s="94" t="s">
        <v>11</v>
      </c>
      <c r="P23" s="9"/>
      <c r="Q23" s="17"/>
      <c r="R23" s="17"/>
      <c r="S23" s="17"/>
      <c r="T23" s="17"/>
      <c r="U23" s="17"/>
      <c r="V23" s="10"/>
    </row>
    <row r="24" spans="1:22" ht="12.75" customHeight="1">
      <c r="A24" s="9"/>
      <c r="B24" s="97" t="e">
        <f ca="1">VLOOKUP(C24,Items!$A$2:$AO$227,40,FALSE)</f>
        <v>#NAME?</v>
      </c>
      <c r="C24" s="90" t="s">
        <v>11</v>
      </c>
      <c r="D24" s="71"/>
      <c r="E24" s="26" t="s">
        <v>11</v>
      </c>
      <c r="F24" s="86" t="str">
        <f>IF(E24="-","",IF(E16="Precision",VLOOKUP(E24,Runes!A20:D25,4,FALSE),IF(E16="Domination",VLOOKUP(E24,Runes!E20:H25,4,FALSE),IF(E16="Sorcery",VLOOKUP(E24,Runes!I20:L25,4,FALSE),IF(E16="Resolve",VLOOKUP(E24,Runes!M20:P25,4,FALSE),IF(E16="Inspiration",VLOOKUP(E24,Runes!Q20:T25,4,FALSE),0))))))</f>
        <v/>
      </c>
      <c r="G24" s="71"/>
      <c r="H24" s="72" t="s">
        <v>83</v>
      </c>
      <c r="I24" s="75">
        <v>0</v>
      </c>
      <c r="J24" s="9"/>
      <c r="K24" s="87" t="s">
        <v>84</v>
      </c>
      <c r="L24" s="99" t="b">
        <v>0</v>
      </c>
      <c r="M24" s="17"/>
      <c r="N24" s="84" t="s">
        <v>63</v>
      </c>
      <c r="O24" s="100">
        <v>100</v>
      </c>
      <c r="P24" s="9"/>
      <c r="Q24" s="675" t="s">
        <v>85</v>
      </c>
      <c r="R24" s="657"/>
      <c r="S24" s="657"/>
      <c r="T24" s="657"/>
      <c r="U24" s="657"/>
      <c r="V24" s="10"/>
    </row>
    <row r="25" spans="1:22" ht="12.75" customHeight="1">
      <c r="A25" s="9"/>
      <c r="B25" s="98" t="e">
        <f ca="1">VLOOKUP(C25,Items!$A$2:$AO$227,40,FALSE)</f>
        <v>#NAME?</v>
      </c>
      <c r="C25" s="94" t="s">
        <v>11</v>
      </c>
      <c r="D25" s="71"/>
      <c r="E25" s="668" t="s">
        <v>86</v>
      </c>
      <c r="F25" s="657"/>
      <c r="G25" s="71"/>
      <c r="H25" s="76" t="s">
        <v>87</v>
      </c>
      <c r="I25" s="81">
        <v>0</v>
      </c>
      <c r="J25" s="9"/>
      <c r="K25" s="82" t="s">
        <v>88</v>
      </c>
      <c r="L25" s="83" t="b">
        <v>0</v>
      </c>
      <c r="M25" s="17"/>
      <c r="N25" s="78" t="s">
        <v>89</v>
      </c>
      <c r="O25" s="101">
        <v>0</v>
      </c>
      <c r="P25" s="9"/>
      <c r="Q25" s="685" t="str">
        <f>VLOOKUP(Name,ChampInfo!A1:B200,2,FALSE)</f>
        <v>Information about your specific champion will be shown here!</v>
      </c>
      <c r="R25" s="657"/>
      <c r="S25" s="657"/>
      <c r="T25" s="657"/>
      <c r="U25" s="657"/>
      <c r="V25" s="10"/>
    </row>
    <row r="26" spans="1:22" ht="12.75" customHeight="1">
      <c r="A26" s="9"/>
      <c r="B26" s="97" t="e">
        <f ca="1">VLOOKUP(C26,Items!$A$2:$AO$227,40,FALSE)</f>
        <v>#NAME?</v>
      </c>
      <c r="C26" s="90" t="s">
        <v>11</v>
      </c>
      <c r="D26" s="71"/>
      <c r="E26" s="84" t="s">
        <v>72</v>
      </c>
      <c r="F26" s="102" t="str">
        <f>IF(E27="-","",IF(E25="Precision",VLOOKUP(E27,Runes!A8:D13,2,TRUE),IF(E25="Domination",VLOOKUP(E27,Runes!E8:H13,2,TRUE),IF(E25="Sorcery",VLOOKUP(E27,Runes!I8:L13,2,TRUE),IF(E25="Resolve",VLOOKUP(E27,Runes!M8:P13,2,TRUE),IF(E25="Inspiration",VLOOKUP(E27,Runes!Q8:T13,2,TRUE),"Not Taken"))))))</f>
        <v/>
      </c>
      <c r="G26" s="71"/>
      <c r="H26" s="74" t="s">
        <v>90</v>
      </c>
      <c r="I26" s="99" t="b">
        <v>0</v>
      </c>
      <c r="J26" s="9"/>
      <c r="K26" s="74" t="s">
        <v>91</v>
      </c>
      <c r="L26" s="99" t="b">
        <v>0</v>
      </c>
      <c r="M26" s="17"/>
      <c r="N26" s="84" t="s">
        <v>92</v>
      </c>
      <c r="O26" s="100">
        <v>0</v>
      </c>
      <c r="P26" s="9"/>
      <c r="Q26" s="657"/>
      <c r="R26" s="657"/>
      <c r="S26" s="657"/>
      <c r="T26" s="657"/>
      <c r="U26" s="657"/>
      <c r="V26" s="10"/>
    </row>
    <row r="27" spans="1:22" ht="12.75" customHeight="1">
      <c r="A27" s="9"/>
      <c r="B27" s="98" t="e">
        <f ca="1">VLOOKUP(C27,Items!$A$2:$AO$227,40,FALSE)</f>
        <v>#NAME?</v>
      </c>
      <c r="C27" s="94" t="s">
        <v>11</v>
      </c>
      <c r="D27" s="71"/>
      <c r="E27" s="44" t="s">
        <v>11</v>
      </c>
      <c r="F27" s="103" t="str">
        <f>IF(E27="-","",IF(E25="Precision",VLOOKUP(E27,Runes!A8:D13,4,FALSE),IF(E25="Domination",VLOOKUP(E27,Runes!E8:H13,4,FALSE),IF(E25="Sorcery",VLOOKUP(E27,Runes!I8:L13,4,FALSE),IF(E25="Resolve",VLOOKUP(E27,Runes!M8:P13,4,FALSE),IF(E25="Inspiration",VLOOKUP(E27,Runes!Q8:T13,4,FALSE),0))))))</f>
        <v/>
      </c>
      <c r="G27" s="71"/>
      <c r="H27" s="80" t="s">
        <v>93</v>
      </c>
      <c r="I27" s="83" t="b">
        <v>0</v>
      </c>
      <c r="J27" s="9"/>
      <c r="K27" s="104" t="s">
        <v>94</v>
      </c>
      <c r="L27" s="83" t="b">
        <v>0</v>
      </c>
      <c r="M27" s="17"/>
      <c r="N27" s="78" t="s">
        <v>95</v>
      </c>
      <c r="O27" s="105">
        <v>0</v>
      </c>
      <c r="P27" s="9"/>
      <c r="Q27" s="657"/>
      <c r="R27" s="657"/>
      <c r="S27" s="657"/>
      <c r="T27" s="657"/>
      <c r="U27" s="657"/>
      <c r="V27" s="10"/>
    </row>
    <row r="28" spans="1:22" ht="12.75" customHeight="1">
      <c r="A28" s="9"/>
      <c r="B28" s="97" t="e">
        <f ca="1">VLOOKUP(C28,Items!$A$2:$AO$227,40,FALSE)</f>
        <v>#NAME?</v>
      </c>
      <c r="C28" s="90" t="s">
        <v>96</v>
      </c>
      <c r="D28" s="71"/>
      <c r="E28" s="84" t="s">
        <v>77</v>
      </c>
      <c r="F28" s="102" t="str">
        <f>IF(E29="-","",IF(E25="Precision",VLOOKUP(E29,Runes!A14:D19,2,TRUE),IF(E25="Domination",VLOOKUP(E29,Runes!E14:H19,2,TRUE),IF(E25="Sorcery",VLOOKUP(E29,Runes!I14:L19,2,TRUE),IF(E25="Resolve",VLOOKUP(E29,Runes!M14:P19,2,TRUE),IF(E25="Inspiration",VLOOKUP(E29,Runes!Q14:T19,2,TRUE),"Not Taken"))))))</f>
        <v/>
      </c>
      <c r="G28" s="71"/>
      <c r="H28" s="72" t="s">
        <v>97</v>
      </c>
      <c r="I28" s="106" t="b">
        <v>0</v>
      </c>
      <c r="J28" s="9"/>
      <c r="K28" s="74" t="s">
        <v>98</v>
      </c>
      <c r="L28" s="99" t="b">
        <v>0</v>
      </c>
      <c r="M28" s="17"/>
      <c r="N28" s="676" t="s">
        <v>99</v>
      </c>
      <c r="O28" s="657"/>
      <c r="P28" s="9"/>
      <c r="Q28" s="657"/>
      <c r="R28" s="657"/>
      <c r="S28" s="657"/>
      <c r="T28" s="657"/>
      <c r="U28" s="657"/>
      <c r="V28" s="10"/>
    </row>
    <row r="29" spans="1:22" ht="12.75" customHeight="1">
      <c r="A29" s="9"/>
      <c r="B29" s="681" t="s">
        <v>100</v>
      </c>
      <c r="C29" s="657"/>
      <c r="D29" s="71"/>
      <c r="E29" s="44" t="s">
        <v>11</v>
      </c>
      <c r="F29" s="103" t="str">
        <f>IF(E29="-","",IF(E25="Precision",VLOOKUP(E29,Runes!A14:D19,4,FALSE),IF(E25="Domination",VLOOKUP(E29,Runes!E14:H19,4,FALSE),IF(E25="Sorcery",VLOOKUP(E29,Runes!I14:L19,4,FALSE),IF(E25="Resolve",VLOOKUP(E29,Runes!M14:P19,4,FALSE),IF(E25="Inspiration",VLOOKUP(E29,Runes!Q14:T19,4,FALSE),0))))))</f>
        <v/>
      </c>
      <c r="G29" s="71"/>
      <c r="H29" s="76" t="s">
        <v>101</v>
      </c>
      <c r="I29" s="107" t="b">
        <v>0</v>
      </c>
      <c r="J29" s="9"/>
      <c r="K29" s="108" t="s">
        <v>102</v>
      </c>
      <c r="L29" s="109" t="b">
        <v>0</v>
      </c>
      <c r="M29" s="110"/>
      <c r="N29" s="78" t="s">
        <v>33</v>
      </c>
      <c r="O29" s="111">
        <f>E_MHP</f>
        <v>0</v>
      </c>
      <c r="P29" s="9"/>
      <c r="Q29" s="657"/>
      <c r="R29" s="657"/>
      <c r="S29" s="657"/>
      <c r="T29" s="657"/>
      <c r="U29" s="657"/>
      <c r="V29" s="10"/>
    </row>
    <row r="30" spans="1:22" ht="12.75" customHeight="1">
      <c r="A30" s="9"/>
      <c r="B30" s="97" t="e">
        <f ca="1">VLOOKUP(C30,Items!$A$2:$AO$227,40,FALSE)</f>
        <v>#NAME?</v>
      </c>
      <c r="C30" s="90" t="s">
        <v>70</v>
      </c>
      <c r="D30" s="71"/>
      <c r="E30" s="84" t="s">
        <v>80</v>
      </c>
      <c r="F30" s="102" t="str">
        <f>IF(E31="-","",IF(E25="Precision",VLOOKUP(E31,Runes!A20:D25,2,TRUE),IF(E25="Domination",VLOOKUP(E31,Runes!E20:H25,2,TRUE),IF(E25="Sorcery",VLOOKUP(E31,Runes!I20:L25,2,TRUE),IF(E25="Resolve",VLOOKUP(E31,Runes!M20:P25,2,TRUE),IF(E25="Inspiration",VLOOKUP(E31,Runes!Q20:T25,2,TRUE),"Not Taken"))))))</f>
        <v/>
      </c>
      <c r="G30" s="71"/>
      <c r="H30" s="72" t="s">
        <v>103</v>
      </c>
      <c r="I30" s="106" t="b">
        <v>0</v>
      </c>
      <c r="J30" s="9"/>
      <c r="K30" s="17"/>
      <c r="L30" s="17"/>
      <c r="M30" s="110"/>
      <c r="N30" s="84" t="s">
        <v>42</v>
      </c>
      <c r="O30" s="85">
        <f>E_AR</f>
        <v>0</v>
      </c>
      <c r="P30" s="9"/>
      <c r="Q30" s="657"/>
      <c r="R30" s="657"/>
      <c r="S30" s="657"/>
      <c r="T30" s="657"/>
      <c r="U30" s="657"/>
      <c r="V30" s="10"/>
    </row>
    <row r="31" spans="1:22" ht="12.75" customHeight="1">
      <c r="A31" s="9"/>
      <c r="B31" s="98" t="e">
        <f ca="1">VLOOKUP(C31,Items!$A$2:$AO$227,40,FALSE)</f>
        <v>#NAME?</v>
      </c>
      <c r="C31" s="94" t="s">
        <v>11</v>
      </c>
      <c r="D31" s="71"/>
      <c r="E31" s="44" t="s">
        <v>11</v>
      </c>
      <c r="F31" s="103" t="str">
        <f>IF(E31="-","",IF(E25="Precision",VLOOKUP(E31,Runes!A20:D25,4,FALSE),IF(E25="Domination",VLOOKUP(E31,Runes!E20:H25,4,FALSE),IF(E25="Sorcery",VLOOKUP(E31,Runes!I20:L25,4,FALSE),IF(E25="Resolve",VLOOKUP(E31,Runes!M20:P25,4,FALSE),IF(E25="Inspiration",VLOOKUP(E31,Runes!Q20:T25,4,FALSE),0))))))</f>
        <v/>
      </c>
      <c r="G31" s="71"/>
      <c r="H31" s="76" t="s">
        <v>104</v>
      </c>
      <c r="I31" s="107" t="b">
        <v>0</v>
      </c>
      <c r="J31" s="9"/>
      <c r="K31" s="17"/>
      <c r="L31" s="17"/>
      <c r="M31" s="110"/>
      <c r="N31" s="78" t="s">
        <v>105</v>
      </c>
      <c r="O31" s="111">
        <f>E_MR</f>
        <v>0</v>
      </c>
      <c r="P31" s="9"/>
      <c r="Q31" s="17"/>
      <c r="R31" s="17"/>
      <c r="S31" s="17"/>
      <c r="T31" s="17"/>
      <c r="U31" s="17"/>
      <c r="V31" s="10"/>
    </row>
    <row r="32" spans="1:22" ht="12.75" customHeight="1">
      <c r="A32" s="9"/>
      <c r="B32" s="97" t="e">
        <f ca="1">VLOOKUP(C32,Items!$A$2:$AO$227,40,FALSE)</f>
        <v>#NAME?</v>
      </c>
      <c r="C32" s="90" t="s">
        <v>11</v>
      </c>
      <c r="D32" s="71"/>
      <c r="E32" s="682" t="s">
        <v>106</v>
      </c>
      <c r="F32" s="657"/>
      <c r="G32" s="71"/>
      <c r="H32" s="72" t="s">
        <v>107</v>
      </c>
      <c r="I32" s="106" t="b">
        <v>0</v>
      </c>
      <c r="J32" s="9"/>
      <c r="K32" s="110"/>
      <c r="L32" s="110"/>
      <c r="M32" s="110"/>
      <c r="N32" s="110"/>
      <c r="O32" s="110"/>
      <c r="P32" s="9"/>
      <c r="Q32" s="686" t="s">
        <v>108</v>
      </c>
      <c r="R32" s="657"/>
      <c r="S32" s="657"/>
      <c r="T32" s="657"/>
      <c r="U32" s="657"/>
      <c r="V32" s="10"/>
    </row>
    <row r="33" spans="1:22" ht="12.75" customHeight="1">
      <c r="A33" s="9"/>
      <c r="B33" s="98" t="e">
        <f ca="1">VLOOKUP(C33,Items!$A$2:$AO$227,40,FALSE)</f>
        <v>#NAME?</v>
      </c>
      <c r="C33" s="94" t="s">
        <v>11</v>
      </c>
      <c r="D33" s="71"/>
      <c r="E33" s="78" t="s">
        <v>109</v>
      </c>
      <c r="F33" s="112" t="str">
        <f>IF(E34="-","",E34)</f>
        <v/>
      </c>
      <c r="G33" s="71"/>
      <c r="H33" s="76" t="s">
        <v>110</v>
      </c>
      <c r="I33" s="107" t="b">
        <v>0</v>
      </c>
      <c r="J33" s="9"/>
      <c r="K33" s="17"/>
      <c r="L33" s="110"/>
      <c r="M33" s="110"/>
      <c r="N33" s="687" t="s">
        <v>111</v>
      </c>
      <c r="O33" s="657"/>
      <c r="P33" s="9"/>
      <c r="Q33" s="657"/>
      <c r="R33" s="657"/>
      <c r="S33" s="657"/>
      <c r="T33" s="657"/>
      <c r="U33" s="657"/>
      <c r="V33" s="10"/>
    </row>
    <row r="34" spans="1:22" ht="12.75" customHeight="1">
      <c r="A34" s="9"/>
      <c r="B34" s="97" t="e">
        <f ca="1">VLOOKUP(C34,Items!$A$2:$AO$227,40,FALSE)</f>
        <v>#NAME?</v>
      </c>
      <c r="C34" s="90" t="s">
        <v>11</v>
      </c>
      <c r="D34" s="71"/>
      <c r="E34" s="26" t="s">
        <v>11</v>
      </c>
      <c r="F34" s="113" t="str">
        <f>IF(VLOOKUP(E34,Runes!V2:X7,3,FALSE)=0,"",VLOOKUP(E34,Runes!V2:X7,3,FALSE))</f>
        <v/>
      </c>
      <c r="G34" s="71"/>
      <c r="H34" s="679" t="s">
        <v>112</v>
      </c>
      <c r="I34" s="657"/>
      <c r="J34" s="9"/>
      <c r="K34" s="114"/>
      <c r="L34" s="114"/>
      <c r="M34" s="114"/>
      <c r="N34" s="115" t="s">
        <v>113</v>
      </c>
      <c r="O34" s="116">
        <f>Self_Level*(100*Self_Level+80)-50*Self_Level*(Self_Level-1)-180</f>
        <v>0</v>
      </c>
      <c r="P34" s="9"/>
      <c r="Q34" s="688" t="str">
        <f>HYPERLINK("https://www.paypal.me/Cr1xaliz?locale.x=de_DE","Donating")</f>
        <v>Donating</v>
      </c>
      <c r="R34" s="657"/>
      <c r="S34" s="657"/>
      <c r="T34" s="657"/>
      <c r="U34" s="657"/>
      <c r="V34" s="10"/>
    </row>
    <row r="35" spans="1:22" ht="12.75" customHeight="1">
      <c r="A35" s="9"/>
      <c r="B35" s="98" t="e">
        <f ca="1">VLOOKUP(C35,Items!$A$2:$AO$227,40,FALSE)</f>
        <v>#NAME?</v>
      </c>
      <c r="C35" s="94" t="s">
        <v>11</v>
      </c>
      <c r="D35" s="71"/>
      <c r="E35" s="78" t="s">
        <v>114</v>
      </c>
      <c r="F35" s="112" t="str">
        <f>IF(E36="-","",E36)</f>
        <v/>
      </c>
      <c r="G35" s="71"/>
      <c r="H35" s="76" t="s">
        <v>115</v>
      </c>
      <c r="I35" s="83" t="b">
        <v>0</v>
      </c>
      <c r="J35" s="9"/>
      <c r="K35" s="117"/>
      <c r="L35" s="114"/>
      <c r="M35" s="114"/>
      <c r="N35" s="118" t="s">
        <v>116</v>
      </c>
      <c r="O35" s="119">
        <f>Minion*Gold!J10*Gold!J2</f>
        <v>0</v>
      </c>
      <c r="P35" s="9"/>
      <c r="Q35" s="657"/>
      <c r="R35" s="657"/>
      <c r="S35" s="657"/>
      <c r="T35" s="657"/>
      <c r="U35" s="657"/>
      <c r="V35" s="10"/>
    </row>
    <row r="36" spans="1:22" ht="12.75" customHeight="1">
      <c r="A36" s="9"/>
      <c r="B36" s="97" t="e">
        <f ca="1">VLOOKUP(C36,Items!$A$2:$AO$227,40,FALSE)</f>
        <v>#NAME?</v>
      </c>
      <c r="C36" s="90" t="s">
        <v>96</v>
      </c>
      <c r="D36" s="71"/>
      <c r="E36" s="26" t="s">
        <v>11</v>
      </c>
      <c r="F36" s="113" t="str">
        <f>IF(VLOOKUP(E36,Runes!V8:X13,3,FALSE)=0,"",VLOOKUP(E36,Runes!V8:X13,3,FALSE))</f>
        <v/>
      </c>
      <c r="G36" s="71"/>
      <c r="H36" s="72" t="s">
        <v>117</v>
      </c>
      <c r="I36" s="120">
        <v>1</v>
      </c>
      <c r="J36" s="9"/>
      <c r="K36" s="121"/>
      <c r="L36" s="114"/>
      <c r="M36" s="114"/>
      <c r="N36" s="115" t="s">
        <v>118</v>
      </c>
      <c r="O36" s="116" t="b">
        <v>0</v>
      </c>
      <c r="P36" s="9"/>
      <c r="Q36" s="686" t="s">
        <v>119</v>
      </c>
      <c r="R36" s="657"/>
      <c r="S36" s="657"/>
      <c r="T36" s="657"/>
      <c r="U36" s="657"/>
      <c r="V36" s="10"/>
    </row>
    <row r="37" spans="1:22" ht="12.75" customHeight="1">
      <c r="A37" s="9"/>
      <c r="B37" s="677" t="s">
        <v>120</v>
      </c>
      <c r="C37" s="657"/>
      <c r="D37" s="71"/>
      <c r="E37" s="80" t="s">
        <v>121</v>
      </c>
      <c r="F37" s="112" t="str">
        <f>IF(E38="-","",E38)</f>
        <v/>
      </c>
      <c r="G37" s="71"/>
      <c r="H37" s="76" t="s">
        <v>122</v>
      </c>
      <c r="I37" s="122">
        <v>0</v>
      </c>
      <c r="J37" s="689"/>
      <c r="K37" s="657"/>
      <c r="L37" s="657"/>
      <c r="M37" s="657"/>
      <c r="N37" s="657"/>
      <c r="O37" s="114"/>
      <c r="P37" s="9"/>
      <c r="Q37" s="657"/>
      <c r="R37" s="657"/>
      <c r="S37" s="657"/>
      <c r="T37" s="657"/>
      <c r="U37" s="657"/>
      <c r="V37" s="10"/>
    </row>
    <row r="38" spans="1:22" ht="12.75" customHeight="1">
      <c r="A38" s="9"/>
      <c r="B38" s="74" t="s">
        <v>123</v>
      </c>
      <c r="C38" s="40">
        <v>0</v>
      </c>
      <c r="D38" s="71"/>
      <c r="E38" s="26" t="s">
        <v>11</v>
      </c>
      <c r="F38" s="113" t="str">
        <f>IF(VLOOKUP(E38,Runes!V14:X19,3,FALSE)=0,"",VLOOKUP(E38,Runes!V14:X19,3,FALSE))</f>
        <v/>
      </c>
      <c r="G38" s="71"/>
      <c r="H38" s="72" t="s">
        <v>124</v>
      </c>
      <c r="I38" s="124">
        <v>0</v>
      </c>
      <c r="J38" s="657"/>
      <c r="K38" s="657"/>
      <c r="L38" s="657"/>
      <c r="M38" s="657"/>
      <c r="N38" s="657"/>
      <c r="O38" s="114"/>
      <c r="P38" s="9"/>
      <c r="Q38" s="123"/>
      <c r="R38" s="123"/>
      <c r="S38" s="123"/>
      <c r="T38" s="123"/>
      <c r="U38" s="123"/>
      <c r="V38" s="10"/>
    </row>
    <row r="39" spans="1:22" ht="12.75" customHeight="1">
      <c r="A39" s="9"/>
      <c r="B39" s="125" t="s">
        <v>125</v>
      </c>
      <c r="C39" s="126">
        <v>0</v>
      </c>
      <c r="D39" s="71"/>
      <c r="E39" s="678" t="s">
        <v>126</v>
      </c>
      <c r="F39" s="657"/>
      <c r="G39" s="71"/>
      <c r="H39" s="679" t="s">
        <v>127</v>
      </c>
      <c r="I39" s="657"/>
      <c r="J39" s="657"/>
      <c r="K39" s="657"/>
      <c r="L39" s="657"/>
      <c r="M39" s="657"/>
      <c r="N39" s="657"/>
      <c r="O39" s="127"/>
      <c r="P39" s="9"/>
      <c r="Q39" s="17"/>
      <c r="R39" s="17"/>
      <c r="S39" s="17"/>
      <c r="T39" s="17"/>
      <c r="U39" s="17"/>
      <c r="V39" s="10"/>
    </row>
    <row r="40" spans="1:22" ht="12.75" customHeight="1">
      <c r="A40" s="9"/>
      <c r="B40" s="17"/>
      <c r="C40" s="17"/>
      <c r="D40" s="71"/>
      <c r="E40" s="74" t="s">
        <v>128</v>
      </c>
      <c r="F40" s="40">
        <v>0</v>
      </c>
      <c r="G40" s="71"/>
      <c r="H40" s="128" t="s">
        <v>129</v>
      </c>
      <c r="I40" s="129" t="s">
        <v>11</v>
      </c>
      <c r="J40" s="657"/>
      <c r="K40" s="657"/>
      <c r="L40" s="657"/>
      <c r="M40" s="657"/>
      <c r="N40" s="657"/>
      <c r="O40" s="130"/>
      <c r="P40" s="9"/>
      <c r="Q40" s="684"/>
      <c r="R40" s="657"/>
      <c r="S40" s="657"/>
      <c r="T40" s="657"/>
      <c r="U40" s="657"/>
      <c r="V40" s="10"/>
    </row>
    <row r="41" spans="1:22" ht="12.75" customHeight="1">
      <c r="A41" s="9"/>
      <c r="B41" s="17"/>
      <c r="C41" s="17"/>
      <c r="D41" s="71"/>
      <c r="E41" s="80" t="s">
        <v>130</v>
      </c>
      <c r="F41" s="36">
        <v>0</v>
      </c>
      <c r="G41" s="71"/>
      <c r="H41" s="72" t="s">
        <v>131</v>
      </c>
      <c r="I41" s="131" t="s">
        <v>11</v>
      </c>
      <c r="J41" s="657"/>
      <c r="K41" s="657"/>
      <c r="L41" s="657"/>
      <c r="M41" s="657"/>
      <c r="N41" s="657"/>
      <c r="O41" s="130"/>
      <c r="P41" s="9"/>
      <c r="Q41" s="683"/>
      <c r="R41" s="657"/>
      <c r="S41" s="657"/>
      <c r="T41" s="657"/>
      <c r="U41" s="657"/>
      <c r="V41" s="10"/>
    </row>
    <row r="42" spans="1:22" ht="12.75" customHeight="1">
      <c r="A42" s="9"/>
      <c r="B42" s="17"/>
      <c r="C42" s="17"/>
      <c r="D42" s="71"/>
      <c r="E42" s="74" t="s">
        <v>132</v>
      </c>
      <c r="F42" s="40">
        <v>0</v>
      </c>
      <c r="G42" s="71"/>
      <c r="H42" s="128" t="s">
        <v>133</v>
      </c>
      <c r="I42" s="132">
        <v>0</v>
      </c>
      <c r="J42" s="657"/>
      <c r="K42" s="657"/>
      <c r="L42" s="657"/>
      <c r="M42" s="657"/>
      <c r="N42" s="657"/>
      <c r="O42" s="17"/>
      <c r="P42" s="9"/>
      <c r="Q42" s="657"/>
      <c r="R42" s="657"/>
      <c r="S42" s="657"/>
      <c r="T42" s="657"/>
      <c r="U42" s="657"/>
      <c r="V42" s="10"/>
    </row>
    <row r="43" spans="1:22" ht="13.5" customHeight="1">
      <c r="A43" s="9"/>
      <c r="B43" s="133"/>
      <c r="C43" s="134"/>
      <c r="D43" s="71"/>
      <c r="E43" s="76" t="s">
        <v>134</v>
      </c>
      <c r="F43" s="135">
        <v>0</v>
      </c>
      <c r="G43" s="71"/>
      <c r="H43" s="136"/>
      <c r="I43" s="136"/>
      <c r="J43" s="657"/>
      <c r="K43" s="657"/>
      <c r="L43" s="657"/>
      <c r="M43" s="657"/>
      <c r="N43" s="657"/>
      <c r="O43" s="137"/>
      <c r="P43" s="9"/>
      <c r="Q43" s="684"/>
      <c r="R43" s="657"/>
      <c r="S43" s="657"/>
      <c r="T43" s="657"/>
      <c r="U43" s="657"/>
      <c r="V43" s="10"/>
    </row>
    <row r="44" spans="1:22" ht="13.5" customHeight="1">
      <c r="A44" s="9"/>
      <c r="B44" s="17"/>
      <c r="C44" s="17"/>
      <c r="D44" s="71"/>
      <c r="E44" s="17"/>
      <c r="F44" s="17"/>
      <c r="G44" s="71"/>
      <c r="H44" s="136"/>
      <c r="I44" s="136"/>
      <c r="J44" s="9"/>
      <c r="K44" s="110"/>
      <c r="L44" s="110"/>
      <c r="M44" s="110"/>
      <c r="N44" s="137"/>
      <c r="O44" s="138"/>
      <c r="P44" s="9"/>
      <c r="Q44" s="17"/>
      <c r="R44" s="17"/>
      <c r="S44" s="17"/>
      <c r="T44" s="17"/>
      <c r="U44" s="17"/>
      <c r="V44" s="10"/>
    </row>
    <row r="45" spans="1:22" ht="13.5" customHeight="1">
      <c r="A45" s="9"/>
      <c r="B45" s="17"/>
      <c r="C45" s="17"/>
      <c r="D45" s="71"/>
      <c r="E45" s="17"/>
      <c r="F45" s="17"/>
      <c r="G45" s="71"/>
      <c r="H45" s="136"/>
      <c r="I45" s="136"/>
      <c r="J45" s="9"/>
      <c r="K45" s="110"/>
      <c r="L45" s="110"/>
      <c r="M45" s="110"/>
      <c r="N45" s="137"/>
      <c r="O45" s="138"/>
      <c r="P45" s="9"/>
      <c r="Q45" s="17"/>
      <c r="R45" s="17"/>
      <c r="S45" s="17"/>
      <c r="T45" s="17"/>
      <c r="U45" s="17"/>
      <c r="V45" s="10"/>
    </row>
  </sheetData>
  <mergeCells count="40">
    <mergeCell ref="Q41:U42"/>
    <mergeCell ref="Q43:U43"/>
    <mergeCell ref="Q25:U30"/>
    <mergeCell ref="Q32:U33"/>
    <mergeCell ref="N33:O33"/>
    <mergeCell ref="Q34:U35"/>
    <mergeCell ref="Q36:U37"/>
    <mergeCell ref="J37:N43"/>
    <mergeCell ref="Q40:U40"/>
    <mergeCell ref="N28:O28"/>
    <mergeCell ref="B37:C37"/>
    <mergeCell ref="E39:F39"/>
    <mergeCell ref="H39:I39"/>
    <mergeCell ref="H15:I15"/>
    <mergeCell ref="H19:I19"/>
    <mergeCell ref="B21:C21"/>
    <mergeCell ref="E25:F25"/>
    <mergeCell ref="B29:C29"/>
    <mergeCell ref="E32:F32"/>
    <mergeCell ref="H34:I34"/>
    <mergeCell ref="U6:U8"/>
    <mergeCell ref="Q10:U10"/>
    <mergeCell ref="Q11:S11"/>
    <mergeCell ref="Q12:U22"/>
    <mergeCell ref="Q24:U24"/>
    <mergeCell ref="K15:L15"/>
    <mergeCell ref="N15:O15"/>
    <mergeCell ref="E16:F16"/>
    <mergeCell ref="N16:O16"/>
    <mergeCell ref="Q2:S8"/>
    <mergeCell ref="G4:G10"/>
    <mergeCell ref="B11:I11"/>
    <mergeCell ref="D4:D10"/>
    <mergeCell ref="B15:C15"/>
    <mergeCell ref="E15:F15"/>
    <mergeCell ref="B2:F2"/>
    <mergeCell ref="I2:I3"/>
    <mergeCell ref="K2:O2"/>
    <mergeCell ref="B3:F3"/>
    <mergeCell ref="K3:L3"/>
  </mergeCells>
  <conditionalFormatting sqref="E16 E25">
    <cfRule type="expression" dxfId="9" priority="1">
      <formula>IF(E16="Precision",1,0)</formula>
    </cfRule>
    <cfRule type="expression" dxfId="8" priority="2">
      <formula>IF(E16="Domination",1,0)</formula>
    </cfRule>
    <cfRule type="expression" dxfId="7" priority="3">
      <formula>IF(E16="Sorcery",1,0)</formula>
    </cfRule>
    <cfRule type="expression" dxfId="6" priority="4">
      <formula>IF(E16="Resolve",1,0)</formula>
    </cfRule>
    <cfRule type="expression" dxfId="5" priority="5">
      <formula>IF(E16="Inspiration",1,0)</formula>
    </cfRule>
  </conditionalFormatting>
  <dataValidations count="29">
    <dataValidation type="list" allowBlank="1" sqref="H5" xr:uid="{00000000-0002-0000-0100-000000000000}">
      <formula1>"Total Onhit,Physical Onhit,Magical Onhit,Truedamage Onhit"</formula1>
    </dataValidation>
    <dataValidation type="list" allowBlank="1" showErrorMessage="1" sqref="I20:I25" xr:uid="{00000000-0002-0000-0100-000001000000}">
      <formula1>"0,1,2,3,4"</formula1>
    </dataValidation>
    <dataValidation type="list" allowBlank="1" showErrorMessage="1" sqref="I40:I41" xr:uid="{00000000-0002-0000-0100-000002000000}">
      <formula1>"-,Calibrum,Severum,Gravitum,Infernum,Crescendum"</formula1>
    </dataValidation>
    <dataValidation type="list" allowBlank="1" showInputMessage="1" showErrorMessage="1" prompt="Insert a number between 0 and 25" sqref="C39" xr:uid="{00000000-0002-0000-0100-000003000000}">
      <formula1>"0,1,2,3,4,5,6,7,8,9,10,11,12,13,14,15,16,17,18,19,20,21,22,23,24,25"</formula1>
    </dataValidation>
    <dataValidation type="list" allowBlank="1" showErrorMessage="1" sqref="H4" xr:uid="{00000000-0002-0000-0100-000004000000}">
      <formula1>"Critchance,Critdamage"</formula1>
    </dataValidation>
    <dataValidation type="decimal" operator="greaterThanOrEqual" allowBlank="1" showDropDown="1" showErrorMessage="1" sqref="I16:I17 O25:O27 I37:I38 F42" xr:uid="{00000000-0002-0000-0100-000005000000}">
      <formula1>0</formula1>
    </dataValidation>
    <dataValidation type="list" allowBlank="1" sqref="L8" xr:uid="{00000000-0002-0000-0100-000006000000}">
      <formula1>"Damage,Heal"</formula1>
    </dataValidation>
    <dataValidation type="list" allowBlank="1" showErrorMessage="1" sqref="H3 O17" xr:uid="{00000000-0002-0000-0100-000007000000}">
      <formula1>"1,2,3,4,5,6,7,8,9,10,11,12,13,14,15,16,17,18"</formula1>
    </dataValidation>
    <dataValidation type="list" allowBlank="1" sqref="B7" xr:uid="{00000000-0002-0000-0100-00000A000000}">
      <formula1>"Lifesteal,Lifesteal/Hit,Lifesteal/sec"</formula1>
    </dataValidation>
    <dataValidation type="list" allowBlank="1" showErrorMessage="1" sqref="F43" xr:uid="{00000000-0002-0000-0100-00000B000000}">
      <formula1>"0,1,2,3,4,5,6,7,8,9,10,11,12"</formula1>
    </dataValidation>
    <dataValidation type="list" allowBlank="1" showErrorMessage="1" sqref="U11" xr:uid="{00000000-0002-0000-0100-00000C000000}">
      <formula1>"Season 13,Season 12,Season 11,Season 10,Season 9"</formula1>
    </dataValidation>
    <dataValidation type="list" allowBlank="1" showInputMessage="1" showErrorMessage="1" prompt="Please use an actual runepagename." sqref="E25" xr:uid="{00000000-0002-0000-0100-000012000000}">
      <formula1>"-Select Secondary Tree-,Precision,Domination,Sorcery,Resolve,Inspiration"</formula1>
    </dataValidation>
    <dataValidation type="list" allowBlank="1" showInputMessage="1" showErrorMessage="1" prompt="Please use an actual runepagename." sqref="E16" xr:uid="{00000000-0002-0000-0100-000013000000}">
      <formula1>"-Select Primary Tree-,Precision,Domination,Sorcery,Resolve,Inspiration"</formula1>
    </dataValidation>
    <dataValidation type="decimal" operator="greaterThanOrEqual" allowBlank="1" showDropDown="1" sqref="I18" xr:uid="{00000000-0002-0000-0100-000014000000}">
      <formula1>0</formula1>
    </dataValidation>
    <dataValidation type="list" allowBlank="1" sqref="E9" xr:uid="{00000000-0002-0000-0100-000015000000}">
      <formula1>"MP/5,MP/sec,MP/min"</formula1>
    </dataValidation>
    <dataValidation type="list" allowBlank="1" showErrorMessage="1" sqref="L4:L7 C38" xr:uid="{00000000-0002-0000-0100-000017000000}">
      <formula1>"0,1,2,3,4,5,6"</formula1>
    </dataValidation>
    <dataValidation type="list" allowBlank="1" sqref="H7" xr:uid="{00000000-0002-0000-0100-000018000000}">
      <formula1>"Shield Health,Physical Shield Health,Magical Shield Health"</formula1>
    </dataValidation>
    <dataValidation type="list" allowBlank="1" showErrorMessage="1" sqref="H12" xr:uid="{00000000-0002-0000-0100-000019000000}">
      <formula1>"Proc Damage,Item Damage,Infernal,Sheen Items"</formula1>
    </dataValidation>
    <dataValidation type="list" allowBlank="1" showErrorMessage="1" sqref="E6" xr:uid="{00000000-0002-0000-0100-00001A000000}">
      <formula1>"Magic Pen,Magicpen%,Ignored Resist"</formula1>
    </dataValidation>
    <dataValidation type="list" allowBlank="1" showErrorMessage="1" sqref="B9" xr:uid="{00000000-0002-0000-0100-00001C000000}">
      <formula1>"HP/sec,HP/5,HP/min"</formula1>
    </dataValidation>
    <dataValidation type="list" allowBlank="1" showErrorMessage="1" sqref="B8" xr:uid="{00000000-0002-0000-0100-00001D000000}">
      <formula1>"Health,Physical Health,Magical Health"</formula1>
    </dataValidation>
    <dataValidation type="list" allowBlank="1" showErrorMessage="1" sqref="F41" xr:uid="{00000000-0002-0000-0100-00001E000000}">
      <formula1>"0,1,2,3,4,5"</formula1>
    </dataValidation>
    <dataValidation type="list" allowBlank="1" sqref="E5" xr:uid="{00000000-0002-0000-0100-000021000000}">
      <formula1>"Ability Haste,Cooldown Reduction"</formula1>
    </dataValidation>
    <dataValidation type="decimal" allowBlank="1" showDropDown="1" showErrorMessage="1" sqref="L16 O24" xr:uid="{00000000-0002-0000-0100-000022000000}">
      <formula1>0</formula1>
      <formula2>100</formula2>
    </dataValidation>
    <dataValidation type="list" allowBlank="1" showErrorMessage="1" sqref="I42" xr:uid="{00000000-0002-0000-0100-000023000000}">
      <formula1>"0,1,2,3,4,5,6,7,8,9,10,11,12,13,14,15,16,17,18,19,20"</formula1>
    </dataValidation>
    <dataValidation type="list" allowBlank="1" showErrorMessage="1" sqref="B6" xr:uid="{00000000-0002-0000-0100-000024000000}">
      <formula1>"Lethality,Armorpen%,Ignored Armor"</formula1>
    </dataValidation>
    <dataValidation type="list" allowBlank="1" showErrorMessage="1" sqref="F40" xr:uid="{00000000-0002-0000-0100-000027000000}">
      <formula1>"0,1,2,3,4,5,6,7,8,9,10"</formula1>
    </dataValidation>
    <dataValidation type="list" allowBlank="1" showErrorMessage="1" sqref="B4" xr:uid="{00000000-0002-0000-0100-000029000000}">
      <formula1>"Total AD,Bonus AD,Base AD"</formula1>
    </dataValidation>
    <dataValidation type="list" allowBlank="1" showErrorMessage="1" sqref="I36" xr:uid="{00000000-0002-0000-0100-00002A000000}">
      <formula1>"1,2,3,4,5,6"</formula1>
    </dataValidation>
  </dataValidations>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14">
        <x14:dataValidation type="list" allowBlank="1" showErrorMessage="1" xr:uid="{00000000-0002-0000-0100-000008000000}">
          <x14:formula1>
            <xm:f>Champs!$A$2:$A$190</xm:f>
          </x14:formula1>
          <xm:sqref>B3</xm:sqref>
        </x14:dataValidation>
        <x14:dataValidation type="list" allowBlank="1" showErrorMessage="1" xr:uid="{00000000-0002-0000-0100-000009000000}">
          <x14:formula1>
            <xm:f>Log!$A$1:$A$9</xm:f>
          </x14:formula1>
          <xm:sqref>Q11</xm:sqref>
        </x14:dataValidation>
        <x14:dataValidation type="list" allowBlank="1" showErrorMessage="1" xr:uid="{00000000-0002-0000-0100-00000D000000}">
          <x14:formula1>
            <xm:f>Items!$A$2:$A$159</xm:f>
          </x14:formula1>
          <xm:sqref>O19:O23 C23:C27 C31:C35</xm:sqref>
        </x14:dataValidation>
        <x14:dataValidation type="list" allowBlank="1" showErrorMessage="1" xr:uid="{00000000-0002-0000-0100-00000E000000}">
          <x14:formula1>
            <xm:f>Champs!$A$2:$A$200</xm:f>
          </x14:formula1>
          <xm:sqref>N16</xm:sqref>
        </x14:dataValidation>
        <x14:dataValidation type="list" allowBlank="1" xr:uid="{00000000-0002-0000-0100-00000F000000}">
          <x14:formula1>
            <xm:f>Runes!$V$14:$V$19</xm:f>
          </x14:formula1>
          <xm:sqref>E38</xm:sqref>
        </x14:dataValidation>
        <x14:dataValidation type="list" allowBlank="1" showErrorMessage="1" xr:uid="{00000000-0002-0000-0100-000010000000}">
          <x14:formula1>
            <xm:f>Items!$A$221:$A$224</xm:f>
          </x14:formula1>
          <xm:sqref>C28 C36</xm:sqref>
        </x14:dataValidation>
        <x14:dataValidation type="list" allowBlank="1" xr:uid="{00000000-0002-0000-0100-000011000000}">
          <x14:formula1>
            <xm:f>Runes!$V$2:$V$7</xm:f>
          </x14:formula1>
          <xm:sqref>E34</xm:sqref>
        </x14:dataValidation>
        <x14:dataValidation type="list" allowBlank="1" showErrorMessage="1" xr:uid="{00000000-0002-0000-0100-000016000000}">
          <x14:formula1>
            <xm:f>Items!$A$160:$A$220</xm:f>
          </x14:formula1>
          <xm:sqref>O18 C22 C30</xm:sqref>
        </x14:dataValidation>
        <x14:dataValidation type="list" allowBlank="1" showErrorMessage="1" xr:uid="{00000000-0002-0000-0100-00001B000000}">
          <x14:formula1>
            <xm:f>Champs!$A$2:$A$195</xm:f>
          </x14:formula1>
          <xm:sqref>O7</xm:sqref>
        </x14:dataValidation>
        <x14:dataValidation type="list" allowBlank="1" xr:uid="{00000000-0002-0000-0100-00001F000000}">
          <x14:formula1>
            <xm:f>Runes!$V$8:$V$13</xm:f>
          </x14:formula1>
          <xm:sqref>E36</xm:sqref>
        </x14:dataValidation>
        <x14:dataValidation type="list" allowBlank="1" showErrorMessage="1" xr:uid="{00000000-0002-0000-0100-000020000000}">
          <x14:formula1>
            <xm:f>Calc!$P$75:$P$80</xm:f>
          </x14:formula1>
          <xm:sqref>O4</xm:sqref>
        </x14:dataValidation>
        <x14:dataValidation type="list" allowBlank="1" showInputMessage="1" showErrorMessage="1" prompt="Please use a rune from 1 to 4, from left to right. Only use rune 4 if there really is a rune 4, else nothing happens." xr:uid="{00000000-0002-0000-0100-000025000000}">
          <x14:formula1>
            <xm:f>Calc!$B$75:$B$80</xm:f>
          </x14:formula1>
          <xm:sqref>E18 E20 E22 E24 E27 E29 E31</xm:sqref>
        </x14:dataValidation>
        <x14:dataValidation type="list" allowBlank="1" showErrorMessage="1" xr:uid="{00000000-0002-0000-0100-000026000000}">
          <x14:formula1>
            <xm:f>Log!$F$1:$F$9</xm:f>
          </x14:formula1>
          <xm:sqref>T11</xm:sqref>
        </x14:dataValidation>
        <x14:dataValidation type="list" allowBlank="1" showErrorMessage="1" xr:uid="{00000000-0002-0000-0100-000028000000}">
          <x14:formula1>
            <xm:f>Vars!#REF!</xm:f>
          </x14:formula1>
          <xm:sqref>G3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74EA7"/>
    <outlinePr summaryBelow="0" summaryRight="0"/>
  </sheetPr>
  <dimension ref="A1:M37"/>
  <sheetViews>
    <sheetView showGridLines="0" workbookViewId="0"/>
  </sheetViews>
  <sheetFormatPr baseColWidth="10" defaultColWidth="12.6640625" defaultRowHeight="15" customHeight="1"/>
  <cols>
    <col min="1" max="1" width="2.88671875" customWidth="1"/>
    <col min="2" max="2" width="3.21875" customWidth="1"/>
    <col min="3" max="3" width="13.77734375" customWidth="1"/>
    <col min="4" max="4" width="6.109375" customWidth="1"/>
    <col min="5" max="5" width="10.77734375" customWidth="1"/>
    <col min="6" max="6" width="7.88671875" customWidth="1"/>
    <col min="7" max="7" width="7.44140625" customWidth="1"/>
    <col min="8" max="8" width="7.77734375" customWidth="1"/>
    <col min="9" max="9" width="10.109375" customWidth="1"/>
    <col min="10" max="10" width="7.88671875" customWidth="1"/>
    <col min="11" max="11" width="8" customWidth="1"/>
    <col min="12" max="12" width="10.21875" customWidth="1"/>
    <col min="13" max="13" width="3.109375" customWidth="1"/>
  </cols>
  <sheetData>
    <row r="1" spans="1:13" ht="15" customHeight="1">
      <c r="A1" s="9"/>
      <c r="B1" s="9"/>
      <c r="C1" s="9"/>
      <c r="D1" s="9"/>
      <c r="E1" s="9"/>
      <c r="F1" s="9"/>
      <c r="G1" s="9"/>
      <c r="H1" s="9"/>
      <c r="I1" s="9"/>
      <c r="J1" s="9"/>
      <c r="K1" s="9"/>
      <c r="L1" s="9"/>
      <c r="M1" s="9"/>
    </row>
    <row r="2" spans="1:13" ht="15" customHeight="1">
      <c r="A2" s="9"/>
      <c r="B2" s="694" t="s">
        <v>135</v>
      </c>
      <c r="C2" s="657"/>
      <c r="D2" s="657"/>
      <c r="E2" s="657"/>
      <c r="F2" s="695" t="s">
        <v>136</v>
      </c>
      <c r="G2" s="657"/>
      <c r="H2" s="657"/>
      <c r="I2" s="657"/>
      <c r="J2" s="696" t="s">
        <v>137</v>
      </c>
      <c r="K2" s="657"/>
      <c r="L2" s="657"/>
      <c r="M2" s="9"/>
    </row>
    <row r="3" spans="1:13" ht="15" customHeight="1">
      <c r="A3" s="9"/>
      <c r="B3" s="697" t="str">
        <f>Name</f>
        <v>-</v>
      </c>
      <c r="C3" s="657"/>
      <c r="D3" s="657"/>
      <c r="E3" s="657"/>
      <c r="F3" s="657"/>
      <c r="G3" s="657"/>
      <c r="H3" s="657"/>
      <c r="I3" s="657"/>
      <c r="J3" s="698" t="str">
        <f>Interface!N16</f>
        <v>-</v>
      </c>
      <c r="K3" s="657"/>
      <c r="L3" s="657"/>
      <c r="M3" s="9"/>
    </row>
    <row r="4" spans="1:13" ht="15" customHeight="1">
      <c r="A4" s="9"/>
      <c r="B4" s="657"/>
      <c r="C4" s="657"/>
      <c r="D4" s="657"/>
      <c r="E4" s="657"/>
      <c r="F4" s="699" t="s">
        <v>138</v>
      </c>
      <c r="G4" s="657"/>
      <c r="H4" s="657"/>
      <c r="I4" s="139" t="b">
        <v>0</v>
      </c>
      <c r="J4" s="657"/>
      <c r="K4" s="657"/>
      <c r="L4" s="657"/>
      <c r="M4" s="9"/>
    </row>
    <row r="5" spans="1:13" ht="15" customHeight="1">
      <c r="A5" s="9"/>
      <c r="B5" s="690" t="s">
        <v>139</v>
      </c>
      <c r="C5" s="657"/>
      <c r="D5" s="690" t="s">
        <v>36</v>
      </c>
      <c r="E5" s="657"/>
      <c r="F5" s="691" t="s">
        <v>140</v>
      </c>
      <c r="G5" s="657"/>
      <c r="H5" s="657"/>
      <c r="I5" s="140" t="b">
        <v>0</v>
      </c>
      <c r="J5" s="700" t="s">
        <v>141</v>
      </c>
      <c r="K5" s="657"/>
      <c r="L5" s="657"/>
      <c r="M5" s="9"/>
    </row>
    <row r="6" spans="1:13" ht="15" customHeight="1">
      <c r="A6" s="9"/>
      <c r="B6" s="141" t="s">
        <v>142</v>
      </c>
      <c r="C6" s="141" t="s">
        <v>143</v>
      </c>
      <c r="D6" s="141" t="s">
        <v>144</v>
      </c>
      <c r="E6" s="141" t="s">
        <v>145</v>
      </c>
      <c r="F6" s="692" t="s">
        <v>146</v>
      </c>
      <c r="G6" s="657"/>
      <c r="H6" s="657"/>
      <c r="I6" s="142">
        <v>100</v>
      </c>
      <c r="J6" s="141" t="s">
        <v>33</v>
      </c>
      <c r="K6" s="141" t="s">
        <v>42</v>
      </c>
      <c r="L6" s="141" t="s">
        <v>105</v>
      </c>
      <c r="M6" s="9"/>
    </row>
    <row r="7" spans="1:13" ht="15" customHeight="1">
      <c r="A7" s="9"/>
      <c r="B7" s="141">
        <v>1</v>
      </c>
      <c r="C7" s="141" t="s">
        <v>11</v>
      </c>
      <c r="D7" s="143">
        <f>IF(AND(C7="Autoattack",$I$4),Self_AvgAA,IF(C7="Autoattack",Self_HitDmg,IF(C7="Use Q",VLOOKUP(Name,Champs!$A$2:$Y$200,21,FALSE),IF(C7="Use W",VLOOKUP(Name,Champs!$A$2:$Y$200,22,FALSE),IF(C7="Use E",VLOOKUP(Name,Champs!$A$2:$Y$200,23,FALSE),IF(C7="Use R",VLOOKUP(Name,Champs!$A$2:$Y$200,24,FALSE),IF(C7="Passive",VLOOKUP(Name,Champs!$A$2:$Y$200,25,FALSE),IF(C7="Crit",Self_CritHit,IF(C7="Rune Proc",Self_Proc_Rune,IF(C7="Item Proc",Self_Proc_item,IF(C7="Ignite",Calc!$Q$76,0)))))))))))</f>
        <v>0</v>
      </c>
      <c r="E7" s="144">
        <f>D7</f>
        <v>0</v>
      </c>
      <c r="F7" s="693"/>
      <c r="G7" s="657"/>
      <c r="H7" s="657"/>
      <c r="I7" s="657"/>
      <c r="J7" s="144">
        <f t="shared" ref="J7:J36" si="0">E_CHPV-E7</f>
        <v>0</v>
      </c>
      <c r="K7" s="144">
        <f t="shared" ref="K7:K36" si="1">E_AR</f>
        <v>0</v>
      </c>
      <c r="L7" s="144">
        <f t="shared" ref="L7:L36" si="2">E_MR</f>
        <v>0</v>
      </c>
      <c r="M7" s="9"/>
    </row>
    <row r="8" spans="1:13" ht="15" customHeight="1">
      <c r="A8" s="9"/>
      <c r="B8" s="141">
        <v>2</v>
      </c>
      <c r="C8" s="141" t="s">
        <v>11</v>
      </c>
      <c r="D8" s="143">
        <f>IF(AND(C8="Autoattack",$I$4),Self_AvgAA,IF(C8="Autoattack",Self_HitDmg,IF(C8="Use Q",VLOOKUP(Name,Champs!$A$2:$Y$200,21,FALSE),IF(C8="Use W",VLOOKUP(Name,Champs!$A$2:$Y$200,22,FALSE),IF(C8="Use E",VLOOKUP(Name,Champs!$A$2:$Y$200,23,FALSE),IF(C8="Use R",VLOOKUP(Name,Champs!$A$2:$Y$200,24,FALSE),IF(C8="Passive",VLOOKUP(Name,Champs!$A$2:$Y$200,25,FALSE),IF(C8="Crit",Self_CritHit,IF(C8="Rune Proc",Self_Proc_Rune,IF(C8="Item Proc",Self_Proc_item,IF(C8="Ignite",Calc!$Q$76,0)))))))))))</f>
        <v>0</v>
      </c>
      <c r="E8" s="144">
        <f t="shared" ref="E8:E36" si="3">E7+D8</f>
        <v>0</v>
      </c>
      <c r="F8" s="657"/>
      <c r="G8" s="657"/>
      <c r="H8" s="657"/>
      <c r="I8" s="657"/>
      <c r="J8" s="144">
        <f t="shared" si="0"/>
        <v>0</v>
      </c>
      <c r="K8" s="144">
        <f t="shared" si="1"/>
        <v>0</v>
      </c>
      <c r="L8" s="144">
        <f t="shared" si="2"/>
        <v>0</v>
      </c>
      <c r="M8" s="9"/>
    </row>
    <row r="9" spans="1:13" ht="15" customHeight="1">
      <c r="A9" s="9"/>
      <c r="B9" s="141">
        <v>3</v>
      </c>
      <c r="C9" s="141" t="s">
        <v>11</v>
      </c>
      <c r="D9" s="143">
        <f>IF(AND(C9="Autoattack",$I$4),Self_AvgAA,IF(C9="Autoattack",Self_HitDmg,IF(C9="Use Q",VLOOKUP(Name,Champs!$A$2:$Y$200,21,FALSE),IF(C9="Use W",VLOOKUP(Name,Champs!$A$2:$Y$200,22,FALSE),IF(C9="Use E",VLOOKUP(Name,Champs!$A$2:$Y$200,23,FALSE),IF(C9="Use R",VLOOKUP(Name,Champs!$A$2:$Y$200,24,FALSE),IF(C9="Passive",VLOOKUP(Name,Champs!$A$2:$Y$200,25,FALSE),IF(C9="Crit",Self_CritHit,IF(C9="Rune Proc",Self_Proc_Rune,IF(C9="Item Proc",Self_Proc_item,IF(C9="Ignite",Calc!$Q$76,0)))))))))))</f>
        <v>0</v>
      </c>
      <c r="E9" s="144">
        <f t="shared" si="3"/>
        <v>0</v>
      </c>
      <c r="F9" s="657"/>
      <c r="G9" s="657"/>
      <c r="H9" s="657"/>
      <c r="I9" s="657"/>
      <c r="J9" s="144">
        <f t="shared" si="0"/>
        <v>0</v>
      </c>
      <c r="K9" s="144">
        <f t="shared" si="1"/>
        <v>0</v>
      </c>
      <c r="L9" s="144">
        <f t="shared" si="2"/>
        <v>0</v>
      </c>
      <c r="M9" s="9"/>
    </row>
    <row r="10" spans="1:13" ht="15" customHeight="1">
      <c r="A10" s="9"/>
      <c r="B10" s="141">
        <v>4</v>
      </c>
      <c r="C10" s="141" t="s">
        <v>11</v>
      </c>
      <c r="D10" s="143">
        <f>IF(AND(C10="Autoattack",$I$4),Self_AvgAA,IF(C10="Autoattack",Self_HitDmg,IF(C10="Use Q",VLOOKUP(Name,Champs!$A$2:$Y$200,21,FALSE),IF(C10="Use W",VLOOKUP(Name,Champs!$A$2:$Y$200,22,FALSE),IF(C10="Use E",VLOOKUP(Name,Champs!$A$2:$Y$200,23,FALSE),IF(C10="Use R",VLOOKUP(Name,Champs!$A$2:$Y$200,24,FALSE),IF(C10="Passive",VLOOKUP(Name,Champs!$A$2:$Y$200,25,FALSE),IF(C10="Crit",Self_CritHit,IF(C10="Rune Proc",Self_Proc_Rune,IF(C10="Item Proc",Self_Proc_item,IF(C10="Ignite",Calc!$Q$76,0)))))))))))</f>
        <v>0</v>
      </c>
      <c r="E10" s="144">
        <f t="shared" si="3"/>
        <v>0</v>
      </c>
      <c r="F10" s="657"/>
      <c r="G10" s="657"/>
      <c r="H10" s="657"/>
      <c r="I10" s="657"/>
      <c r="J10" s="144">
        <f t="shared" si="0"/>
        <v>0</v>
      </c>
      <c r="K10" s="144">
        <f t="shared" si="1"/>
        <v>0</v>
      </c>
      <c r="L10" s="144">
        <f t="shared" si="2"/>
        <v>0</v>
      </c>
      <c r="M10" s="9"/>
    </row>
    <row r="11" spans="1:13" ht="15" customHeight="1">
      <c r="A11" s="9"/>
      <c r="B11" s="141">
        <v>5</v>
      </c>
      <c r="C11" s="141" t="s">
        <v>11</v>
      </c>
      <c r="D11" s="143">
        <f>IF(AND(C11="Autoattack",$I$4),Self_AvgAA,IF(C11="Autoattack",Self_HitDmg,IF(C11="Use Q",VLOOKUP(Name,Champs!$A$2:$Y$200,21,FALSE),IF(C11="Use W",VLOOKUP(Name,Champs!$A$2:$Y$200,22,FALSE),IF(C11="Use E",VLOOKUP(Name,Champs!$A$2:$Y$200,23,FALSE),IF(C11="Use R",VLOOKUP(Name,Champs!$A$2:$Y$200,24,FALSE),IF(C11="Passive",VLOOKUP(Name,Champs!$A$2:$Y$200,25,FALSE),IF(C11="Crit",Self_CritHit,IF(C11="Rune Proc",Self_Proc_Rune,IF(C11="Item Proc",Self_Proc_item,IF(C11="Ignite",Calc!$Q$76,0)))))))))))</f>
        <v>0</v>
      </c>
      <c r="E11" s="144">
        <f t="shared" si="3"/>
        <v>0</v>
      </c>
      <c r="F11" s="657"/>
      <c r="G11" s="657"/>
      <c r="H11" s="657"/>
      <c r="I11" s="657"/>
      <c r="J11" s="144">
        <f t="shared" si="0"/>
        <v>0</v>
      </c>
      <c r="K11" s="144">
        <f t="shared" si="1"/>
        <v>0</v>
      </c>
      <c r="L11" s="144">
        <f t="shared" si="2"/>
        <v>0</v>
      </c>
      <c r="M11" s="9"/>
    </row>
    <row r="12" spans="1:13" ht="15" customHeight="1">
      <c r="A12" s="9"/>
      <c r="B12" s="141">
        <v>6</v>
      </c>
      <c r="C12" s="141" t="s">
        <v>11</v>
      </c>
      <c r="D12" s="143">
        <f>IF(AND(C12="Autoattack",$I$4),Self_AvgAA,IF(C12="Autoattack",Self_HitDmg,IF(C12="Use Q",VLOOKUP(Name,Champs!$A$2:$Y$200,21,FALSE),IF(C12="Use W",VLOOKUP(Name,Champs!$A$2:$Y$200,22,FALSE),IF(C12="Use E",VLOOKUP(Name,Champs!$A$2:$Y$200,23,FALSE),IF(C12="Use R",VLOOKUP(Name,Champs!$A$2:$Y$200,24,FALSE),IF(C12="Passive",VLOOKUP(Name,Champs!$A$2:$Y$200,25,FALSE),IF(C12="Crit",Self_CritHit,IF(C12="Rune Proc",Self_Proc_Rune,IF(C12="Item Proc",Self_Proc_item,IF(C12="Ignite",Calc!$Q$76,0)))))))))))</f>
        <v>0</v>
      </c>
      <c r="E12" s="144">
        <f t="shared" si="3"/>
        <v>0</v>
      </c>
      <c r="F12" s="657"/>
      <c r="G12" s="657"/>
      <c r="H12" s="657"/>
      <c r="I12" s="657"/>
      <c r="J12" s="144">
        <f t="shared" si="0"/>
        <v>0</v>
      </c>
      <c r="K12" s="144">
        <f t="shared" si="1"/>
        <v>0</v>
      </c>
      <c r="L12" s="144">
        <f t="shared" si="2"/>
        <v>0</v>
      </c>
      <c r="M12" s="9"/>
    </row>
    <row r="13" spans="1:13" ht="15" customHeight="1">
      <c r="A13" s="9"/>
      <c r="B13" s="141">
        <v>7</v>
      </c>
      <c r="C13" s="141" t="s">
        <v>11</v>
      </c>
      <c r="D13" s="143">
        <f>IF(AND(C13="Autoattack",$I$4),Self_AvgAA,IF(C13="Autoattack",Self_HitDmg,IF(C13="Use Q",VLOOKUP(Name,Champs!$A$2:$Y$200,21,FALSE),IF(C13="Use W",VLOOKUP(Name,Champs!$A$2:$Y$200,22,FALSE),IF(C13="Use E",VLOOKUP(Name,Champs!$A$2:$Y$200,23,FALSE),IF(C13="Use R",VLOOKUP(Name,Champs!$A$2:$Y$200,24,FALSE),IF(C13="Passive",VLOOKUP(Name,Champs!$A$2:$Y$200,25,FALSE),IF(C13="Crit",Self_CritHit,IF(C13="Rune Proc",Self_Proc_Rune,IF(C13="Item Proc",Self_Proc_item,IF(C13="Ignite",Calc!$Q$76,0)))))))))))</f>
        <v>0</v>
      </c>
      <c r="E13" s="144">
        <f t="shared" si="3"/>
        <v>0</v>
      </c>
      <c r="F13" s="657"/>
      <c r="G13" s="657"/>
      <c r="H13" s="657"/>
      <c r="I13" s="657"/>
      <c r="J13" s="144">
        <f t="shared" si="0"/>
        <v>0</v>
      </c>
      <c r="K13" s="144">
        <f t="shared" si="1"/>
        <v>0</v>
      </c>
      <c r="L13" s="144">
        <f t="shared" si="2"/>
        <v>0</v>
      </c>
      <c r="M13" s="9"/>
    </row>
    <row r="14" spans="1:13" ht="15" customHeight="1">
      <c r="A14" s="9"/>
      <c r="B14" s="141">
        <v>8</v>
      </c>
      <c r="C14" s="141" t="s">
        <v>11</v>
      </c>
      <c r="D14" s="143">
        <f>IF(AND(C14="Autoattack",$I$4),Self_AvgAA,IF(C14="Autoattack",Self_HitDmg,IF(C14="Use Q",VLOOKUP(Name,Champs!$A$2:$Y$200,21,FALSE),IF(C14="Use W",VLOOKUP(Name,Champs!$A$2:$Y$200,22,FALSE),IF(C14="Use E",VLOOKUP(Name,Champs!$A$2:$Y$200,23,FALSE),IF(C14="Use R",VLOOKUP(Name,Champs!$A$2:$Y$200,24,FALSE),IF(C14="Passive",VLOOKUP(Name,Champs!$A$2:$Y$200,25,FALSE),IF(C14="Crit",Self_CritHit,IF(C14="Rune Proc",Self_Proc_Rune,IF(C14="Item Proc",Self_Proc_item,IF(C14="Ignite",Calc!$Q$76,0)))))))))))</f>
        <v>0</v>
      </c>
      <c r="E14" s="144">
        <f t="shared" si="3"/>
        <v>0</v>
      </c>
      <c r="F14" s="657"/>
      <c r="G14" s="657"/>
      <c r="H14" s="657"/>
      <c r="I14" s="657"/>
      <c r="J14" s="144">
        <f t="shared" si="0"/>
        <v>0</v>
      </c>
      <c r="K14" s="144">
        <f t="shared" si="1"/>
        <v>0</v>
      </c>
      <c r="L14" s="144">
        <f t="shared" si="2"/>
        <v>0</v>
      </c>
      <c r="M14" s="9"/>
    </row>
    <row r="15" spans="1:13" ht="15" customHeight="1">
      <c r="A15" s="9"/>
      <c r="B15" s="141">
        <v>9</v>
      </c>
      <c r="C15" s="141" t="s">
        <v>11</v>
      </c>
      <c r="D15" s="143">
        <f>IF(AND(C15="Autoattack",$I$4),Self_AvgAA,IF(C15="Autoattack",Self_HitDmg,IF(C15="Use Q",VLOOKUP(Name,Champs!$A$2:$Y$200,21,FALSE),IF(C15="Use W",VLOOKUP(Name,Champs!$A$2:$Y$200,22,FALSE),IF(C15="Use E",VLOOKUP(Name,Champs!$A$2:$Y$200,23,FALSE),IF(C15="Use R",VLOOKUP(Name,Champs!$A$2:$Y$200,24,FALSE),IF(C15="Passive",VLOOKUP(Name,Champs!$A$2:$Y$200,25,FALSE),IF(C15="Crit",Self_CritHit,IF(C15="Rune Proc",Self_Proc_Rune,IF(C15="Item Proc",Self_Proc_item,IF(C15="Ignite",Calc!$Q$76,0)))))))))))</f>
        <v>0</v>
      </c>
      <c r="E15" s="144">
        <f t="shared" si="3"/>
        <v>0</v>
      </c>
      <c r="F15" s="657"/>
      <c r="G15" s="657"/>
      <c r="H15" s="657"/>
      <c r="I15" s="657"/>
      <c r="J15" s="144">
        <f t="shared" si="0"/>
        <v>0</v>
      </c>
      <c r="K15" s="144">
        <f t="shared" si="1"/>
        <v>0</v>
      </c>
      <c r="L15" s="144">
        <f t="shared" si="2"/>
        <v>0</v>
      </c>
      <c r="M15" s="9"/>
    </row>
    <row r="16" spans="1:13" ht="15" customHeight="1">
      <c r="A16" s="9"/>
      <c r="B16" s="141">
        <v>10</v>
      </c>
      <c r="C16" s="141" t="s">
        <v>11</v>
      </c>
      <c r="D16" s="143">
        <f>IF(AND(C16="Autoattack",$I$4),Self_AvgAA,IF(C16="Autoattack",Self_HitDmg,IF(C16="Use Q",VLOOKUP(Name,Champs!$A$2:$Y$200,21,FALSE),IF(C16="Use W",VLOOKUP(Name,Champs!$A$2:$Y$200,22,FALSE),IF(C16="Use E",VLOOKUP(Name,Champs!$A$2:$Y$200,23,FALSE),IF(C16="Use R",VLOOKUP(Name,Champs!$A$2:$Y$200,24,FALSE),IF(C16="Passive",VLOOKUP(Name,Champs!$A$2:$Y$200,25,FALSE),IF(C16="Crit",Self_CritHit,IF(C16="Rune Proc",Self_Proc_Rune,IF(C16="Item Proc",Self_Proc_item,IF(C16="Ignite",Calc!$Q$76,0)))))))))))</f>
        <v>0</v>
      </c>
      <c r="E16" s="144">
        <f t="shared" si="3"/>
        <v>0</v>
      </c>
      <c r="F16" s="657"/>
      <c r="G16" s="657"/>
      <c r="H16" s="657"/>
      <c r="I16" s="657"/>
      <c r="J16" s="144">
        <f t="shared" si="0"/>
        <v>0</v>
      </c>
      <c r="K16" s="144">
        <f t="shared" si="1"/>
        <v>0</v>
      </c>
      <c r="L16" s="144">
        <f t="shared" si="2"/>
        <v>0</v>
      </c>
      <c r="M16" s="9"/>
    </row>
    <row r="17" spans="1:13" ht="15" customHeight="1">
      <c r="A17" s="9"/>
      <c r="B17" s="141">
        <v>11</v>
      </c>
      <c r="C17" s="141" t="s">
        <v>11</v>
      </c>
      <c r="D17" s="143">
        <f>IF(AND(C17="Autoattack",$I$4),Self_AvgAA,IF(C17="Autoattack",Self_HitDmg,IF(C17="Use Q",VLOOKUP(Name,Champs!$A$2:$Y$200,21,FALSE),IF(C17="Use W",VLOOKUP(Name,Champs!$A$2:$Y$200,22,FALSE),IF(C17="Use E",VLOOKUP(Name,Champs!$A$2:$Y$200,23,FALSE),IF(C17="Use R",VLOOKUP(Name,Champs!$A$2:$Y$200,24,FALSE),IF(C17="Passive",VLOOKUP(Name,Champs!$A$2:$Y$200,25,FALSE),IF(C17="Crit",Self_CritHit,IF(C17="Rune Proc",Self_Proc_Rune,IF(C17="Item Proc",Self_Proc_item,IF(C17="Ignite",Calc!$Q$76,0)))))))))))</f>
        <v>0</v>
      </c>
      <c r="E17" s="144">
        <f t="shared" si="3"/>
        <v>0</v>
      </c>
      <c r="F17" s="657"/>
      <c r="G17" s="657"/>
      <c r="H17" s="657"/>
      <c r="I17" s="657"/>
      <c r="J17" s="144">
        <f t="shared" si="0"/>
        <v>0</v>
      </c>
      <c r="K17" s="144">
        <f t="shared" si="1"/>
        <v>0</v>
      </c>
      <c r="L17" s="144">
        <f t="shared" si="2"/>
        <v>0</v>
      </c>
      <c r="M17" s="9"/>
    </row>
    <row r="18" spans="1:13">
      <c r="A18" s="9"/>
      <c r="B18" s="141">
        <v>12</v>
      </c>
      <c r="C18" s="141" t="s">
        <v>11</v>
      </c>
      <c r="D18" s="143">
        <f>IF(AND(C18="Autoattack",$I$4),Self_AvgAA,IF(C18="Autoattack",Self_HitDmg,IF(C18="Use Q",VLOOKUP(Name,Champs!$A$2:$Y$200,21,FALSE),IF(C18="Use W",VLOOKUP(Name,Champs!$A$2:$Y$200,22,FALSE),IF(C18="Use E",VLOOKUP(Name,Champs!$A$2:$Y$200,23,FALSE),IF(C18="Use R",VLOOKUP(Name,Champs!$A$2:$Y$200,24,FALSE),IF(C18="Passive",VLOOKUP(Name,Champs!$A$2:$Y$200,25,FALSE),IF(C18="Crit",Self_CritHit,IF(C18="Rune Proc",Self_Proc_Rune,IF(C18="Item Proc",Self_Proc_item,IF(C18="Ignite",Calc!$Q$76,0)))))))))))</f>
        <v>0</v>
      </c>
      <c r="E18" s="144">
        <f t="shared" si="3"/>
        <v>0</v>
      </c>
      <c r="F18" s="657"/>
      <c r="G18" s="657"/>
      <c r="H18" s="657"/>
      <c r="I18" s="657"/>
      <c r="J18" s="144">
        <f t="shared" si="0"/>
        <v>0</v>
      </c>
      <c r="K18" s="144">
        <f t="shared" si="1"/>
        <v>0</v>
      </c>
      <c r="L18" s="144">
        <f t="shared" si="2"/>
        <v>0</v>
      </c>
      <c r="M18" s="9"/>
    </row>
    <row r="19" spans="1:13">
      <c r="A19" s="9"/>
      <c r="B19" s="141">
        <v>13</v>
      </c>
      <c r="C19" s="141" t="s">
        <v>11</v>
      </c>
      <c r="D19" s="143">
        <f>IF(AND(C19="Autoattack",$I$4),Self_AvgAA,IF(C19="Autoattack",Self_HitDmg,IF(C19="Use Q",VLOOKUP(Name,Champs!$A$2:$Y$200,21,FALSE),IF(C19="Use W",VLOOKUP(Name,Champs!$A$2:$Y$200,22,FALSE),IF(C19="Use E",VLOOKUP(Name,Champs!$A$2:$Y$200,23,FALSE),IF(C19="Use R",VLOOKUP(Name,Champs!$A$2:$Y$200,24,FALSE),IF(C19="Passive",VLOOKUP(Name,Champs!$A$2:$Y$200,25,FALSE),IF(C19="Crit",Self_CritHit,IF(C19="Rune Proc",Self_Proc_Rune,IF(C19="Item Proc",Self_Proc_item,IF(C19="Ignite",Calc!$Q$76,0)))))))))))</f>
        <v>0</v>
      </c>
      <c r="E19" s="144">
        <f t="shared" si="3"/>
        <v>0</v>
      </c>
      <c r="F19" s="657"/>
      <c r="G19" s="657"/>
      <c r="H19" s="657"/>
      <c r="I19" s="657"/>
      <c r="J19" s="144">
        <f t="shared" si="0"/>
        <v>0</v>
      </c>
      <c r="K19" s="144">
        <f t="shared" si="1"/>
        <v>0</v>
      </c>
      <c r="L19" s="144">
        <f t="shared" si="2"/>
        <v>0</v>
      </c>
      <c r="M19" s="9"/>
    </row>
    <row r="20" spans="1:13">
      <c r="A20" s="9"/>
      <c r="B20" s="141">
        <v>14</v>
      </c>
      <c r="C20" s="141" t="s">
        <v>11</v>
      </c>
      <c r="D20" s="143">
        <f>IF(AND(C20="Autoattack",$I$4),Self_AvgAA,IF(C20="Autoattack",Self_HitDmg,IF(C20="Use Q",VLOOKUP(Name,Champs!$A$2:$Y$200,21,FALSE),IF(C20="Use W",VLOOKUP(Name,Champs!$A$2:$Y$200,22,FALSE),IF(C20="Use E",VLOOKUP(Name,Champs!$A$2:$Y$200,23,FALSE),IF(C20="Use R",VLOOKUP(Name,Champs!$A$2:$Y$200,24,FALSE),IF(C20="Passive",VLOOKUP(Name,Champs!$A$2:$Y$200,25,FALSE),IF(C20="Crit",Self_CritHit,IF(C20="Rune Proc",Self_Proc_Rune,IF(C20="Item Proc",Self_Proc_item,IF(C20="Ignite",Calc!$Q$76,0)))))))))))</f>
        <v>0</v>
      </c>
      <c r="E20" s="144">
        <f t="shared" si="3"/>
        <v>0</v>
      </c>
      <c r="F20" s="657"/>
      <c r="G20" s="657"/>
      <c r="H20" s="657"/>
      <c r="I20" s="657"/>
      <c r="J20" s="144">
        <f t="shared" si="0"/>
        <v>0</v>
      </c>
      <c r="K20" s="144">
        <f t="shared" si="1"/>
        <v>0</v>
      </c>
      <c r="L20" s="144">
        <f t="shared" si="2"/>
        <v>0</v>
      </c>
      <c r="M20" s="9"/>
    </row>
    <row r="21" spans="1:13">
      <c r="A21" s="9"/>
      <c r="B21" s="141">
        <v>15</v>
      </c>
      <c r="C21" s="141" t="s">
        <v>11</v>
      </c>
      <c r="D21" s="143">
        <f>IF(AND(C21="Autoattack",$I$4),Self_AvgAA,IF(C21="Autoattack",Self_HitDmg,IF(C21="Use Q",VLOOKUP(Name,Champs!$A$2:$Y$200,21,FALSE),IF(C21="Use W",VLOOKUP(Name,Champs!$A$2:$Y$200,22,FALSE),IF(C21="Use E",VLOOKUP(Name,Champs!$A$2:$Y$200,23,FALSE),IF(C21="Use R",VLOOKUP(Name,Champs!$A$2:$Y$200,24,FALSE),IF(C21="Passive",VLOOKUP(Name,Champs!$A$2:$Y$200,25,FALSE),IF(C21="Crit",Self_CritHit,IF(C21="Rune Proc",Self_Proc_Rune,IF(C21="Item Proc",Self_Proc_item,IF(C21="Ignite",Calc!$Q$76,0)))))))))))</f>
        <v>0</v>
      </c>
      <c r="E21" s="144">
        <f t="shared" si="3"/>
        <v>0</v>
      </c>
      <c r="F21" s="657"/>
      <c r="G21" s="657"/>
      <c r="H21" s="657"/>
      <c r="I21" s="657"/>
      <c r="J21" s="144">
        <f t="shared" si="0"/>
        <v>0</v>
      </c>
      <c r="K21" s="144">
        <f t="shared" si="1"/>
        <v>0</v>
      </c>
      <c r="L21" s="144">
        <f t="shared" si="2"/>
        <v>0</v>
      </c>
      <c r="M21" s="9"/>
    </row>
    <row r="22" spans="1:13">
      <c r="A22" s="9"/>
      <c r="B22" s="141">
        <v>16</v>
      </c>
      <c r="C22" s="141" t="s">
        <v>11</v>
      </c>
      <c r="D22" s="143">
        <f>IF(AND(C22="Autoattack",$I$4),Self_AvgAA,IF(C22="Autoattack",Self_HitDmg,IF(C22="Use Q",VLOOKUP(Name,Champs!$A$2:$Y$200,21,FALSE),IF(C22="Use W",VLOOKUP(Name,Champs!$A$2:$Y$200,22,FALSE),IF(C22="Use E",VLOOKUP(Name,Champs!$A$2:$Y$200,23,FALSE),IF(C22="Use R",VLOOKUP(Name,Champs!$A$2:$Y$200,24,FALSE),IF(C22="Passive",VLOOKUP(Name,Champs!$A$2:$Y$200,25,FALSE),IF(C22="Crit",Self_CritHit,IF(C22="Rune Proc",Self_Proc_Rune,IF(C22="Item Proc",Self_Proc_item,IF(C22="Ignite",Calc!$Q$76,0)))))))))))</f>
        <v>0</v>
      </c>
      <c r="E22" s="144">
        <f t="shared" si="3"/>
        <v>0</v>
      </c>
      <c r="F22" s="657"/>
      <c r="G22" s="657"/>
      <c r="H22" s="657"/>
      <c r="I22" s="657"/>
      <c r="J22" s="144">
        <f t="shared" si="0"/>
        <v>0</v>
      </c>
      <c r="K22" s="144">
        <f t="shared" si="1"/>
        <v>0</v>
      </c>
      <c r="L22" s="144">
        <f t="shared" si="2"/>
        <v>0</v>
      </c>
      <c r="M22" s="9"/>
    </row>
    <row r="23" spans="1:13">
      <c r="A23" s="9"/>
      <c r="B23" s="141">
        <v>17</v>
      </c>
      <c r="C23" s="141" t="s">
        <v>11</v>
      </c>
      <c r="D23" s="143">
        <f>IF(AND(C23="Autoattack",$I$4),Self_AvgAA,IF(C23="Autoattack",Self_HitDmg,IF(C23="Use Q",VLOOKUP(Name,Champs!$A$2:$Y$200,21,FALSE),IF(C23="Use W",VLOOKUP(Name,Champs!$A$2:$Y$200,22,FALSE),IF(C23="Use E",VLOOKUP(Name,Champs!$A$2:$Y$200,23,FALSE),IF(C23="Use R",VLOOKUP(Name,Champs!$A$2:$Y$200,24,FALSE),IF(C23="Passive",VLOOKUP(Name,Champs!$A$2:$Y$200,25,FALSE),IF(C23="Crit",Self_CritHit,IF(C23="Rune Proc",Self_Proc_Rune,IF(C23="Item Proc",Self_Proc_item,IF(C23="Ignite",Calc!$Q$76,0)))))))))))</f>
        <v>0</v>
      </c>
      <c r="E23" s="144">
        <f t="shared" si="3"/>
        <v>0</v>
      </c>
      <c r="F23" s="657"/>
      <c r="G23" s="657"/>
      <c r="H23" s="657"/>
      <c r="I23" s="657"/>
      <c r="J23" s="144">
        <f t="shared" si="0"/>
        <v>0</v>
      </c>
      <c r="K23" s="144">
        <f t="shared" si="1"/>
        <v>0</v>
      </c>
      <c r="L23" s="144">
        <f t="shared" si="2"/>
        <v>0</v>
      </c>
      <c r="M23" s="9"/>
    </row>
    <row r="24" spans="1:13">
      <c r="A24" s="9"/>
      <c r="B24" s="141">
        <v>18</v>
      </c>
      <c r="C24" s="141" t="s">
        <v>11</v>
      </c>
      <c r="D24" s="143">
        <f>IF(AND(C24="Autoattack",$I$4),Self_AvgAA,IF(C24="Autoattack",Self_HitDmg,IF(C24="Use Q",VLOOKUP(Name,Champs!$A$2:$Y$200,21,FALSE),IF(C24="Use W",VLOOKUP(Name,Champs!$A$2:$Y$200,22,FALSE),IF(C24="Use E",VLOOKUP(Name,Champs!$A$2:$Y$200,23,FALSE),IF(C24="Use R",VLOOKUP(Name,Champs!$A$2:$Y$200,24,FALSE),IF(C24="Passive",VLOOKUP(Name,Champs!$A$2:$Y$200,25,FALSE),IF(C24="Crit",Self_CritHit,IF(C24="Rune Proc",Self_Proc_Rune,IF(C24="Item Proc",Self_Proc_item,IF(C24="Ignite",Calc!$Q$76,0)))))))))))</f>
        <v>0</v>
      </c>
      <c r="E24" s="144">
        <f t="shared" si="3"/>
        <v>0</v>
      </c>
      <c r="F24" s="657"/>
      <c r="G24" s="657"/>
      <c r="H24" s="657"/>
      <c r="I24" s="657"/>
      <c r="J24" s="144">
        <f t="shared" si="0"/>
        <v>0</v>
      </c>
      <c r="K24" s="144">
        <f t="shared" si="1"/>
        <v>0</v>
      </c>
      <c r="L24" s="144">
        <f t="shared" si="2"/>
        <v>0</v>
      </c>
      <c r="M24" s="9"/>
    </row>
    <row r="25" spans="1:13">
      <c r="A25" s="9"/>
      <c r="B25" s="141">
        <v>19</v>
      </c>
      <c r="C25" s="141" t="s">
        <v>11</v>
      </c>
      <c r="D25" s="143">
        <f>IF(AND(C25="Autoattack",$I$4),Self_AvgAA,IF(C25="Autoattack",Self_HitDmg,IF(C25="Use Q",VLOOKUP(Name,Champs!$A$2:$Y$200,21,FALSE),IF(C25="Use W",VLOOKUP(Name,Champs!$A$2:$Y$200,22,FALSE),IF(C25="Use E",VLOOKUP(Name,Champs!$A$2:$Y$200,23,FALSE),IF(C25="Use R",VLOOKUP(Name,Champs!$A$2:$Y$200,24,FALSE),IF(C25="Passive",VLOOKUP(Name,Champs!$A$2:$Y$200,25,FALSE),IF(C25="Crit",Self_CritHit,IF(C25="Rune Proc",Self_Proc_Rune,IF(C25="Item Proc",Self_Proc_item,IF(C25="Ignite",Calc!$Q$76,0)))))))))))</f>
        <v>0</v>
      </c>
      <c r="E25" s="144">
        <f t="shared" si="3"/>
        <v>0</v>
      </c>
      <c r="F25" s="657"/>
      <c r="G25" s="657"/>
      <c r="H25" s="657"/>
      <c r="I25" s="657"/>
      <c r="J25" s="144">
        <f t="shared" si="0"/>
        <v>0</v>
      </c>
      <c r="K25" s="144">
        <f t="shared" si="1"/>
        <v>0</v>
      </c>
      <c r="L25" s="144">
        <f t="shared" si="2"/>
        <v>0</v>
      </c>
      <c r="M25" s="9"/>
    </row>
    <row r="26" spans="1:13">
      <c r="A26" s="9"/>
      <c r="B26" s="141">
        <v>20</v>
      </c>
      <c r="C26" s="141" t="s">
        <v>11</v>
      </c>
      <c r="D26" s="143">
        <f>IF(AND(C26="Autoattack",$I$4),Self_AvgAA,IF(C26="Autoattack",Self_HitDmg,IF(C26="Use Q",VLOOKUP(Name,Champs!$A$2:$Y$200,21,FALSE),IF(C26="Use W",VLOOKUP(Name,Champs!$A$2:$Y$200,22,FALSE),IF(C26="Use E",VLOOKUP(Name,Champs!$A$2:$Y$200,23,FALSE),IF(C26="Use R",VLOOKUP(Name,Champs!$A$2:$Y$200,24,FALSE),IF(C26="Passive",VLOOKUP(Name,Champs!$A$2:$Y$200,25,FALSE),IF(C26="Crit",Self_CritHit,IF(C26="Rune Proc",Self_Proc_Rune,IF(C26="Item Proc",Self_Proc_item,IF(C26="Ignite",Calc!$Q$76,0)))))))))))</f>
        <v>0</v>
      </c>
      <c r="E26" s="144">
        <f t="shared" si="3"/>
        <v>0</v>
      </c>
      <c r="F26" s="657"/>
      <c r="G26" s="657"/>
      <c r="H26" s="657"/>
      <c r="I26" s="657"/>
      <c r="J26" s="144">
        <f t="shared" si="0"/>
        <v>0</v>
      </c>
      <c r="K26" s="144">
        <f t="shared" si="1"/>
        <v>0</v>
      </c>
      <c r="L26" s="144">
        <f t="shared" si="2"/>
        <v>0</v>
      </c>
      <c r="M26" s="9"/>
    </row>
    <row r="27" spans="1:13">
      <c r="A27" s="9"/>
      <c r="B27" s="141">
        <v>21</v>
      </c>
      <c r="C27" s="141" t="s">
        <v>11</v>
      </c>
      <c r="D27" s="143">
        <f>IF(AND(C27="Autoattack",$I$4),Self_AvgAA,IF(C27="Autoattack",Self_HitDmg,IF(C27="Use Q",VLOOKUP(Name,Champs!$A$2:$Y$200,21,FALSE),IF(C27="Use W",VLOOKUP(Name,Champs!$A$2:$Y$200,22,FALSE),IF(C27="Use E",VLOOKUP(Name,Champs!$A$2:$Y$200,23,FALSE),IF(C27="Use R",VLOOKUP(Name,Champs!$A$2:$Y$200,24,FALSE),IF(C27="Passive",VLOOKUP(Name,Champs!$A$2:$Y$200,25,FALSE),IF(C27="Crit",Self_CritHit,IF(C27="Rune Proc",Self_Proc_Rune,IF(C27="Item Proc",Self_Proc_item,IF(C27="Ignite",Calc!$Q$76,0)))))))))))</f>
        <v>0</v>
      </c>
      <c r="E27" s="144">
        <f t="shared" si="3"/>
        <v>0</v>
      </c>
      <c r="F27" s="657"/>
      <c r="G27" s="657"/>
      <c r="H27" s="657"/>
      <c r="I27" s="657"/>
      <c r="J27" s="144">
        <f t="shared" si="0"/>
        <v>0</v>
      </c>
      <c r="K27" s="144">
        <f t="shared" si="1"/>
        <v>0</v>
      </c>
      <c r="L27" s="144">
        <f t="shared" si="2"/>
        <v>0</v>
      </c>
      <c r="M27" s="9"/>
    </row>
    <row r="28" spans="1:13">
      <c r="A28" s="9"/>
      <c r="B28" s="141">
        <v>22</v>
      </c>
      <c r="C28" s="141" t="s">
        <v>11</v>
      </c>
      <c r="D28" s="143">
        <f>IF(AND(C28="Autoattack",$I$4),Self_AvgAA,IF(C28="Autoattack",Self_HitDmg,IF(C28="Use Q",VLOOKUP(Name,Champs!$A$2:$Y$200,21,FALSE),IF(C28="Use W",VLOOKUP(Name,Champs!$A$2:$Y$200,22,FALSE),IF(C28="Use E",VLOOKUP(Name,Champs!$A$2:$Y$200,23,FALSE),IF(C28="Use R",VLOOKUP(Name,Champs!$A$2:$Y$200,24,FALSE),IF(C28="Passive",VLOOKUP(Name,Champs!$A$2:$Y$200,25,FALSE),IF(C28="Crit",Self_CritHit,IF(C28="Rune Proc",Self_Proc_Rune,IF(C28="Item Proc",Self_Proc_item,IF(C28="Ignite",Calc!$Q$76,0)))))))))))</f>
        <v>0</v>
      </c>
      <c r="E28" s="144">
        <f t="shared" si="3"/>
        <v>0</v>
      </c>
      <c r="F28" s="9"/>
      <c r="G28" s="9"/>
      <c r="H28" s="9"/>
      <c r="I28" s="9"/>
      <c r="J28" s="144">
        <f t="shared" si="0"/>
        <v>0</v>
      </c>
      <c r="K28" s="144">
        <f t="shared" si="1"/>
        <v>0</v>
      </c>
      <c r="L28" s="144">
        <f t="shared" si="2"/>
        <v>0</v>
      </c>
      <c r="M28" s="9"/>
    </row>
    <row r="29" spans="1:13">
      <c r="A29" s="9"/>
      <c r="B29" s="141">
        <v>23</v>
      </c>
      <c r="C29" s="141" t="s">
        <v>11</v>
      </c>
      <c r="D29" s="143">
        <f>IF(AND(C29="Autoattack",$I$4),Self_AvgAA,IF(C29="Autoattack",Self_HitDmg,IF(C29="Use Q",VLOOKUP(Name,Champs!$A$2:$Y$200,21,FALSE),IF(C29="Use W",VLOOKUP(Name,Champs!$A$2:$Y$200,22,FALSE),IF(C29="Use E",VLOOKUP(Name,Champs!$A$2:$Y$200,23,FALSE),IF(C29="Use R",VLOOKUP(Name,Champs!$A$2:$Y$200,24,FALSE),IF(C29="Passive",VLOOKUP(Name,Champs!$A$2:$Y$200,25,FALSE),IF(C29="Crit",Self_CritHit,IF(C29="Rune Proc",Self_Proc_Rune,IF(C29="Item Proc",Self_Proc_item,IF(C29="Ignite",Calc!$Q$76,0)))))))))))</f>
        <v>0</v>
      </c>
      <c r="E29" s="144">
        <f t="shared" si="3"/>
        <v>0</v>
      </c>
      <c r="F29" s="9"/>
      <c r="G29" s="9"/>
      <c r="H29" s="9"/>
      <c r="I29" s="9"/>
      <c r="J29" s="144">
        <f t="shared" si="0"/>
        <v>0</v>
      </c>
      <c r="K29" s="144">
        <f t="shared" si="1"/>
        <v>0</v>
      </c>
      <c r="L29" s="144">
        <f t="shared" si="2"/>
        <v>0</v>
      </c>
      <c r="M29" s="9"/>
    </row>
    <row r="30" spans="1:13">
      <c r="A30" s="9"/>
      <c r="B30" s="141">
        <v>24</v>
      </c>
      <c r="C30" s="141" t="s">
        <v>11</v>
      </c>
      <c r="D30" s="143">
        <f>IF(AND(C30="Autoattack",$I$4),Self_AvgAA,IF(C30="Autoattack",Self_HitDmg,IF(C30="Use Q",VLOOKUP(Name,Champs!$A$2:$Y$200,21,FALSE),IF(C30="Use W",VLOOKUP(Name,Champs!$A$2:$Y$200,22,FALSE),IF(C30="Use E",VLOOKUP(Name,Champs!$A$2:$Y$200,23,FALSE),IF(C30="Use R",VLOOKUP(Name,Champs!$A$2:$Y$200,24,FALSE),IF(C30="Passive",VLOOKUP(Name,Champs!$A$2:$Y$200,25,FALSE),IF(C30="Crit",Self_CritHit,IF(C30="Rune Proc",Self_Proc_Rune,IF(C30="Item Proc",Self_Proc_item,IF(C30="Ignite",Calc!$Q$76,0)))))))))))</f>
        <v>0</v>
      </c>
      <c r="E30" s="144">
        <f t="shared" si="3"/>
        <v>0</v>
      </c>
      <c r="F30" s="9"/>
      <c r="G30" s="9"/>
      <c r="H30" s="9"/>
      <c r="I30" s="9"/>
      <c r="J30" s="144">
        <f t="shared" si="0"/>
        <v>0</v>
      </c>
      <c r="K30" s="144">
        <f t="shared" si="1"/>
        <v>0</v>
      </c>
      <c r="L30" s="144">
        <f t="shared" si="2"/>
        <v>0</v>
      </c>
      <c r="M30" s="9"/>
    </row>
    <row r="31" spans="1:13">
      <c r="A31" s="9"/>
      <c r="B31" s="141">
        <v>25</v>
      </c>
      <c r="C31" s="141" t="s">
        <v>11</v>
      </c>
      <c r="D31" s="143">
        <f>IF(AND(C31="Autoattack",$I$4),Self_AvgAA,IF(C31="Autoattack",Self_HitDmg,IF(C31="Use Q",VLOOKUP(Name,Champs!$A$2:$Y$200,21,FALSE),IF(C31="Use W",VLOOKUP(Name,Champs!$A$2:$Y$200,22,FALSE),IF(C31="Use E",VLOOKUP(Name,Champs!$A$2:$Y$200,23,FALSE),IF(C31="Use R",VLOOKUP(Name,Champs!$A$2:$Y$200,24,FALSE),IF(C31="Passive",VLOOKUP(Name,Champs!$A$2:$Y$200,25,FALSE),IF(C31="Crit",Self_CritHit,IF(C31="Rune Proc",Self_Proc_Rune,IF(C31="Item Proc",Self_Proc_item,IF(C31="Ignite",Calc!$Q$76,0)))))))))))</f>
        <v>0</v>
      </c>
      <c r="E31" s="144">
        <f t="shared" si="3"/>
        <v>0</v>
      </c>
      <c r="F31" s="9"/>
      <c r="G31" s="9"/>
      <c r="H31" s="9"/>
      <c r="I31" s="9"/>
      <c r="J31" s="144">
        <f t="shared" si="0"/>
        <v>0</v>
      </c>
      <c r="K31" s="144">
        <f t="shared" si="1"/>
        <v>0</v>
      </c>
      <c r="L31" s="144">
        <f t="shared" si="2"/>
        <v>0</v>
      </c>
      <c r="M31" s="9"/>
    </row>
    <row r="32" spans="1:13">
      <c r="A32" s="9"/>
      <c r="B32" s="141">
        <v>26</v>
      </c>
      <c r="C32" s="141" t="s">
        <v>11</v>
      </c>
      <c r="D32" s="143">
        <f>IF(AND(C32="Autoattack",$I$4),Self_AvgAA,IF(C32="Autoattack",Self_HitDmg,IF(C32="Use Q",VLOOKUP(Name,Champs!$A$2:$Y$200,21,FALSE),IF(C32="Use W",VLOOKUP(Name,Champs!$A$2:$Y$200,22,FALSE),IF(C32="Use E",VLOOKUP(Name,Champs!$A$2:$Y$200,23,FALSE),IF(C32="Use R",VLOOKUP(Name,Champs!$A$2:$Y$200,24,FALSE),IF(C32="Passive",VLOOKUP(Name,Champs!$A$2:$Y$200,25,FALSE),IF(C32="Crit",Self_CritHit,IF(C32="Rune Proc",Self_Proc_Rune,IF(C32="Item Proc",Self_Proc_item,IF(C32="Ignite",Calc!$Q$76,0)))))))))))</f>
        <v>0</v>
      </c>
      <c r="E32" s="144">
        <f t="shared" si="3"/>
        <v>0</v>
      </c>
      <c r="F32" s="9"/>
      <c r="G32" s="9"/>
      <c r="H32" s="9"/>
      <c r="I32" s="9"/>
      <c r="J32" s="144">
        <f t="shared" si="0"/>
        <v>0</v>
      </c>
      <c r="K32" s="144">
        <f t="shared" si="1"/>
        <v>0</v>
      </c>
      <c r="L32" s="144">
        <f t="shared" si="2"/>
        <v>0</v>
      </c>
      <c r="M32" s="9"/>
    </row>
    <row r="33" spans="1:13">
      <c r="A33" s="9"/>
      <c r="B33" s="141">
        <v>27</v>
      </c>
      <c r="C33" s="141" t="s">
        <v>11</v>
      </c>
      <c r="D33" s="143">
        <f>IF(AND(C33="Autoattack",$I$4),Self_AvgAA,IF(C33="Autoattack",Self_HitDmg,IF(C33="Use Q",VLOOKUP(Name,Champs!$A$2:$Y$200,21,FALSE),IF(C33="Use W",VLOOKUP(Name,Champs!$A$2:$Y$200,22,FALSE),IF(C33="Use E",VLOOKUP(Name,Champs!$A$2:$Y$200,23,FALSE),IF(C33="Use R",VLOOKUP(Name,Champs!$A$2:$Y$200,24,FALSE),IF(C33="Passive",VLOOKUP(Name,Champs!$A$2:$Y$200,25,FALSE),IF(C33="Crit",Self_CritHit,IF(C33="Rune Proc",Self_Proc_Rune,IF(C33="Item Proc",Self_Proc_item,IF(C33="Ignite",Calc!$Q$76,0)))))))))))</f>
        <v>0</v>
      </c>
      <c r="E33" s="144">
        <f t="shared" si="3"/>
        <v>0</v>
      </c>
      <c r="F33" s="9"/>
      <c r="G33" s="9"/>
      <c r="H33" s="9"/>
      <c r="I33" s="9"/>
      <c r="J33" s="144">
        <f t="shared" si="0"/>
        <v>0</v>
      </c>
      <c r="K33" s="144">
        <f t="shared" si="1"/>
        <v>0</v>
      </c>
      <c r="L33" s="144">
        <f t="shared" si="2"/>
        <v>0</v>
      </c>
      <c r="M33" s="9"/>
    </row>
    <row r="34" spans="1:13">
      <c r="A34" s="9"/>
      <c r="B34" s="141">
        <v>28</v>
      </c>
      <c r="C34" s="141" t="s">
        <v>11</v>
      </c>
      <c r="D34" s="143">
        <f>IF(AND(C34="Autoattack",$I$4),Self_AvgAA,IF(C34="Autoattack",Self_HitDmg,IF(C34="Use Q",VLOOKUP(Name,Champs!$A$2:$Y$200,21,FALSE),IF(C34="Use W",VLOOKUP(Name,Champs!$A$2:$Y$200,22,FALSE),IF(C34="Use E",VLOOKUP(Name,Champs!$A$2:$Y$200,23,FALSE),IF(C34="Use R",VLOOKUP(Name,Champs!$A$2:$Y$200,24,FALSE),IF(C34="Passive",VLOOKUP(Name,Champs!$A$2:$Y$200,25,FALSE),IF(C34="Crit",Self_CritHit,IF(C34="Rune Proc",Self_Proc_Rune,IF(C34="Item Proc",Self_Proc_item,IF(C34="Ignite",Calc!$Q$76,0)))))))))))</f>
        <v>0</v>
      </c>
      <c r="E34" s="144">
        <f t="shared" si="3"/>
        <v>0</v>
      </c>
      <c r="F34" s="9"/>
      <c r="G34" s="9"/>
      <c r="H34" s="9"/>
      <c r="I34" s="9"/>
      <c r="J34" s="144">
        <f t="shared" si="0"/>
        <v>0</v>
      </c>
      <c r="K34" s="144">
        <f t="shared" si="1"/>
        <v>0</v>
      </c>
      <c r="L34" s="144">
        <f t="shared" si="2"/>
        <v>0</v>
      </c>
      <c r="M34" s="9"/>
    </row>
    <row r="35" spans="1:13">
      <c r="A35" s="9"/>
      <c r="B35" s="141">
        <v>29</v>
      </c>
      <c r="C35" s="141" t="s">
        <v>11</v>
      </c>
      <c r="D35" s="143">
        <f>IF(AND(C35="Autoattack",$I$4),Self_AvgAA,IF(C35="Autoattack",Self_HitDmg,IF(C35="Use Q",VLOOKUP(Name,Champs!$A$2:$Y$200,21,FALSE),IF(C35="Use W",VLOOKUP(Name,Champs!$A$2:$Y$200,22,FALSE),IF(C35="Use E",VLOOKUP(Name,Champs!$A$2:$Y$200,23,FALSE),IF(C35="Use R",VLOOKUP(Name,Champs!$A$2:$Y$200,24,FALSE),IF(C35="Passive",VLOOKUP(Name,Champs!$A$2:$Y$200,25,FALSE),IF(C35="Crit",Self_CritHit,IF(C35="Rune Proc",Self_Proc_Rune,IF(C35="Item Proc",Self_Proc_item,IF(C35="Ignite",Calc!$Q$76,0)))))))))))</f>
        <v>0</v>
      </c>
      <c r="E35" s="144">
        <f t="shared" si="3"/>
        <v>0</v>
      </c>
      <c r="F35" s="9"/>
      <c r="G35" s="9"/>
      <c r="H35" s="9"/>
      <c r="I35" s="9"/>
      <c r="J35" s="144">
        <f t="shared" si="0"/>
        <v>0</v>
      </c>
      <c r="K35" s="144">
        <f t="shared" si="1"/>
        <v>0</v>
      </c>
      <c r="L35" s="144">
        <f t="shared" si="2"/>
        <v>0</v>
      </c>
      <c r="M35" s="9"/>
    </row>
    <row r="36" spans="1:13">
      <c r="A36" s="9"/>
      <c r="B36" s="141">
        <v>30</v>
      </c>
      <c r="C36" s="141" t="s">
        <v>11</v>
      </c>
      <c r="D36" s="143">
        <f>IF(AND(C36="Autoattack",$I$4),Self_AvgAA,IF(C36="Autoattack",Self_HitDmg,IF(C36="Use Q",VLOOKUP(Name,Champs!$A$2:$Y$200,21,FALSE),IF(C36="Use W",VLOOKUP(Name,Champs!$A$2:$Y$200,22,FALSE),IF(C36="Use E",VLOOKUP(Name,Champs!$A$2:$Y$200,23,FALSE),IF(C36="Use R",VLOOKUP(Name,Champs!$A$2:$Y$200,24,FALSE),IF(C36="Passive",VLOOKUP(Name,Champs!$A$2:$Y$200,25,FALSE),IF(C36="Crit",Self_CritHit,IF(C36="Rune Proc",Self_Proc_Rune,IF(C36="Item Proc",Self_Proc_item,IF(C36="Ignite",Calc!$Q$76,0)))))))))))</f>
        <v>0</v>
      </c>
      <c r="E36" s="144">
        <f t="shared" si="3"/>
        <v>0</v>
      </c>
      <c r="F36" s="9"/>
      <c r="G36" s="9"/>
      <c r="H36" s="9"/>
      <c r="I36" s="9"/>
      <c r="J36" s="144">
        <f t="shared" si="0"/>
        <v>0</v>
      </c>
      <c r="K36" s="144">
        <f t="shared" si="1"/>
        <v>0</v>
      </c>
      <c r="L36" s="144">
        <f t="shared" si="2"/>
        <v>0</v>
      </c>
      <c r="M36" s="9"/>
    </row>
    <row r="37" spans="1:13">
      <c r="A37" s="9"/>
      <c r="B37" s="9"/>
      <c r="C37" s="9"/>
      <c r="D37" s="9"/>
      <c r="E37" s="9"/>
      <c r="F37" s="9"/>
      <c r="G37" s="9"/>
      <c r="H37" s="9"/>
      <c r="I37" s="9"/>
      <c r="J37" s="9"/>
      <c r="K37" s="9"/>
      <c r="L37" s="9"/>
      <c r="M37" s="9"/>
    </row>
  </sheetData>
  <mergeCells count="12">
    <mergeCell ref="J2:L2"/>
    <mergeCell ref="B3:E4"/>
    <mergeCell ref="J3:L4"/>
    <mergeCell ref="F4:H4"/>
    <mergeCell ref="B5:C5"/>
    <mergeCell ref="J5:L5"/>
    <mergeCell ref="D5:E5"/>
    <mergeCell ref="F5:H5"/>
    <mergeCell ref="F6:H6"/>
    <mergeCell ref="F7:I27"/>
    <mergeCell ref="B2:E2"/>
    <mergeCell ref="F2:I3"/>
  </mergeCells>
  <dataValidations count="2">
    <dataValidation type="decimal" allowBlank="1" showDropDown="1" showInputMessage="1" showErrorMessage="1" prompt=" 0 - 100" sqref="I6" xr:uid="{00000000-0002-0000-0200-000000000000}">
      <formula1>0</formula1>
      <formula2>100</formula2>
    </dataValidation>
    <dataValidation type="list" allowBlank="1" sqref="C7:C36" xr:uid="{00000000-0002-0000-0200-000001000000}">
      <formula1>"-,Autoattack,Crit,Passive,Item Proc,Rune Proc,Use Q,Use W,Use E,Use R,Ignite"</formula1>
    </dataValidation>
  </dataValidations>
  <pageMargins left="0.7" right="0.7" top="0.75" bottom="0.75" header="0.3" footer="0.3"/>
  <drawing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6AA84F"/>
    <outlinePr summaryBelow="0" summaryRight="0"/>
  </sheetPr>
  <dimension ref="A1:D9"/>
  <sheetViews>
    <sheetView workbookViewId="0"/>
  </sheetViews>
  <sheetFormatPr baseColWidth="10" defaultColWidth="12.6640625" defaultRowHeight="15" customHeight="1"/>
  <cols>
    <col min="1" max="1" width="3.6640625" customWidth="1"/>
    <col min="2" max="2" width="49.88671875" customWidth="1"/>
    <col min="3" max="3" width="75.109375" customWidth="1"/>
    <col min="4" max="4" width="3.6640625" customWidth="1"/>
  </cols>
  <sheetData>
    <row r="1" spans="1:4" ht="13.2">
      <c r="A1" s="17"/>
      <c r="B1" s="17"/>
      <c r="C1" s="17"/>
      <c r="D1" s="17"/>
    </row>
    <row r="2" spans="1:4" ht="59.25" customHeight="1">
      <c r="A2" s="17"/>
      <c r="B2" s="701" t="s">
        <v>147</v>
      </c>
      <c r="C2" s="702"/>
      <c r="D2" s="17"/>
    </row>
    <row r="3" spans="1:4" ht="59.25" customHeight="1">
      <c r="A3" s="17"/>
      <c r="B3" s="145" t="s">
        <v>148</v>
      </c>
      <c r="C3" s="145" t="s">
        <v>149</v>
      </c>
      <c r="D3" s="17"/>
    </row>
    <row r="4" spans="1:4" ht="59.25" customHeight="1">
      <c r="A4" s="17"/>
      <c r="B4" s="146" t="str">
        <f>Interface!U3</f>
        <v>Version 13.12</v>
      </c>
      <c r="C4" s="146" t="str">
        <f ca="1">IFERROR(__xludf.DUMMYFUNCTION("IMPORTRANGE(""19QEmeWlm_IOMUgVC5P_7ofY_CkEZ4ULFNEedQ8mho9M"",""Interface!U3"")"),"Version 13.12")</f>
        <v>Version 13.12</v>
      </c>
      <c r="D4" s="17"/>
    </row>
    <row r="5" spans="1:4" ht="59.25" customHeight="1">
      <c r="A5" s="17"/>
      <c r="B5" s="147" t="str">
        <f>Interface!U2</f>
        <v>Patch 13.12</v>
      </c>
      <c r="C5" s="147" t="str">
        <f ca="1">IFERROR(__xludf.DUMMYFUNCTION("IMPORTRANGE(""19QEmeWlm_IOMUgVC5P_7ofY_CkEZ4ULFNEedQ8mho9M"",""Interface!U2"")"),"Patch 13.12")</f>
        <v>Patch 13.12</v>
      </c>
      <c r="D5" s="17"/>
    </row>
    <row r="6" spans="1:4" ht="59.25" customHeight="1">
      <c r="A6" s="17"/>
      <c r="B6" s="148">
        <f>Interface!U5</f>
        <v>45092</v>
      </c>
      <c r="C6" s="149">
        <f ca="1">IFERROR(__xludf.DUMMYFUNCTION("IMPORTRANGE(""19QEmeWlm_IOMUgVC5P_7ofY_CkEZ4ULFNEedQ8mho9M"",""Interface!U5"")"),45092)</f>
        <v>45092</v>
      </c>
      <c r="D6" s="17"/>
    </row>
    <row r="7" spans="1:4" ht="59.25" customHeight="1">
      <c r="A7" s="17"/>
      <c r="B7" s="703"/>
      <c r="C7" s="704" t="s">
        <v>150</v>
      </c>
      <c r="D7" s="17"/>
    </row>
    <row r="8" spans="1:4" ht="59.25" customHeight="1">
      <c r="A8" s="17"/>
      <c r="B8" s="657"/>
      <c r="C8" s="657"/>
      <c r="D8" s="17"/>
    </row>
    <row r="9" spans="1:4" ht="13.2">
      <c r="A9" s="17"/>
      <c r="B9" s="17"/>
      <c r="C9" s="17"/>
      <c r="D9" s="17"/>
    </row>
  </sheetData>
  <mergeCells count="3">
    <mergeCell ref="B2:C2"/>
    <mergeCell ref="B7:B8"/>
    <mergeCell ref="C7:C8"/>
  </mergeCells>
  <conditionalFormatting sqref="B4:B5">
    <cfRule type="cellIs" dxfId="4" priority="1" operator="equal">
      <formula>C4</formula>
    </cfRule>
  </conditionalFormatting>
  <conditionalFormatting sqref="B4:B6">
    <cfRule type="cellIs" dxfId="3" priority="2" operator="notEqual">
      <formula>C4</formula>
    </cfRule>
  </conditionalFormatting>
  <conditionalFormatting sqref="C4:C6">
    <cfRule type="cellIs" dxfId="2" priority="3" operator="equal">
      <formula>B4</formula>
    </cfRule>
    <cfRule type="cellIs" dxfId="1" priority="4" operator="notEqual">
      <formula>B4</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0"/>
  <sheetViews>
    <sheetView workbookViewId="0"/>
  </sheetViews>
  <sheetFormatPr baseColWidth="10" defaultColWidth="12.6640625" defaultRowHeight="15" customHeight="1"/>
  <cols>
    <col min="1" max="1" width="2.77734375" customWidth="1"/>
  </cols>
  <sheetData>
    <row r="1" spans="1:26" ht="15" customHeight="1">
      <c r="A1" s="151"/>
      <c r="B1" s="151"/>
      <c r="C1" s="151"/>
      <c r="D1" s="151"/>
      <c r="E1" s="151"/>
      <c r="F1" s="151"/>
      <c r="G1" s="151"/>
      <c r="H1" s="151"/>
      <c r="I1" s="151"/>
      <c r="J1" s="151"/>
      <c r="K1" s="151"/>
      <c r="L1" s="151"/>
      <c r="M1" s="151"/>
      <c r="N1" s="151"/>
      <c r="O1" s="151"/>
      <c r="P1" s="151"/>
      <c r="Q1" s="151"/>
      <c r="R1" s="151"/>
      <c r="S1" s="151"/>
      <c r="T1" s="151"/>
      <c r="U1" s="151"/>
      <c r="V1" s="151"/>
      <c r="W1" s="151"/>
      <c r="X1" s="151"/>
      <c r="Y1" s="151"/>
      <c r="Z1" s="151"/>
    </row>
    <row r="2" spans="1:26" ht="15" customHeight="1">
      <c r="A2" s="151"/>
      <c r="B2" s="705" t="s">
        <v>151</v>
      </c>
      <c r="C2" s="657"/>
    </row>
    <row r="3" spans="1:26" ht="15" customHeight="1">
      <c r="A3" s="151"/>
      <c r="B3" s="152" t="s">
        <v>18</v>
      </c>
    </row>
    <row r="4" spans="1:26" ht="15" customHeight="1">
      <c r="A4" s="151"/>
      <c r="B4" s="152" t="s">
        <v>23</v>
      </c>
    </row>
    <row r="5" spans="1:26" ht="15" customHeight="1">
      <c r="A5" s="151"/>
      <c r="B5" s="152" t="s">
        <v>27</v>
      </c>
    </row>
    <row r="6" spans="1:26" ht="15" customHeight="1">
      <c r="A6" s="151"/>
      <c r="B6" s="152" t="s">
        <v>32</v>
      </c>
    </row>
    <row r="7" spans="1:26" ht="15" customHeight="1">
      <c r="A7" s="151"/>
      <c r="B7" s="152" t="s">
        <v>152</v>
      </c>
    </row>
    <row r="8" spans="1:26" ht="15" customHeight="1">
      <c r="A8" s="151"/>
    </row>
    <row r="9" spans="1:26" ht="15" customHeight="1">
      <c r="A9" s="151"/>
    </row>
    <row r="10" spans="1:26" ht="15" customHeight="1">
      <c r="A10" s="151"/>
    </row>
    <row r="11" spans="1:26" ht="15" customHeight="1">
      <c r="A11" s="151"/>
    </row>
    <row r="12" spans="1:26" ht="15" customHeight="1">
      <c r="A12" s="151"/>
    </row>
    <row r="13" spans="1:26" ht="15" customHeight="1">
      <c r="A13" s="151"/>
    </row>
    <row r="14" spans="1:26" ht="15" customHeight="1">
      <c r="A14" s="151"/>
    </row>
    <row r="15" spans="1:26" ht="15" customHeight="1">
      <c r="A15" s="151"/>
    </row>
    <row r="16" spans="1:26" ht="15" customHeight="1">
      <c r="A16" s="151"/>
    </row>
    <row r="17" spans="1:1" ht="15" customHeight="1">
      <c r="A17" s="151"/>
    </row>
    <row r="18" spans="1:1" ht="13.2">
      <c r="A18" s="151"/>
    </row>
    <row r="19" spans="1:1" ht="13.2">
      <c r="A19" s="151"/>
    </row>
    <row r="20" spans="1:1" ht="13.2">
      <c r="A20" s="151"/>
    </row>
    <row r="21" spans="1:1" ht="13.2">
      <c r="A21" s="151"/>
    </row>
    <row r="22" spans="1:1" ht="13.2">
      <c r="A22" s="151"/>
    </row>
    <row r="23" spans="1:1" ht="13.2">
      <c r="A23" s="151"/>
    </row>
    <row r="24" spans="1:1" ht="13.2">
      <c r="A24" s="151"/>
    </row>
    <row r="25" spans="1:1" ht="13.2">
      <c r="A25" s="151"/>
    </row>
    <row r="26" spans="1:1" ht="13.2">
      <c r="A26" s="151"/>
    </row>
    <row r="27" spans="1:1" ht="13.2">
      <c r="A27" s="151"/>
    </row>
    <row r="28" spans="1:1" ht="13.2">
      <c r="A28" s="151"/>
    </row>
    <row r="29" spans="1:1" ht="13.2">
      <c r="A29" s="151"/>
    </row>
    <row r="30" spans="1:1" ht="13.2">
      <c r="A30" s="151"/>
    </row>
    <row r="31" spans="1:1" ht="13.2">
      <c r="A31" s="151"/>
    </row>
    <row r="32" spans="1:1" ht="13.2">
      <c r="A32" s="151"/>
    </row>
    <row r="33" spans="1:1" ht="13.2">
      <c r="A33" s="151"/>
    </row>
    <row r="34" spans="1:1" ht="13.2">
      <c r="A34" s="151"/>
    </row>
    <row r="35" spans="1:1" ht="13.2">
      <c r="A35" s="151"/>
    </row>
    <row r="36" spans="1:1" ht="13.2">
      <c r="A36" s="151"/>
    </row>
    <row r="37" spans="1:1" ht="13.2">
      <c r="A37" s="151"/>
    </row>
    <row r="38" spans="1:1" ht="13.2">
      <c r="A38" s="151"/>
    </row>
    <row r="39" spans="1:1" ht="13.2">
      <c r="A39" s="151"/>
    </row>
    <row r="40" spans="1:1" ht="13.2">
      <c r="A40" s="151"/>
    </row>
    <row r="41" spans="1:1" ht="13.2">
      <c r="A41" s="151"/>
    </row>
    <row r="42" spans="1:1" ht="13.2">
      <c r="A42" s="151"/>
    </row>
    <row r="43" spans="1:1" ht="13.2">
      <c r="A43" s="151"/>
    </row>
    <row r="44" spans="1:1" ht="13.2">
      <c r="A44" s="151"/>
    </row>
    <row r="45" spans="1:1" ht="13.2">
      <c r="A45" s="151"/>
    </row>
    <row r="46" spans="1:1" ht="13.2">
      <c r="A46" s="151"/>
    </row>
    <row r="47" spans="1:1" ht="13.2">
      <c r="A47" s="151"/>
    </row>
    <row r="48" spans="1:1" ht="13.2">
      <c r="A48" s="151"/>
    </row>
    <row r="49" spans="1:1" ht="13.2">
      <c r="A49" s="151"/>
    </row>
    <row r="50" spans="1:1" ht="13.2">
      <c r="A50" s="151"/>
    </row>
    <row r="51" spans="1:1" ht="13.2">
      <c r="A51" s="151"/>
    </row>
    <row r="52" spans="1:1" ht="13.2">
      <c r="A52" s="151"/>
    </row>
    <row r="53" spans="1:1" ht="13.2">
      <c r="A53" s="151"/>
    </row>
    <row r="54" spans="1:1" ht="13.2">
      <c r="A54" s="151"/>
    </row>
    <row r="55" spans="1:1" ht="13.2">
      <c r="A55" s="151"/>
    </row>
    <row r="56" spans="1:1" ht="13.2">
      <c r="A56" s="151"/>
    </row>
    <row r="57" spans="1:1" ht="13.2">
      <c r="A57" s="151"/>
    </row>
    <row r="58" spans="1:1" ht="13.2">
      <c r="A58" s="151"/>
    </row>
    <row r="59" spans="1:1" ht="13.2">
      <c r="A59" s="151"/>
    </row>
    <row r="60" spans="1:1" ht="13.2">
      <c r="A60" s="151"/>
    </row>
    <row r="61" spans="1:1" ht="13.2">
      <c r="A61" s="151"/>
    </row>
    <row r="62" spans="1:1" ht="13.2">
      <c r="A62" s="151"/>
    </row>
    <row r="63" spans="1:1" ht="13.2">
      <c r="A63" s="151"/>
    </row>
    <row r="64" spans="1:1" ht="13.2">
      <c r="A64" s="151"/>
    </row>
    <row r="65" spans="1:1" ht="13.2">
      <c r="A65" s="151"/>
    </row>
    <row r="66" spans="1:1" ht="13.2">
      <c r="A66" s="151"/>
    </row>
    <row r="67" spans="1:1" ht="13.2">
      <c r="A67" s="151"/>
    </row>
    <row r="68" spans="1:1" ht="13.2">
      <c r="A68" s="151"/>
    </row>
    <row r="69" spans="1:1" ht="13.2">
      <c r="A69" s="151"/>
    </row>
    <row r="70" spans="1:1" ht="13.2">
      <c r="A70" s="151"/>
    </row>
    <row r="71" spans="1:1" ht="13.2">
      <c r="A71" s="151"/>
    </row>
    <row r="72" spans="1:1" ht="13.2">
      <c r="A72" s="151"/>
    </row>
    <row r="73" spans="1:1" ht="13.2">
      <c r="A73" s="151"/>
    </row>
    <row r="74" spans="1:1" ht="13.2">
      <c r="A74" s="151"/>
    </row>
    <row r="75" spans="1:1" ht="13.2">
      <c r="A75" s="151"/>
    </row>
    <row r="76" spans="1:1" ht="13.2">
      <c r="A76" s="151"/>
    </row>
    <row r="77" spans="1:1" ht="13.2">
      <c r="A77" s="151"/>
    </row>
    <row r="78" spans="1:1" ht="13.2">
      <c r="A78" s="151"/>
    </row>
    <row r="79" spans="1:1" ht="13.2">
      <c r="A79" s="151"/>
    </row>
    <row r="80" spans="1:1" ht="13.2">
      <c r="A80" s="151"/>
    </row>
    <row r="81" spans="1:1" ht="13.2">
      <c r="A81" s="151"/>
    </row>
    <row r="82" spans="1:1" ht="13.2">
      <c r="A82" s="151"/>
    </row>
    <row r="83" spans="1:1" ht="13.2">
      <c r="A83" s="151"/>
    </row>
    <row r="84" spans="1:1" ht="13.2">
      <c r="A84" s="151"/>
    </row>
    <row r="85" spans="1:1" ht="13.2">
      <c r="A85" s="151"/>
    </row>
    <row r="86" spans="1:1" ht="13.2">
      <c r="A86" s="151"/>
    </row>
    <row r="87" spans="1:1" ht="13.2">
      <c r="A87" s="151"/>
    </row>
    <row r="88" spans="1:1" ht="13.2">
      <c r="A88" s="151"/>
    </row>
    <row r="89" spans="1:1" ht="13.2">
      <c r="A89" s="151"/>
    </row>
    <row r="90" spans="1:1" ht="13.2">
      <c r="A90" s="151"/>
    </row>
    <row r="91" spans="1:1" ht="13.2">
      <c r="A91" s="151"/>
    </row>
    <row r="92" spans="1:1" ht="13.2">
      <c r="A92" s="151"/>
    </row>
    <row r="93" spans="1:1" ht="13.2">
      <c r="A93" s="151"/>
    </row>
    <row r="94" spans="1:1" ht="13.2">
      <c r="A94" s="151"/>
    </row>
    <row r="95" spans="1:1" ht="13.2">
      <c r="A95" s="151"/>
    </row>
    <row r="96" spans="1:1" ht="13.2">
      <c r="A96" s="151"/>
    </row>
    <row r="97" spans="1:1" ht="13.2">
      <c r="A97" s="151"/>
    </row>
    <row r="98" spans="1:1" ht="13.2">
      <c r="A98" s="151"/>
    </row>
    <row r="99" spans="1:1" ht="13.2">
      <c r="A99" s="151"/>
    </row>
    <row r="100" spans="1:1" ht="13.2">
      <c r="A100" s="151"/>
    </row>
    <row r="101" spans="1:1" ht="13.2">
      <c r="A101" s="151"/>
    </row>
    <row r="102" spans="1:1" ht="13.2">
      <c r="A102" s="151"/>
    </row>
    <row r="103" spans="1:1" ht="13.2">
      <c r="A103" s="151"/>
    </row>
    <row r="104" spans="1:1" ht="13.2">
      <c r="A104" s="151"/>
    </row>
    <row r="105" spans="1:1" ht="13.2">
      <c r="A105" s="151"/>
    </row>
    <row r="106" spans="1:1" ht="13.2">
      <c r="A106" s="151"/>
    </row>
    <row r="107" spans="1:1" ht="13.2">
      <c r="A107" s="151"/>
    </row>
    <row r="108" spans="1:1" ht="13.2">
      <c r="A108" s="151"/>
    </row>
    <row r="109" spans="1:1" ht="13.2">
      <c r="A109" s="151"/>
    </row>
    <row r="110" spans="1:1" ht="13.2">
      <c r="A110" s="151"/>
    </row>
    <row r="111" spans="1:1" ht="13.2">
      <c r="A111" s="151"/>
    </row>
    <row r="112" spans="1:1" ht="13.2">
      <c r="A112" s="151"/>
    </row>
    <row r="113" spans="1:1" ht="13.2">
      <c r="A113" s="151"/>
    </row>
    <row r="114" spans="1:1" ht="13.2">
      <c r="A114" s="151"/>
    </row>
    <row r="115" spans="1:1" ht="13.2">
      <c r="A115" s="151"/>
    </row>
    <row r="116" spans="1:1" ht="13.2">
      <c r="A116" s="151"/>
    </row>
    <row r="117" spans="1:1" ht="13.2">
      <c r="A117" s="151"/>
    </row>
    <row r="118" spans="1:1" ht="13.2">
      <c r="A118" s="151"/>
    </row>
    <row r="119" spans="1:1" ht="13.2">
      <c r="A119" s="151"/>
    </row>
    <row r="120" spans="1:1" ht="13.2">
      <c r="A120" s="151"/>
    </row>
    <row r="121" spans="1:1" ht="13.2">
      <c r="A121" s="151"/>
    </row>
    <row r="122" spans="1:1" ht="13.2">
      <c r="A122" s="151"/>
    </row>
    <row r="123" spans="1:1" ht="13.2">
      <c r="A123" s="151"/>
    </row>
    <row r="124" spans="1:1" ht="13.2">
      <c r="A124" s="151"/>
    </row>
    <row r="125" spans="1:1" ht="13.2">
      <c r="A125" s="151"/>
    </row>
    <row r="126" spans="1:1" ht="13.2">
      <c r="A126" s="151"/>
    </row>
    <row r="127" spans="1:1" ht="13.2">
      <c r="A127" s="151"/>
    </row>
    <row r="128" spans="1:1" ht="13.2">
      <c r="A128" s="151"/>
    </row>
    <row r="129" spans="1:1" ht="13.2">
      <c r="A129" s="151"/>
    </row>
    <row r="130" spans="1:1" ht="13.2">
      <c r="A130" s="151"/>
    </row>
    <row r="131" spans="1:1" ht="13.2">
      <c r="A131" s="151"/>
    </row>
    <row r="132" spans="1:1" ht="13.2">
      <c r="A132" s="151"/>
    </row>
    <row r="133" spans="1:1" ht="13.2">
      <c r="A133" s="151"/>
    </row>
    <row r="134" spans="1:1" ht="13.2">
      <c r="A134" s="151"/>
    </row>
    <row r="135" spans="1:1" ht="13.2">
      <c r="A135" s="151"/>
    </row>
    <row r="136" spans="1:1" ht="13.2">
      <c r="A136" s="151"/>
    </row>
    <row r="137" spans="1:1" ht="13.2">
      <c r="A137" s="151"/>
    </row>
    <row r="138" spans="1:1" ht="13.2">
      <c r="A138" s="151"/>
    </row>
    <row r="139" spans="1:1" ht="13.2">
      <c r="A139" s="151"/>
    </row>
    <row r="140" spans="1:1" ht="13.2">
      <c r="A140" s="151"/>
    </row>
    <row r="141" spans="1:1" ht="13.2">
      <c r="A141" s="151"/>
    </row>
    <row r="142" spans="1:1" ht="13.2">
      <c r="A142" s="151"/>
    </row>
    <row r="143" spans="1:1" ht="13.2">
      <c r="A143" s="151"/>
    </row>
    <row r="144" spans="1:1" ht="13.2">
      <c r="A144" s="151"/>
    </row>
    <row r="145" spans="1:1" ht="13.2">
      <c r="A145" s="151"/>
    </row>
    <row r="146" spans="1:1" ht="13.2">
      <c r="A146" s="151"/>
    </row>
    <row r="147" spans="1:1" ht="13.2">
      <c r="A147" s="151"/>
    </row>
    <row r="148" spans="1:1" ht="13.2">
      <c r="A148" s="151"/>
    </row>
    <row r="149" spans="1:1" ht="13.2">
      <c r="A149" s="151"/>
    </row>
    <row r="150" spans="1:1" ht="13.2">
      <c r="A150" s="151"/>
    </row>
    <row r="151" spans="1:1" ht="13.2">
      <c r="A151" s="151"/>
    </row>
    <row r="152" spans="1:1" ht="13.2">
      <c r="A152" s="151"/>
    </row>
    <row r="153" spans="1:1" ht="13.2">
      <c r="A153" s="151"/>
    </row>
    <row r="154" spans="1:1" ht="13.2">
      <c r="A154" s="151"/>
    </row>
    <row r="155" spans="1:1" ht="13.2">
      <c r="A155" s="151"/>
    </row>
    <row r="156" spans="1:1" ht="13.2">
      <c r="A156" s="151"/>
    </row>
    <row r="157" spans="1:1" ht="13.2">
      <c r="A157" s="151"/>
    </row>
    <row r="158" spans="1:1" ht="13.2">
      <c r="A158" s="151"/>
    </row>
    <row r="159" spans="1:1" ht="13.2">
      <c r="A159" s="151"/>
    </row>
    <row r="160" spans="1:1" ht="13.2">
      <c r="A160" s="151"/>
    </row>
    <row r="161" spans="1:1" ht="13.2">
      <c r="A161" s="151"/>
    </row>
    <row r="162" spans="1:1" ht="13.2">
      <c r="A162" s="151"/>
    </row>
    <row r="163" spans="1:1" ht="13.2">
      <c r="A163" s="151"/>
    </row>
    <row r="164" spans="1:1" ht="13.2">
      <c r="A164" s="151"/>
    </row>
    <row r="165" spans="1:1" ht="13.2">
      <c r="A165" s="151"/>
    </row>
    <row r="166" spans="1:1" ht="13.2">
      <c r="A166" s="151"/>
    </row>
    <row r="167" spans="1:1" ht="13.2">
      <c r="A167" s="151"/>
    </row>
    <row r="168" spans="1:1" ht="13.2">
      <c r="A168" s="151"/>
    </row>
    <row r="169" spans="1:1" ht="13.2">
      <c r="A169" s="151"/>
    </row>
    <row r="170" spans="1:1" ht="13.2">
      <c r="A170" s="151"/>
    </row>
    <row r="171" spans="1:1" ht="13.2">
      <c r="A171" s="151"/>
    </row>
    <row r="172" spans="1:1" ht="13.2">
      <c r="A172" s="151"/>
    </row>
    <row r="173" spans="1:1" ht="13.2">
      <c r="A173" s="151"/>
    </row>
    <row r="174" spans="1:1" ht="13.2">
      <c r="A174" s="151"/>
    </row>
    <row r="175" spans="1:1" ht="13.2">
      <c r="A175" s="151"/>
    </row>
    <row r="176" spans="1:1" ht="13.2">
      <c r="A176" s="151"/>
    </row>
    <row r="177" spans="1:1" ht="13.2">
      <c r="A177" s="151"/>
    </row>
    <row r="178" spans="1:1" ht="13.2">
      <c r="A178" s="151"/>
    </row>
    <row r="179" spans="1:1" ht="13.2">
      <c r="A179" s="151"/>
    </row>
    <row r="180" spans="1:1" ht="13.2">
      <c r="A180" s="151"/>
    </row>
    <row r="181" spans="1:1" ht="13.2">
      <c r="A181" s="151"/>
    </row>
    <row r="182" spans="1:1" ht="13.2">
      <c r="A182" s="151"/>
    </row>
    <row r="183" spans="1:1" ht="13.2">
      <c r="A183" s="151"/>
    </row>
    <row r="184" spans="1:1" ht="13.2">
      <c r="A184" s="151"/>
    </row>
    <row r="185" spans="1:1" ht="13.2">
      <c r="A185" s="151"/>
    </row>
    <row r="186" spans="1:1" ht="13.2">
      <c r="A186" s="151"/>
    </row>
    <row r="187" spans="1:1" ht="13.2">
      <c r="A187" s="151"/>
    </row>
    <row r="188" spans="1:1" ht="13.2">
      <c r="A188" s="151"/>
    </row>
    <row r="189" spans="1:1" ht="13.2">
      <c r="A189" s="151"/>
    </row>
    <row r="190" spans="1:1" ht="13.2">
      <c r="A190" s="151"/>
    </row>
    <row r="191" spans="1:1" ht="13.2">
      <c r="A191" s="151"/>
    </row>
    <row r="192" spans="1:1" ht="13.2">
      <c r="A192" s="151"/>
    </row>
    <row r="193" spans="1:1" ht="13.2">
      <c r="A193" s="151"/>
    </row>
    <row r="194" spans="1:1" ht="13.2">
      <c r="A194" s="151"/>
    </row>
    <row r="195" spans="1:1" ht="13.2">
      <c r="A195" s="151"/>
    </row>
    <row r="196" spans="1:1" ht="13.2">
      <c r="A196" s="151"/>
    </row>
    <row r="197" spans="1:1" ht="13.2">
      <c r="A197" s="151"/>
    </row>
    <row r="198" spans="1:1" ht="13.2">
      <c r="A198" s="151"/>
    </row>
    <row r="199" spans="1:1" ht="13.2">
      <c r="A199" s="151"/>
    </row>
    <row r="200" spans="1:1" ht="13.2">
      <c r="A200" s="151"/>
    </row>
    <row r="201" spans="1:1" ht="13.2">
      <c r="A201" s="151"/>
    </row>
    <row r="202" spans="1:1" ht="13.2">
      <c r="A202" s="151"/>
    </row>
    <row r="203" spans="1:1" ht="13.2">
      <c r="A203" s="151"/>
    </row>
    <row r="204" spans="1:1" ht="13.2">
      <c r="A204" s="151"/>
    </row>
    <row r="205" spans="1:1" ht="13.2">
      <c r="A205" s="151"/>
    </row>
    <row r="206" spans="1:1" ht="13.2">
      <c r="A206" s="151"/>
    </row>
    <row r="207" spans="1:1" ht="13.2">
      <c r="A207" s="151"/>
    </row>
    <row r="208" spans="1:1" ht="13.2">
      <c r="A208" s="151"/>
    </row>
    <row r="209" spans="1:1" ht="13.2">
      <c r="A209" s="151"/>
    </row>
    <row r="210" spans="1:1" ht="13.2">
      <c r="A210" s="151"/>
    </row>
    <row r="211" spans="1:1" ht="13.2">
      <c r="A211" s="151"/>
    </row>
    <row r="212" spans="1:1" ht="13.2">
      <c r="A212" s="151"/>
    </row>
    <row r="213" spans="1:1" ht="13.2">
      <c r="A213" s="151"/>
    </row>
    <row r="214" spans="1:1" ht="13.2">
      <c r="A214" s="151"/>
    </row>
    <row r="215" spans="1:1" ht="13.2">
      <c r="A215" s="151"/>
    </row>
    <row r="216" spans="1:1" ht="13.2">
      <c r="A216" s="151"/>
    </row>
    <row r="217" spans="1:1" ht="13.2">
      <c r="A217" s="151"/>
    </row>
    <row r="218" spans="1:1" ht="13.2">
      <c r="A218" s="151"/>
    </row>
    <row r="219" spans="1:1" ht="13.2">
      <c r="A219" s="151"/>
    </row>
    <row r="220" spans="1:1" ht="13.2">
      <c r="A220" s="151"/>
    </row>
    <row r="221" spans="1:1" ht="13.2">
      <c r="A221" s="151"/>
    </row>
    <row r="222" spans="1:1" ht="13.2">
      <c r="A222" s="151"/>
    </row>
    <row r="223" spans="1:1" ht="13.2">
      <c r="A223" s="151"/>
    </row>
    <row r="224" spans="1:1" ht="13.2">
      <c r="A224" s="151"/>
    </row>
    <row r="225" spans="1:1" ht="13.2">
      <c r="A225" s="151"/>
    </row>
    <row r="226" spans="1:1" ht="13.2">
      <c r="A226" s="151"/>
    </row>
    <row r="227" spans="1:1" ht="13.2">
      <c r="A227" s="151"/>
    </row>
    <row r="228" spans="1:1" ht="13.2">
      <c r="A228" s="151"/>
    </row>
    <row r="229" spans="1:1" ht="13.2">
      <c r="A229" s="151"/>
    </row>
    <row r="230" spans="1:1" ht="13.2">
      <c r="A230" s="151"/>
    </row>
    <row r="231" spans="1:1" ht="13.2">
      <c r="A231" s="151"/>
    </row>
    <row r="232" spans="1:1" ht="13.2">
      <c r="A232" s="151"/>
    </row>
    <row r="233" spans="1:1" ht="13.2">
      <c r="A233" s="151"/>
    </row>
    <row r="234" spans="1:1" ht="13.2">
      <c r="A234" s="151"/>
    </row>
    <row r="235" spans="1:1" ht="13.2">
      <c r="A235" s="151"/>
    </row>
    <row r="236" spans="1:1" ht="13.2">
      <c r="A236" s="151"/>
    </row>
    <row r="237" spans="1:1" ht="13.2">
      <c r="A237" s="151"/>
    </row>
    <row r="238" spans="1:1" ht="13.2">
      <c r="A238" s="151"/>
    </row>
    <row r="239" spans="1:1" ht="13.2">
      <c r="A239" s="151"/>
    </row>
    <row r="240" spans="1:1" ht="13.2">
      <c r="A240" s="151"/>
    </row>
    <row r="241" spans="1:1" ht="13.2">
      <c r="A241" s="151"/>
    </row>
    <row r="242" spans="1:1" ht="13.2">
      <c r="A242" s="151"/>
    </row>
    <row r="243" spans="1:1" ht="13.2">
      <c r="A243" s="151"/>
    </row>
    <row r="244" spans="1:1" ht="13.2">
      <c r="A244" s="151"/>
    </row>
    <row r="245" spans="1:1" ht="13.2">
      <c r="A245" s="151"/>
    </row>
    <row r="246" spans="1:1" ht="13.2">
      <c r="A246" s="151"/>
    </row>
    <row r="247" spans="1:1" ht="13.2">
      <c r="A247" s="151"/>
    </row>
    <row r="248" spans="1:1" ht="13.2">
      <c r="A248" s="151"/>
    </row>
    <row r="249" spans="1:1" ht="13.2">
      <c r="A249" s="151"/>
    </row>
    <row r="250" spans="1:1" ht="13.2">
      <c r="A250" s="151"/>
    </row>
    <row r="251" spans="1:1" ht="13.2">
      <c r="A251" s="151"/>
    </row>
    <row r="252" spans="1:1" ht="13.2">
      <c r="A252" s="151"/>
    </row>
    <row r="253" spans="1:1" ht="13.2">
      <c r="A253" s="151"/>
    </row>
    <row r="254" spans="1:1" ht="13.2">
      <c r="A254" s="151"/>
    </row>
    <row r="255" spans="1:1" ht="13.2">
      <c r="A255" s="151"/>
    </row>
    <row r="256" spans="1:1" ht="13.2">
      <c r="A256" s="151"/>
    </row>
    <row r="257" spans="1:1" ht="13.2">
      <c r="A257" s="151"/>
    </row>
    <row r="258" spans="1:1" ht="13.2">
      <c r="A258" s="151"/>
    </row>
    <row r="259" spans="1:1" ht="13.2">
      <c r="A259" s="151"/>
    </row>
    <row r="260" spans="1:1" ht="13.2">
      <c r="A260" s="151"/>
    </row>
    <row r="261" spans="1:1" ht="13.2">
      <c r="A261" s="151"/>
    </row>
    <row r="262" spans="1:1" ht="13.2">
      <c r="A262" s="151"/>
    </row>
    <row r="263" spans="1:1" ht="13.2">
      <c r="A263" s="151"/>
    </row>
    <row r="264" spans="1:1" ht="13.2">
      <c r="A264" s="151"/>
    </row>
    <row r="265" spans="1:1" ht="13.2">
      <c r="A265" s="151"/>
    </row>
    <row r="266" spans="1:1" ht="13.2">
      <c r="A266" s="151"/>
    </row>
    <row r="267" spans="1:1" ht="13.2">
      <c r="A267" s="151"/>
    </row>
    <row r="268" spans="1:1" ht="13.2">
      <c r="A268" s="151"/>
    </row>
    <row r="269" spans="1:1" ht="13.2">
      <c r="A269" s="151"/>
    </row>
    <row r="270" spans="1:1" ht="13.2">
      <c r="A270" s="151"/>
    </row>
    <row r="271" spans="1:1" ht="13.2">
      <c r="A271" s="151"/>
    </row>
    <row r="272" spans="1:1" ht="13.2">
      <c r="A272" s="151"/>
    </row>
    <row r="273" spans="1:1" ht="13.2">
      <c r="A273" s="151"/>
    </row>
    <row r="274" spans="1:1" ht="13.2">
      <c r="A274" s="151"/>
    </row>
    <row r="275" spans="1:1" ht="13.2">
      <c r="A275" s="151"/>
    </row>
    <row r="276" spans="1:1" ht="13.2">
      <c r="A276" s="151"/>
    </row>
    <row r="277" spans="1:1" ht="13.2">
      <c r="A277" s="151"/>
    </row>
    <row r="278" spans="1:1" ht="13.2">
      <c r="A278" s="151"/>
    </row>
    <row r="279" spans="1:1" ht="13.2">
      <c r="A279" s="151"/>
    </row>
    <row r="280" spans="1:1" ht="13.2">
      <c r="A280" s="151"/>
    </row>
    <row r="281" spans="1:1" ht="13.2">
      <c r="A281" s="151"/>
    </row>
    <row r="282" spans="1:1" ht="13.2">
      <c r="A282" s="151"/>
    </row>
    <row r="283" spans="1:1" ht="13.2">
      <c r="A283" s="151"/>
    </row>
    <row r="284" spans="1:1" ht="13.2">
      <c r="A284" s="151"/>
    </row>
    <row r="285" spans="1:1" ht="13.2">
      <c r="A285" s="151"/>
    </row>
    <row r="286" spans="1:1" ht="13.2">
      <c r="A286" s="151"/>
    </row>
    <row r="287" spans="1:1" ht="13.2">
      <c r="A287" s="151"/>
    </row>
    <row r="288" spans="1:1" ht="13.2">
      <c r="A288" s="151"/>
    </row>
    <row r="289" spans="1:1" ht="13.2">
      <c r="A289" s="151"/>
    </row>
    <row r="290" spans="1:1" ht="13.2">
      <c r="A290" s="151"/>
    </row>
    <row r="291" spans="1:1" ht="13.2">
      <c r="A291" s="151"/>
    </row>
    <row r="292" spans="1:1" ht="13.2">
      <c r="A292" s="151"/>
    </row>
    <row r="293" spans="1:1" ht="13.2">
      <c r="A293" s="151"/>
    </row>
    <row r="294" spans="1:1" ht="13.2">
      <c r="A294" s="151"/>
    </row>
    <row r="295" spans="1:1" ht="13.2">
      <c r="A295" s="151"/>
    </row>
    <row r="296" spans="1:1" ht="13.2">
      <c r="A296" s="151"/>
    </row>
    <row r="297" spans="1:1" ht="13.2">
      <c r="A297" s="151"/>
    </row>
    <row r="298" spans="1:1" ht="13.2">
      <c r="A298" s="151"/>
    </row>
    <row r="299" spans="1:1" ht="13.2">
      <c r="A299" s="151"/>
    </row>
    <row r="300" spans="1:1" ht="13.2">
      <c r="A300" s="151"/>
    </row>
    <row r="301" spans="1:1" ht="13.2">
      <c r="A301" s="151"/>
    </row>
    <row r="302" spans="1:1" ht="13.2">
      <c r="A302" s="151"/>
    </row>
    <row r="303" spans="1:1" ht="13.2">
      <c r="A303" s="151"/>
    </row>
    <row r="304" spans="1:1" ht="13.2">
      <c r="A304" s="151"/>
    </row>
    <row r="305" spans="1:1" ht="13.2">
      <c r="A305" s="151"/>
    </row>
    <row r="306" spans="1:1" ht="13.2">
      <c r="A306" s="151"/>
    </row>
    <row r="307" spans="1:1" ht="13.2">
      <c r="A307" s="151"/>
    </row>
    <row r="308" spans="1:1" ht="13.2">
      <c r="A308" s="151"/>
    </row>
    <row r="309" spans="1:1" ht="13.2">
      <c r="A309" s="151"/>
    </row>
    <row r="310" spans="1:1" ht="13.2">
      <c r="A310" s="151"/>
    </row>
    <row r="311" spans="1:1" ht="13.2">
      <c r="A311" s="151"/>
    </row>
    <row r="312" spans="1:1" ht="13.2">
      <c r="A312" s="151"/>
    </row>
    <row r="313" spans="1:1" ht="13.2">
      <c r="A313" s="151"/>
    </row>
    <row r="314" spans="1:1" ht="13.2">
      <c r="A314" s="151"/>
    </row>
    <row r="315" spans="1:1" ht="13.2">
      <c r="A315" s="151"/>
    </row>
    <row r="316" spans="1:1" ht="13.2">
      <c r="A316" s="151"/>
    </row>
    <row r="317" spans="1:1" ht="13.2">
      <c r="A317" s="151"/>
    </row>
    <row r="318" spans="1:1" ht="13.2">
      <c r="A318" s="151"/>
    </row>
    <row r="319" spans="1:1" ht="13.2">
      <c r="A319" s="151"/>
    </row>
    <row r="320" spans="1:1" ht="13.2">
      <c r="A320" s="151"/>
    </row>
    <row r="321" spans="1:1" ht="13.2">
      <c r="A321" s="151"/>
    </row>
    <row r="322" spans="1:1" ht="13.2">
      <c r="A322" s="151"/>
    </row>
    <row r="323" spans="1:1" ht="13.2">
      <c r="A323" s="151"/>
    </row>
    <row r="324" spans="1:1" ht="13.2">
      <c r="A324" s="151"/>
    </row>
    <row r="325" spans="1:1" ht="13.2">
      <c r="A325" s="151"/>
    </row>
    <row r="326" spans="1:1" ht="13.2">
      <c r="A326" s="151"/>
    </row>
    <row r="327" spans="1:1" ht="13.2">
      <c r="A327" s="151"/>
    </row>
    <row r="328" spans="1:1" ht="13.2">
      <c r="A328" s="151"/>
    </row>
    <row r="329" spans="1:1" ht="13.2">
      <c r="A329" s="151"/>
    </row>
    <row r="330" spans="1:1" ht="13.2">
      <c r="A330" s="151"/>
    </row>
    <row r="331" spans="1:1" ht="13.2">
      <c r="A331" s="151"/>
    </row>
    <row r="332" spans="1:1" ht="13.2">
      <c r="A332" s="151"/>
    </row>
    <row r="333" spans="1:1" ht="13.2">
      <c r="A333" s="151"/>
    </row>
    <row r="334" spans="1:1" ht="13.2">
      <c r="A334" s="151"/>
    </row>
    <row r="335" spans="1:1" ht="13.2">
      <c r="A335" s="151"/>
    </row>
    <row r="336" spans="1:1" ht="13.2">
      <c r="A336" s="151"/>
    </row>
    <row r="337" spans="1:1" ht="13.2">
      <c r="A337" s="151"/>
    </row>
    <row r="338" spans="1:1" ht="13.2">
      <c r="A338" s="151"/>
    </row>
    <row r="339" spans="1:1" ht="13.2">
      <c r="A339" s="151"/>
    </row>
    <row r="340" spans="1:1" ht="13.2">
      <c r="A340" s="151"/>
    </row>
    <row r="341" spans="1:1" ht="13.2">
      <c r="A341" s="151"/>
    </row>
    <row r="342" spans="1:1" ht="13.2">
      <c r="A342" s="151"/>
    </row>
    <row r="343" spans="1:1" ht="13.2">
      <c r="A343" s="151"/>
    </row>
    <row r="344" spans="1:1" ht="13.2">
      <c r="A344" s="151"/>
    </row>
    <row r="345" spans="1:1" ht="13.2">
      <c r="A345" s="151"/>
    </row>
    <row r="346" spans="1:1" ht="13.2">
      <c r="A346" s="151"/>
    </row>
    <row r="347" spans="1:1" ht="13.2">
      <c r="A347" s="151"/>
    </row>
    <row r="348" spans="1:1" ht="13.2">
      <c r="A348" s="151"/>
    </row>
    <row r="349" spans="1:1" ht="13.2">
      <c r="A349" s="151"/>
    </row>
    <row r="350" spans="1:1" ht="13.2">
      <c r="A350" s="151"/>
    </row>
    <row r="351" spans="1:1" ht="13.2">
      <c r="A351" s="151"/>
    </row>
    <row r="352" spans="1:1" ht="13.2">
      <c r="A352" s="151"/>
    </row>
    <row r="353" spans="1:1" ht="13.2">
      <c r="A353" s="151"/>
    </row>
    <row r="354" spans="1:1" ht="13.2">
      <c r="A354" s="151"/>
    </row>
    <row r="355" spans="1:1" ht="13.2">
      <c r="A355" s="151"/>
    </row>
    <row r="356" spans="1:1" ht="13.2">
      <c r="A356" s="151"/>
    </row>
    <row r="357" spans="1:1" ht="13.2">
      <c r="A357" s="151"/>
    </row>
    <row r="358" spans="1:1" ht="13.2">
      <c r="A358" s="151"/>
    </row>
    <row r="359" spans="1:1" ht="13.2">
      <c r="A359" s="151"/>
    </row>
    <row r="360" spans="1:1" ht="13.2">
      <c r="A360" s="151"/>
    </row>
    <row r="361" spans="1:1" ht="13.2">
      <c r="A361" s="151"/>
    </row>
    <row r="362" spans="1:1" ht="13.2">
      <c r="A362" s="151"/>
    </row>
    <row r="363" spans="1:1" ht="13.2">
      <c r="A363" s="151"/>
    </row>
    <row r="364" spans="1:1" ht="13.2">
      <c r="A364" s="151"/>
    </row>
    <row r="365" spans="1:1" ht="13.2">
      <c r="A365" s="151"/>
    </row>
    <row r="366" spans="1:1" ht="13.2">
      <c r="A366" s="151"/>
    </row>
    <row r="367" spans="1:1" ht="13.2">
      <c r="A367" s="151"/>
    </row>
    <row r="368" spans="1:1" ht="13.2">
      <c r="A368" s="151"/>
    </row>
    <row r="369" spans="1:1" ht="13.2">
      <c r="A369" s="151"/>
    </row>
    <row r="370" spans="1:1" ht="13.2">
      <c r="A370" s="151"/>
    </row>
    <row r="371" spans="1:1" ht="13.2">
      <c r="A371" s="151"/>
    </row>
    <row r="372" spans="1:1" ht="13.2">
      <c r="A372" s="151"/>
    </row>
    <row r="373" spans="1:1" ht="13.2">
      <c r="A373" s="151"/>
    </row>
    <row r="374" spans="1:1" ht="13.2">
      <c r="A374" s="151"/>
    </row>
    <row r="375" spans="1:1" ht="13.2">
      <c r="A375" s="151"/>
    </row>
    <row r="376" spans="1:1" ht="13.2">
      <c r="A376" s="151"/>
    </row>
    <row r="377" spans="1:1" ht="13.2">
      <c r="A377" s="151"/>
    </row>
    <row r="378" spans="1:1" ht="13.2">
      <c r="A378" s="151"/>
    </row>
    <row r="379" spans="1:1" ht="13.2">
      <c r="A379" s="151"/>
    </row>
    <row r="380" spans="1:1" ht="13.2">
      <c r="A380" s="151"/>
    </row>
    <row r="381" spans="1:1" ht="13.2">
      <c r="A381" s="151"/>
    </row>
    <row r="382" spans="1:1" ht="13.2">
      <c r="A382" s="151"/>
    </row>
    <row r="383" spans="1:1" ht="13.2">
      <c r="A383" s="151"/>
    </row>
    <row r="384" spans="1:1" ht="13.2">
      <c r="A384" s="151"/>
    </row>
    <row r="385" spans="1:1" ht="13.2">
      <c r="A385" s="151"/>
    </row>
    <row r="386" spans="1:1" ht="13.2">
      <c r="A386" s="151"/>
    </row>
    <row r="387" spans="1:1" ht="13.2">
      <c r="A387" s="151"/>
    </row>
    <row r="388" spans="1:1" ht="13.2">
      <c r="A388" s="151"/>
    </row>
    <row r="389" spans="1:1" ht="13.2">
      <c r="A389" s="151"/>
    </row>
    <row r="390" spans="1:1" ht="13.2">
      <c r="A390" s="151"/>
    </row>
    <row r="391" spans="1:1" ht="13.2">
      <c r="A391" s="151"/>
    </row>
    <row r="392" spans="1:1" ht="13.2">
      <c r="A392" s="151"/>
    </row>
    <row r="393" spans="1:1" ht="13.2">
      <c r="A393" s="151"/>
    </row>
    <row r="394" spans="1:1" ht="13.2">
      <c r="A394" s="151"/>
    </row>
    <row r="395" spans="1:1" ht="13.2">
      <c r="A395" s="151"/>
    </row>
    <row r="396" spans="1:1" ht="13.2">
      <c r="A396" s="151"/>
    </row>
    <row r="397" spans="1:1" ht="13.2">
      <c r="A397" s="151"/>
    </row>
    <row r="398" spans="1:1" ht="13.2">
      <c r="A398" s="151"/>
    </row>
    <row r="399" spans="1:1" ht="13.2">
      <c r="A399" s="151"/>
    </row>
    <row r="400" spans="1:1" ht="13.2">
      <c r="A400" s="151"/>
    </row>
    <row r="401" spans="1:1" ht="13.2">
      <c r="A401" s="151"/>
    </row>
    <row r="402" spans="1:1" ht="13.2">
      <c r="A402" s="151"/>
    </row>
    <row r="403" spans="1:1" ht="13.2">
      <c r="A403" s="151"/>
    </row>
    <row r="404" spans="1:1" ht="13.2">
      <c r="A404" s="151"/>
    </row>
    <row r="405" spans="1:1" ht="13.2">
      <c r="A405" s="151"/>
    </row>
    <row r="406" spans="1:1" ht="13.2">
      <c r="A406" s="151"/>
    </row>
    <row r="407" spans="1:1" ht="13.2">
      <c r="A407" s="151"/>
    </row>
    <row r="408" spans="1:1" ht="13.2">
      <c r="A408" s="151"/>
    </row>
    <row r="409" spans="1:1" ht="13.2">
      <c r="A409" s="151"/>
    </row>
    <row r="410" spans="1:1" ht="13.2">
      <c r="A410" s="151"/>
    </row>
    <row r="411" spans="1:1" ht="13.2">
      <c r="A411" s="151"/>
    </row>
    <row r="412" spans="1:1" ht="13.2">
      <c r="A412" s="151"/>
    </row>
    <row r="413" spans="1:1" ht="13.2">
      <c r="A413" s="151"/>
    </row>
    <row r="414" spans="1:1" ht="13.2">
      <c r="A414" s="151"/>
    </row>
    <row r="415" spans="1:1" ht="13.2">
      <c r="A415" s="151"/>
    </row>
    <row r="416" spans="1:1" ht="13.2">
      <c r="A416" s="151"/>
    </row>
    <row r="417" spans="1:1" ht="13.2">
      <c r="A417" s="151"/>
    </row>
    <row r="418" spans="1:1" ht="13.2">
      <c r="A418" s="151"/>
    </row>
    <row r="419" spans="1:1" ht="13.2">
      <c r="A419" s="151"/>
    </row>
    <row r="420" spans="1:1" ht="13.2">
      <c r="A420" s="151"/>
    </row>
    <row r="421" spans="1:1" ht="13.2">
      <c r="A421" s="151"/>
    </row>
    <row r="422" spans="1:1" ht="13.2">
      <c r="A422" s="151"/>
    </row>
    <row r="423" spans="1:1" ht="13.2">
      <c r="A423" s="151"/>
    </row>
    <row r="424" spans="1:1" ht="13.2">
      <c r="A424" s="151"/>
    </row>
    <row r="425" spans="1:1" ht="13.2">
      <c r="A425" s="151"/>
    </row>
    <row r="426" spans="1:1" ht="13.2">
      <c r="A426" s="151"/>
    </row>
    <row r="427" spans="1:1" ht="13.2">
      <c r="A427" s="151"/>
    </row>
    <row r="428" spans="1:1" ht="13.2">
      <c r="A428" s="151"/>
    </row>
    <row r="429" spans="1:1" ht="13.2">
      <c r="A429" s="151"/>
    </row>
    <row r="430" spans="1:1" ht="13.2">
      <c r="A430" s="151"/>
    </row>
    <row r="431" spans="1:1" ht="13.2">
      <c r="A431" s="151"/>
    </row>
    <row r="432" spans="1:1" ht="13.2">
      <c r="A432" s="151"/>
    </row>
    <row r="433" spans="1:1" ht="13.2">
      <c r="A433" s="151"/>
    </row>
    <row r="434" spans="1:1" ht="13.2">
      <c r="A434" s="151"/>
    </row>
    <row r="435" spans="1:1" ht="13.2">
      <c r="A435" s="151"/>
    </row>
    <row r="436" spans="1:1" ht="13.2">
      <c r="A436" s="151"/>
    </row>
    <row r="437" spans="1:1" ht="13.2">
      <c r="A437" s="151"/>
    </row>
    <row r="438" spans="1:1" ht="13.2">
      <c r="A438" s="151"/>
    </row>
    <row r="439" spans="1:1" ht="13.2">
      <c r="A439" s="151"/>
    </row>
    <row r="440" spans="1:1" ht="13.2">
      <c r="A440" s="151"/>
    </row>
    <row r="441" spans="1:1" ht="13.2">
      <c r="A441" s="151"/>
    </row>
    <row r="442" spans="1:1" ht="13.2">
      <c r="A442" s="151"/>
    </row>
    <row r="443" spans="1:1" ht="13.2">
      <c r="A443" s="151"/>
    </row>
    <row r="444" spans="1:1" ht="13.2">
      <c r="A444" s="151"/>
    </row>
    <row r="445" spans="1:1" ht="13.2">
      <c r="A445" s="151"/>
    </row>
    <row r="446" spans="1:1" ht="13.2">
      <c r="A446" s="151"/>
    </row>
    <row r="447" spans="1:1" ht="13.2">
      <c r="A447" s="151"/>
    </row>
    <row r="448" spans="1:1" ht="13.2">
      <c r="A448" s="151"/>
    </row>
    <row r="449" spans="1:1" ht="13.2">
      <c r="A449" s="151"/>
    </row>
    <row r="450" spans="1:1" ht="13.2">
      <c r="A450" s="151"/>
    </row>
    <row r="451" spans="1:1" ht="13.2">
      <c r="A451" s="151"/>
    </row>
    <row r="452" spans="1:1" ht="13.2">
      <c r="A452" s="151"/>
    </row>
    <row r="453" spans="1:1" ht="13.2">
      <c r="A453" s="151"/>
    </row>
    <row r="454" spans="1:1" ht="13.2">
      <c r="A454" s="151"/>
    </row>
    <row r="455" spans="1:1" ht="13.2">
      <c r="A455" s="151"/>
    </row>
    <row r="456" spans="1:1" ht="13.2">
      <c r="A456" s="151"/>
    </row>
    <row r="457" spans="1:1" ht="13.2">
      <c r="A457" s="151"/>
    </row>
    <row r="458" spans="1:1" ht="13.2">
      <c r="A458" s="151"/>
    </row>
    <row r="459" spans="1:1" ht="13.2">
      <c r="A459" s="151"/>
    </row>
    <row r="460" spans="1:1" ht="13.2">
      <c r="A460" s="151"/>
    </row>
    <row r="461" spans="1:1" ht="13.2">
      <c r="A461" s="151"/>
    </row>
    <row r="462" spans="1:1" ht="13.2">
      <c r="A462" s="151"/>
    </row>
    <row r="463" spans="1:1" ht="13.2">
      <c r="A463" s="151"/>
    </row>
    <row r="464" spans="1:1" ht="13.2">
      <c r="A464" s="151"/>
    </row>
    <row r="465" spans="1:1" ht="13.2">
      <c r="A465" s="151"/>
    </row>
    <row r="466" spans="1:1" ht="13.2">
      <c r="A466" s="151"/>
    </row>
    <row r="467" spans="1:1" ht="13.2">
      <c r="A467" s="151"/>
    </row>
    <row r="468" spans="1:1" ht="13.2">
      <c r="A468" s="151"/>
    </row>
    <row r="469" spans="1:1" ht="13.2">
      <c r="A469" s="151"/>
    </row>
    <row r="470" spans="1:1" ht="13.2">
      <c r="A470" s="151"/>
    </row>
    <row r="471" spans="1:1" ht="13.2">
      <c r="A471" s="151"/>
    </row>
    <row r="472" spans="1:1" ht="13.2">
      <c r="A472" s="151"/>
    </row>
    <row r="473" spans="1:1" ht="13.2">
      <c r="A473" s="151"/>
    </row>
    <row r="474" spans="1:1" ht="13.2">
      <c r="A474" s="151"/>
    </row>
    <row r="475" spans="1:1" ht="13.2">
      <c r="A475" s="151"/>
    </row>
    <row r="476" spans="1:1" ht="13.2">
      <c r="A476" s="151"/>
    </row>
    <row r="477" spans="1:1" ht="13.2">
      <c r="A477" s="151"/>
    </row>
    <row r="478" spans="1:1" ht="13.2">
      <c r="A478" s="151"/>
    </row>
    <row r="479" spans="1:1" ht="13.2">
      <c r="A479" s="151"/>
    </row>
    <row r="480" spans="1:1" ht="13.2">
      <c r="A480" s="151"/>
    </row>
    <row r="481" spans="1:1" ht="13.2">
      <c r="A481" s="151"/>
    </row>
    <row r="482" spans="1:1" ht="13.2">
      <c r="A482" s="151"/>
    </row>
    <row r="483" spans="1:1" ht="13.2">
      <c r="A483" s="151"/>
    </row>
    <row r="484" spans="1:1" ht="13.2">
      <c r="A484" s="151"/>
    </row>
    <row r="485" spans="1:1" ht="13.2">
      <c r="A485" s="151"/>
    </row>
    <row r="486" spans="1:1" ht="13.2">
      <c r="A486" s="151"/>
    </row>
    <row r="487" spans="1:1" ht="13.2">
      <c r="A487" s="151"/>
    </row>
    <row r="488" spans="1:1" ht="13.2">
      <c r="A488" s="151"/>
    </row>
    <row r="489" spans="1:1" ht="13.2">
      <c r="A489" s="151"/>
    </row>
    <row r="490" spans="1:1" ht="13.2">
      <c r="A490" s="151"/>
    </row>
    <row r="491" spans="1:1" ht="13.2">
      <c r="A491" s="151"/>
    </row>
    <row r="492" spans="1:1" ht="13.2">
      <c r="A492" s="151"/>
    </row>
    <row r="493" spans="1:1" ht="13.2">
      <c r="A493" s="151"/>
    </row>
    <row r="494" spans="1:1" ht="13.2">
      <c r="A494" s="151"/>
    </row>
    <row r="495" spans="1:1" ht="13.2">
      <c r="A495" s="151"/>
    </row>
    <row r="496" spans="1:1" ht="13.2">
      <c r="A496" s="151"/>
    </row>
    <row r="497" spans="1:1" ht="13.2">
      <c r="A497" s="151"/>
    </row>
    <row r="498" spans="1:1" ht="13.2">
      <c r="A498" s="151"/>
    </row>
    <row r="499" spans="1:1" ht="13.2">
      <c r="A499" s="151"/>
    </row>
    <row r="500" spans="1:1" ht="13.2">
      <c r="A500" s="151"/>
    </row>
    <row r="501" spans="1:1" ht="13.2">
      <c r="A501" s="151"/>
    </row>
    <row r="502" spans="1:1" ht="13.2">
      <c r="A502" s="151"/>
    </row>
    <row r="503" spans="1:1" ht="13.2">
      <c r="A503" s="151"/>
    </row>
    <row r="504" spans="1:1" ht="13.2">
      <c r="A504" s="151"/>
    </row>
    <row r="505" spans="1:1" ht="13.2">
      <c r="A505" s="151"/>
    </row>
    <row r="506" spans="1:1" ht="13.2">
      <c r="A506" s="151"/>
    </row>
    <row r="507" spans="1:1" ht="13.2">
      <c r="A507" s="151"/>
    </row>
    <row r="508" spans="1:1" ht="13.2">
      <c r="A508" s="151"/>
    </row>
    <row r="509" spans="1:1" ht="13.2">
      <c r="A509" s="151"/>
    </row>
    <row r="510" spans="1:1" ht="13.2">
      <c r="A510" s="151"/>
    </row>
    <row r="511" spans="1:1" ht="13.2">
      <c r="A511" s="151"/>
    </row>
    <row r="512" spans="1:1" ht="13.2">
      <c r="A512" s="151"/>
    </row>
    <row r="513" spans="1:1" ht="13.2">
      <c r="A513" s="151"/>
    </row>
    <row r="514" spans="1:1" ht="13.2">
      <c r="A514" s="151"/>
    </row>
    <row r="515" spans="1:1" ht="13.2">
      <c r="A515" s="151"/>
    </row>
    <row r="516" spans="1:1" ht="13.2">
      <c r="A516" s="151"/>
    </row>
    <row r="517" spans="1:1" ht="13.2">
      <c r="A517" s="151"/>
    </row>
    <row r="518" spans="1:1" ht="13.2">
      <c r="A518" s="151"/>
    </row>
    <row r="519" spans="1:1" ht="13.2">
      <c r="A519" s="151"/>
    </row>
    <row r="520" spans="1:1" ht="13.2">
      <c r="A520" s="151"/>
    </row>
    <row r="521" spans="1:1" ht="13.2">
      <c r="A521" s="151"/>
    </row>
    <row r="522" spans="1:1" ht="13.2">
      <c r="A522" s="151"/>
    </row>
    <row r="523" spans="1:1" ht="13.2">
      <c r="A523" s="151"/>
    </row>
    <row r="524" spans="1:1" ht="13.2">
      <c r="A524" s="151"/>
    </row>
    <row r="525" spans="1:1" ht="13.2">
      <c r="A525" s="151"/>
    </row>
    <row r="526" spans="1:1" ht="13.2">
      <c r="A526" s="151"/>
    </row>
    <row r="527" spans="1:1" ht="13.2">
      <c r="A527" s="151"/>
    </row>
    <row r="528" spans="1:1" ht="13.2">
      <c r="A528" s="151"/>
    </row>
    <row r="529" spans="1:1" ht="13.2">
      <c r="A529" s="151"/>
    </row>
    <row r="530" spans="1:1" ht="13.2">
      <c r="A530" s="151"/>
    </row>
    <row r="531" spans="1:1" ht="13.2">
      <c r="A531" s="151"/>
    </row>
    <row r="532" spans="1:1" ht="13.2">
      <c r="A532" s="151"/>
    </row>
    <row r="533" spans="1:1" ht="13.2">
      <c r="A533" s="151"/>
    </row>
    <row r="534" spans="1:1" ht="13.2">
      <c r="A534" s="151"/>
    </row>
    <row r="535" spans="1:1" ht="13.2">
      <c r="A535" s="151"/>
    </row>
    <row r="536" spans="1:1" ht="13.2">
      <c r="A536" s="151"/>
    </row>
    <row r="537" spans="1:1" ht="13.2">
      <c r="A537" s="151"/>
    </row>
    <row r="538" spans="1:1" ht="13.2">
      <c r="A538" s="151"/>
    </row>
    <row r="539" spans="1:1" ht="13.2">
      <c r="A539" s="151"/>
    </row>
    <row r="540" spans="1:1" ht="13.2">
      <c r="A540" s="151"/>
    </row>
    <row r="541" spans="1:1" ht="13.2">
      <c r="A541" s="151"/>
    </row>
    <row r="542" spans="1:1" ht="13.2">
      <c r="A542" s="151"/>
    </row>
    <row r="543" spans="1:1" ht="13.2">
      <c r="A543" s="151"/>
    </row>
    <row r="544" spans="1:1" ht="13.2">
      <c r="A544" s="151"/>
    </row>
    <row r="545" spans="1:1" ht="13.2">
      <c r="A545" s="151"/>
    </row>
    <row r="546" spans="1:1" ht="13.2">
      <c r="A546" s="151"/>
    </row>
    <row r="547" spans="1:1" ht="13.2">
      <c r="A547" s="151"/>
    </row>
    <row r="548" spans="1:1" ht="13.2">
      <c r="A548" s="151"/>
    </row>
    <row r="549" spans="1:1" ht="13.2">
      <c r="A549" s="151"/>
    </row>
    <row r="550" spans="1:1" ht="13.2">
      <c r="A550" s="151"/>
    </row>
    <row r="551" spans="1:1" ht="13.2">
      <c r="A551" s="151"/>
    </row>
    <row r="552" spans="1:1" ht="13.2">
      <c r="A552" s="151"/>
    </row>
    <row r="553" spans="1:1" ht="13.2">
      <c r="A553" s="151"/>
    </row>
    <row r="554" spans="1:1" ht="13.2">
      <c r="A554" s="151"/>
    </row>
    <row r="555" spans="1:1" ht="13.2">
      <c r="A555" s="151"/>
    </row>
    <row r="556" spans="1:1" ht="13.2">
      <c r="A556" s="151"/>
    </row>
    <row r="557" spans="1:1" ht="13.2">
      <c r="A557" s="151"/>
    </row>
    <row r="558" spans="1:1" ht="13.2">
      <c r="A558" s="151"/>
    </row>
    <row r="559" spans="1:1" ht="13.2">
      <c r="A559" s="151"/>
    </row>
    <row r="560" spans="1:1" ht="13.2">
      <c r="A560" s="151"/>
    </row>
    <row r="561" spans="1:1" ht="13.2">
      <c r="A561" s="151"/>
    </row>
    <row r="562" spans="1:1" ht="13.2">
      <c r="A562" s="151"/>
    </row>
    <row r="563" spans="1:1" ht="13.2">
      <c r="A563" s="151"/>
    </row>
    <row r="564" spans="1:1" ht="13.2">
      <c r="A564" s="151"/>
    </row>
    <row r="565" spans="1:1" ht="13.2">
      <c r="A565" s="151"/>
    </row>
    <row r="566" spans="1:1" ht="13.2">
      <c r="A566" s="151"/>
    </row>
    <row r="567" spans="1:1" ht="13.2">
      <c r="A567" s="151"/>
    </row>
    <row r="568" spans="1:1" ht="13.2">
      <c r="A568" s="151"/>
    </row>
    <row r="569" spans="1:1" ht="13.2">
      <c r="A569" s="151"/>
    </row>
    <row r="570" spans="1:1" ht="13.2">
      <c r="A570" s="151"/>
    </row>
    <row r="571" spans="1:1" ht="13.2">
      <c r="A571" s="151"/>
    </row>
    <row r="572" spans="1:1" ht="13.2">
      <c r="A572" s="151"/>
    </row>
    <row r="573" spans="1:1" ht="13.2">
      <c r="A573" s="151"/>
    </row>
    <row r="574" spans="1:1" ht="13.2">
      <c r="A574" s="151"/>
    </row>
    <row r="575" spans="1:1" ht="13.2">
      <c r="A575" s="151"/>
    </row>
    <row r="576" spans="1:1" ht="13.2">
      <c r="A576" s="151"/>
    </row>
    <row r="577" spans="1:1" ht="13.2">
      <c r="A577" s="151"/>
    </row>
    <row r="578" spans="1:1" ht="13.2">
      <c r="A578" s="151"/>
    </row>
    <row r="579" spans="1:1" ht="13.2">
      <c r="A579" s="151"/>
    </row>
    <row r="580" spans="1:1" ht="13.2">
      <c r="A580" s="151"/>
    </row>
    <row r="581" spans="1:1" ht="13.2">
      <c r="A581" s="151"/>
    </row>
    <row r="582" spans="1:1" ht="13.2">
      <c r="A582" s="151"/>
    </row>
    <row r="583" spans="1:1" ht="13.2">
      <c r="A583" s="151"/>
    </row>
    <row r="584" spans="1:1" ht="13.2">
      <c r="A584" s="151"/>
    </row>
    <row r="585" spans="1:1" ht="13.2">
      <c r="A585" s="151"/>
    </row>
    <row r="586" spans="1:1" ht="13.2">
      <c r="A586" s="151"/>
    </row>
    <row r="587" spans="1:1" ht="13.2">
      <c r="A587" s="151"/>
    </row>
    <row r="588" spans="1:1" ht="13.2">
      <c r="A588" s="151"/>
    </row>
    <row r="589" spans="1:1" ht="13.2">
      <c r="A589" s="151"/>
    </row>
    <row r="590" spans="1:1" ht="13.2">
      <c r="A590" s="151"/>
    </row>
    <row r="591" spans="1:1" ht="13.2">
      <c r="A591" s="151"/>
    </row>
    <row r="592" spans="1:1" ht="13.2">
      <c r="A592" s="151"/>
    </row>
    <row r="593" spans="1:1" ht="13.2">
      <c r="A593" s="151"/>
    </row>
    <row r="594" spans="1:1" ht="13.2">
      <c r="A594" s="151"/>
    </row>
    <row r="595" spans="1:1" ht="13.2">
      <c r="A595" s="151"/>
    </row>
    <row r="596" spans="1:1" ht="13.2">
      <c r="A596" s="151"/>
    </row>
    <row r="597" spans="1:1" ht="13.2">
      <c r="A597" s="151"/>
    </row>
    <row r="598" spans="1:1" ht="13.2">
      <c r="A598" s="151"/>
    </row>
    <row r="599" spans="1:1" ht="13.2">
      <c r="A599" s="151"/>
    </row>
    <row r="600" spans="1:1" ht="13.2">
      <c r="A600" s="151"/>
    </row>
    <row r="601" spans="1:1" ht="13.2">
      <c r="A601" s="151"/>
    </row>
    <row r="602" spans="1:1" ht="13.2">
      <c r="A602" s="151"/>
    </row>
    <row r="603" spans="1:1" ht="13.2">
      <c r="A603" s="151"/>
    </row>
    <row r="604" spans="1:1" ht="13.2">
      <c r="A604" s="151"/>
    </row>
    <row r="605" spans="1:1" ht="13.2">
      <c r="A605" s="151"/>
    </row>
    <row r="606" spans="1:1" ht="13.2">
      <c r="A606" s="151"/>
    </row>
    <row r="607" spans="1:1" ht="13.2">
      <c r="A607" s="151"/>
    </row>
    <row r="608" spans="1:1" ht="13.2">
      <c r="A608" s="151"/>
    </row>
    <row r="609" spans="1:1" ht="13.2">
      <c r="A609" s="151"/>
    </row>
    <row r="610" spans="1:1" ht="13.2">
      <c r="A610" s="151"/>
    </row>
    <row r="611" spans="1:1" ht="13.2">
      <c r="A611" s="151"/>
    </row>
    <row r="612" spans="1:1" ht="13.2">
      <c r="A612" s="151"/>
    </row>
    <row r="613" spans="1:1" ht="13.2">
      <c r="A613" s="151"/>
    </row>
    <row r="614" spans="1:1" ht="13.2">
      <c r="A614" s="151"/>
    </row>
    <row r="615" spans="1:1" ht="13.2">
      <c r="A615" s="151"/>
    </row>
    <row r="616" spans="1:1" ht="13.2">
      <c r="A616" s="151"/>
    </row>
    <row r="617" spans="1:1" ht="13.2">
      <c r="A617" s="151"/>
    </row>
    <row r="618" spans="1:1" ht="13.2">
      <c r="A618" s="151"/>
    </row>
    <row r="619" spans="1:1" ht="13.2">
      <c r="A619" s="151"/>
    </row>
    <row r="620" spans="1:1" ht="13.2">
      <c r="A620" s="151"/>
    </row>
    <row r="621" spans="1:1" ht="13.2">
      <c r="A621" s="151"/>
    </row>
    <row r="622" spans="1:1" ht="13.2">
      <c r="A622" s="151"/>
    </row>
    <row r="623" spans="1:1" ht="13.2">
      <c r="A623" s="151"/>
    </row>
    <row r="624" spans="1:1" ht="13.2">
      <c r="A624" s="151"/>
    </row>
    <row r="625" spans="1:1" ht="13.2">
      <c r="A625" s="151"/>
    </row>
    <row r="626" spans="1:1" ht="13.2">
      <c r="A626" s="151"/>
    </row>
    <row r="627" spans="1:1" ht="13.2">
      <c r="A627" s="151"/>
    </row>
    <row r="628" spans="1:1" ht="13.2">
      <c r="A628" s="151"/>
    </row>
    <row r="629" spans="1:1" ht="13.2">
      <c r="A629" s="151"/>
    </row>
    <row r="630" spans="1:1" ht="13.2">
      <c r="A630" s="151"/>
    </row>
    <row r="631" spans="1:1" ht="13.2">
      <c r="A631" s="151"/>
    </row>
    <row r="632" spans="1:1" ht="13.2">
      <c r="A632" s="151"/>
    </row>
    <row r="633" spans="1:1" ht="13.2">
      <c r="A633" s="151"/>
    </row>
    <row r="634" spans="1:1" ht="13.2">
      <c r="A634" s="151"/>
    </row>
    <row r="635" spans="1:1" ht="13.2">
      <c r="A635" s="151"/>
    </row>
    <row r="636" spans="1:1" ht="13.2">
      <c r="A636" s="151"/>
    </row>
    <row r="637" spans="1:1" ht="13.2">
      <c r="A637" s="151"/>
    </row>
    <row r="638" spans="1:1" ht="13.2">
      <c r="A638" s="151"/>
    </row>
    <row r="639" spans="1:1" ht="13.2">
      <c r="A639" s="151"/>
    </row>
    <row r="640" spans="1:1" ht="13.2">
      <c r="A640" s="151"/>
    </row>
    <row r="641" spans="1:1" ht="13.2">
      <c r="A641" s="151"/>
    </row>
    <row r="642" spans="1:1" ht="13.2">
      <c r="A642" s="151"/>
    </row>
    <row r="643" spans="1:1" ht="13.2">
      <c r="A643" s="151"/>
    </row>
    <row r="644" spans="1:1" ht="13.2">
      <c r="A644" s="151"/>
    </row>
    <row r="645" spans="1:1" ht="13.2">
      <c r="A645" s="151"/>
    </row>
    <row r="646" spans="1:1" ht="13.2">
      <c r="A646" s="151"/>
    </row>
    <row r="647" spans="1:1" ht="13.2">
      <c r="A647" s="151"/>
    </row>
    <row r="648" spans="1:1" ht="13.2">
      <c r="A648" s="151"/>
    </row>
    <row r="649" spans="1:1" ht="13.2">
      <c r="A649" s="151"/>
    </row>
    <row r="650" spans="1:1" ht="13.2">
      <c r="A650" s="151"/>
    </row>
    <row r="651" spans="1:1" ht="13.2">
      <c r="A651" s="151"/>
    </row>
    <row r="652" spans="1:1" ht="13.2">
      <c r="A652" s="151"/>
    </row>
    <row r="653" spans="1:1" ht="13.2">
      <c r="A653" s="151"/>
    </row>
    <row r="654" spans="1:1" ht="13.2">
      <c r="A654" s="151"/>
    </row>
    <row r="655" spans="1:1" ht="13.2">
      <c r="A655" s="151"/>
    </row>
    <row r="656" spans="1:1" ht="13.2">
      <c r="A656" s="151"/>
    </row>
    <row r="657" spans="1:1" ht="13.2">
      <c r="A657" s="151"/>
    </row>
    <row r="658" spans="1:1" ht="13.2">
      <c r="A658" s="151"/>
    </row>
    <row r="659" spans="1:1" ht="13.2">
      <c r="A659" s="151"/>
    </row>
    <row r="660" spans="1:1" ht="13.2">
      <c r="A660" s="151"/>
    </row>
    <row r="661" spans="1:1" ht="13.2">
      <c r="A661" s="151"/>
    </row>
    <row r="662" spans="1:1" ht="13.2">
      <c r="A662" s="151"/>
    </row>
    <row r="663" spans="1:1" ht="13.2">
      <c r="A663" s="151"/>
    </row>
    <row r="664" spans="1:1" ht="13.2">
      <c r="A664" s="151"/>
    </row>
    <row r="665" spans="1:1" ht="13.2">
      <c r="A665" s="151"/>
    </row>
    <row r="666" spans="1:1" ht="13.2">
      <c r="A666" s="151"/>
    </row>
    <row r="667" spans="1:1" ht="13.2">
      <c r="A667" s="151"/>
    </row>
    <row r="668" spans="1:1" ht="13.2">
      <c r="A668" s="151"/>
    </row>
    <row r="669" spans="1:1" ht="13.2">
      <c r="A669" s="151"/>
    </row>
    <row r="670" spans="1:1" ht="13.2">
      <c r="A670" s="151"/>
    </row>
    <row r="671" spans="1:1" ht="13.2">
      <c r="A671" s="151"/>
    </row>
    <row r="672" spans="1:1" ht="13.2">
      <c r="A672" s="151"/>
    </row>
    <row r="673" spans="1:1" ht="13.2">
      <c r="A673" s="151"/>
    </row>
    <row r="674" spans="1:1" ht="13.2">
      <c r="A674" s="151"/>
    </row>
    <row r="675" spans="1:1" ht="13.2">
      <c r="A675" s="151"/>
    </row>
    <row r="676" spans="1:1" ht="13.2">
      <c r="A676" s="151"/>
    </row>
    <row r="677" spans="1:1" ht="13.2">
      <c r="A677" s="151"/>
    </row>
    <row r="678" spans="1:1" ht="13.2">
      <c r="A678" s="151"/>
    </row>
    <row r="679" spans="1:1" ht="13.2">
      <c r="A679" s="151"/>
    </row>
    <row r="680" spans="1:1" ht="13.2">
      <c r="A680" s="151"/>
    </row>
    <row r="681" spans="1:1" ht="13.2">
      <c r="A681" s="151"/>
    </row>
    <row r="682" spans="1:1" ht="13.2">
      <c r="A682" s="151"/>
    </row>
    <row r="683" spans="1:1" ht="13.2">
      <c r="A683" s="151"/>
    </row>
    <row r="684" spans="1:1" ht="13.2">
      <c r="A684" s="151"/>
    </row>
    <row r="685" spans="1:1" ht="13.2">
      <c r="A685" s="151"/>
    </row>
    <row r="686" spans="1:1" ht="13.2">
      <c r="A686" s="151"/>
    </row>
    <row r="687" spans="1:1" ht="13.2">
      <c r="A687" s="151"/>
    </row>
    <row r="688" spans="1:1" ht="13.2">
      <c r="A688" s="151"/>
    </row>
    <row r="689" spans="1:1" ht="13.2">
      <c r="A689" s="151"/>
    </row>
    <row r="690" spans="1:1" ht="13.2">
      <c r="A690" s="151"/>
    </row>
    <row r="691" spans="1:1" ht="13.2">
      <c r="A691" s="151"/>
    </row>
    <row r="692" spans="1:1" ht="13.2">
      <c r="A692" s="151"/>
    </row>
    <row r="693" spans="1:1" ht="13.2">
      <c r="A693" s="151"/>
    </row>
    <row r="694" spans="1:1" ht="13.2">
      <c r="A694" s="151"/>
    </row>
    <row r="695" spans="1:1" ht="13.2">
      <c r="A695" s="151"/>
    </row>
    <row r="696" spans="1:1" ht="13.2">
      <c r="A696" s="151"/>
    </row>
    <row r="697" spans="1:1" ht="13.2">
      <c r="A697" s="151"/>
    </row>
    <row r="698" spans="1:1" ht="13.2">
      <c r="A698" s="151"/>
    </row>
    <row r="699" spans="1:1" ht="13.2">
      <c r="A699" s="151"/>
    </row>
    <row r="700" spans="1:1" ht="13.2">
      <c r="A700" s="151"/>
    </row>
    <row r="701" spans="1:1" ht="13.2">
      <c r="A701" s="151"/>
    </row>
    <row r="702" spans="1:1" ht="13.2">
      <c r="A702" s="151"/>
    </row>
    <row r="703" spans="1:1" ht="13.2">
      <c r="A703" s="151"/>
    </row>
    <row r="704" spans="1:1" ht="13.2">
      <c r="A704" s="151"/>
    </row>
    <row r="705" spans="1:1" ht="13.2">
      <c r="A705" s="151"/>
    </row>
    <row r="706" spans="1:1" ht="13.2">
      <c r="A706" s="151"/>
    </row>
    <row r="707" spans="1:1" ht="13.2">
      <c r="A707" s="151"/>
    </row>
    <row r="708" spans="1:1" ht="13.2">
      <c r="A708" s="151"/>
    </row>
    <row r="709" spans="1:1" ht="13.2">
      <c r="A709" s="151"/>
    </row>
    <row r="710" spans="1:1" ht="13.2">
      <c r="A710" s="151"/>
    </row>
    <row r="711" spans="1:1" ht="13.2">
      <c r="A711" s="151"/>
    </row>
    <row r="712" spans="1:1" ht="13.2">
      <c r="A712" s="151"/>
    </row>
    <row r="713" spans="1:1" ht="13.2">
      <c r="A713" s="151"/>
    </row>
    <row r="714" spans="1:1" ht="13.2">
      <c r="A714" s="151"/>
    </row>
    <row r="715" spans="1:1" ht="13.2">
      <c r="A715" s="151"/>
    </row>
    <row r="716" spans="1:1" ht="13.2">
      <c r="A716" s="151"/>
    </row>
    <row r="717" spans="1:1" ht="13.2">
      <c r="A717" s="151"/>
    </row>
    <row r="718" spans="1:1" ht="13.2">
      <c r="A718" s="151"/>
    </row>
    <row r="719" spans="1:1" ht="13.2">
      <c r="A719" s="151"/>
    </row>
    <row r="720" spans="1:1" ht="13.2">
      <c r="A720" s="151"/>
    </row>
    <row r="721" spans="1:1" ht="13.2">
      <c r="A721" s="151"/>
    </row>
    <row r="722" spans="1:1" ht="13.2">
      <c r="A722" s="151"/>
    </row>
    <row r="723" spans="1:1" ht="13.2">
      <c r="A723" s="151"/>
    </row>
    <row r="724" spans="1:1" ht="13.2">
      <c r="A724" s="151"/>
    </row>
    <row r="725" spans="1:1" ht="13.2">
      <c r="A725" s="151"/>
    </row>
    <row r="726" spans="1:1" ht="13.2">
      <c r="A726" s="151"/>
    </row>
    <row r="727" spans="1:1" ht="13.2">
      <c r="A727" s="151"/>
    </row>
    <row r="728" spans="1:1" ht="13.2">
      <c r="A728" s="151"/>
    </row>
    <row r="729" spans="1:1" ht="13.2">
      <c r="A729" s="151"/>
    </row>
    <row r="730" spans="1:1" ht="13.2">
      <c r="A730" s="151"/>
    </row>
    <row r="731" spans="1:1" ht="13.2">
      <c r="A731" s="151"/>
    </row>
    <row r="732" spans="1:1" ht="13.2">
      <c r="A732" s="151"/>
    </row>
    <row r="733" spans="1:1" ht="13.2">
      <c r="A733" s="151"/>
    </row>
    <row r="734" spans="1:1" ht="13.2">
      <c r="A734" s="151"/>
    </row>
    <row r="735" spans="1:1" ht="13.2">
      <c r="A735" s="151"/>
    </row>
    <row r="736" spans="1:1" ht="13.2">
      <c r="A736" s="151"/>
    </row>
    <row r="737" spans="1:1" ht="13.2">
      <c r="A737" s="151"/>
    </row>
    <row r="738" spans="1:1" ht="13.2">
      <c r="A738" s="151"/>
    </row>
    <row r="739" spans="1:1" ht="13.2">
      <c r="A739" s="151"/>
    </row>
    <row r="740" spans="1:1" ht="13.2">
      <c r="A740" s="151"/>
    </row>
    <row r="741" spans="1:1" ht="13.2">
      <c r="A741" s="151"/>
    </row>
    <row r="742" spans="1:1" ht="13.2">
      <c r="A742" s="151"/>
    </row>
    <row r="743" spans="1:1" ht="13.2">
      <c r="A743" s="151"/>
    </row>
    <row r="744" spans="1:1" ht="13.2">
      <c r="A744" s="151"/>
    </row>
    <row r="745" spans="1:1" ht="13.2">
      <c r="A745" s="151"/>
    </row>
    <row r="746" spans="1:1" ht="13.2">
      <c r="A746" s="151"/>
    </row>
    <row r="747" spans="1:1" ht="13.2">
      <c r="A747" s="151"/>
    </row>
    <row r="748" spans="1:1" ht="13.2">
      <c r="A748" s="151"/>
    </row>
    <row r="749" spans="1:1" ht="13.2">
      <c r="A749" s="151"/>
    </row>
    <row r="750" spans="1:1" ht="13.2">
      <c r="A750" s="151"/>
    </row>
    <row r="751" spans="1:1" ht="13.2">
      <c r="A751" s="151"/>
    </row>
    <row r="752" spans="1:1" ht="13.2">
      <c r="A752" s="151"/>
    </row>
    <row r="753" spans="1:1" ht="13.2">
      <c r="A753" s="151"/>
    </row>
    <row r="754" spans="1:1" ht="13.2">
      <c r="A754" s="151"/>
    </row>
    <row r="755" spans="1:1" ht="13.2">
      <c r="A755" s="151"/>
    </row>
    <row r="756" spans="1:1" ht="13.2">
      <c r="A756" s="151"/>
    </row>
    <row r="757" spans="1:1" ht="13.2">
      <c r="A757" s="151"/>
    </row>
    <row r="758" spans="1:1" ht="13.2">
      <c r="A758" s="151"/>
    </row>
    <row r="759" spans="1:1" ht="13.2">
      <c r="A759" s="151"/>
    </row>
    <row r="760" spans="1:1" ht="13.2">
      <c r="A760" s="151"/>
    </row>
    <row r="761" spans="1:1" ht="13.2">
      <c r="A761" s="151"/>
    </row>
    <row r="762" spans="1:1" ht="13.2">
      <c r="A762" s="151"/>
    </row>
    <row r="763" spans="1:1" ht="13.2">
      <c r="A763" s="151"/>
    </row>
    <row r="764" spans="1:1" ht="13.2">
      <c r="A764" s="151"/>
    </row>
    <row r="765" spans="1:1" ht="13.2">
      <c r="A765" s="151"/>
    </row>
    <row r="766" spans="1:1" ht="13.2">
      <c r="A766" s="151"/>
    </row>
    <row r="767" spans="1:1" ht="13.2">
      <c r="A767" s="151"/>
    </row>
    <row r="768" spans="1:1" ht="13.2">
      <c r="A768" s="151"/>
    </row>
    <row r="769" spans="1:1" ht="13.2">
      <c r="A769" s="151"/>
    </row>
    <row r="770" spans="1:1" ht="13.2">
      <c r="A770" s="151"/>
    </row>
    <row r="771" spans="1:1" ht="13.2">
      <c r="A771" s="151"/>
    </row>
    <row r="772" spans="1:1" ht="13.2">
      <c r="A772" s="151"/>
    </row>
    <row r="773" spans="1:1" ht="13.2">
      <c r="A773" s="151"/>
    </row>
    <row r="774" spans="1:1" ht="13.2">
      <c r="A774" s="151"/>
    </row>
    <row r="775" spans="1:1" ht="13.2">
      <c r="A775" s="151"/>
    </row>
    <row r="776" spans="1:1" ht="13.2">
      <c r="A776" s="151"/>
    </row>
    <row r="777" spans="1:1" ht="13.2">
      <c r="A777" s="151"/>
    </row>
    <row r="778" spans="1:1" ht="13.2">
      <c r="A778" s="151"/>
    </row>
    <row r="779" spans="1:1" ht="13.2">
      <c r="A779" s="151"/>
    </row>
    <row r="780" spans="1:1" ht="13.2">
      <c r="A780" s="151"/>
    </row>
    <row r="781" spans="1:1" ht="13.2">
      <c r="A781" s="151"/>
    </row>
    <row r="782" spans="1:1" ht="13.2">
      <c r="A782" s="151"/>
    </row>
    <row r="783" spans="1:1" ht="13.2">
      <c r="A783" s="151"/>
    </row>
    <row r="784" spans="1:1" ht="13.2">
      <c r="A784" s="151"/>
    </row>
    <row r="785" spans="1:1" ht="13.2">
      <c r="A785" s="151"/>
    </row>
    <row r="786" spans="1:1" ht="13.2">
      <c r="A786" s="151"/>
    </row>
    <row r="787" spans="1:1" ht="13.2">
      <c r="A787" s="151"/>
    </row>
    <row r="788" spans="1:1" ht="13.2">
      <c r="A788" s="151"/>
    </row>
    <row r="789" spans="1:1" ht="13.2">
      <c r="A789" s="151"/>
    </row>
    <row r="790" spans="1:1" ht="13.2">
      <c r="A790" s="151"/>
    </row>
    <row r="791" spans="1:1" ht="13.2">
      <c r="A791" s="151"/>
    </row>
    <row r="792" spans="1:1" ht="13.2">
      <c r="A792" s="151"/>
    </row>
    <row r="793" spans="1:1" ht="13.2">
      <c r="A793" s="151"/>
    </row>
    <row r="794" spans="1:1" ht="13.2">
      <c r="A794" s="151"/>
    </row>
    <row r="795" spans="1:1" ht="13.2">
      <c r="A795" s="151"/>
    </row>
    <row r="796" spans="1:1" ht="13.2">
      <c r="A796" s="151"/>
    </row>
    <row r="797" spans="1:1" ht="13.2">
      <c r="A797" s="151"/>
    </row>
    <row r="798" spans="1:1" ht="13.2">
      <c r="A798" s="151"/>
    </row>
    <row r="799" spans="1:1" ht="13.2">
      <c r="A799" s="151"/>
    </row>
    <row r="800" spans="1:1" ht="13.2">
      <c r="A800" s="151"/>
    </row>
    <row r="801" spans="1:1" ht="13.2">
      <c r="A801" s="151"/>
    </row>
    <row r="802" spans="1:1" ht="13.2">
      <c r="A802" s="151"/>
    </row>
    <row r="803" spans="1:1" ht="13.2">
      <c r="A803" s="151"/>
    </row>
    <row r="804" spans="1:1" ht="13.2">
      <c r="A804" s="151"/>
    </row>
    <row r="805" spans="1:1" ht="13.2">
      <c r="A805" s="151"/>
    </row>
    <row r="806" spans="1:1" ht="13.2">
      <c r="A806" s="151"/>
    </row>
    <row r="807" spans="1:1" ht="13.2">
      <c r="A807" s="151"/>
    </row>
    <row r="808" spans="1:1" ht="13.2">
      <c r="A808" s="151"/>
    </row>
    <row r="809" spans="1:1" ht="13.2">
      <c r="A809" s="151"/>
    </row>
    <row r="810" spans="1:1" ht="13.2">
      <c r="A810" s="151"/>
    </row>
    <row r="811" spans="1:1" ht="13.2">
      <c r="A811" s="151"/>
    </row>
    <row r="812" spans="1:1" ht="13.2">
      <c r="A812" s="151"/>
    </row>
    <row r="813" spans="1:1" ht="13.2">
      <c r="A813" s="151"/>
    </row>
    <row r="814" spans="1:1" ht="13.2">
      <c r="A814" s="151"/>
    </row>
    <row r="815" spans="1:1" ht="13.2">
      <c r="A815" s="151"/>
    </row>
    <row r="816" spans="1:1" ht="13.2">
      <c r="A816" s="151"/>
    </row>
    <row r="817" spans="1:1" ht="13.2">
      <c r="A817" s="151"/>
    </row>
    <row r="818" spans="1:1" ht="13.2">
      <c r="A818" s="151"/>
    </row>
    <row r="819" spans="1:1" ht="13.2">
      <c r="A819" s="151"/>
    </row>
    <row r="820" spans="1:1" ht="13.2">
      <c r="A820" s="151"/>
    </row>
    <row r="821" spans="1:1" ht="13.2">
      <c r="A821" s="151"/>
    </row>
    <row r="822" spans="1:1" ht="13.2">
      <c r="A822" s="151"/>
    </row>
    <row r="823" spans="1:1" ht="13.2">
      <c r="A823" s="151"/>
    </row>
    <row r="824" spans="1:1" ht="13.2">
      <c r="A824" s="151"/>
    </row>
    <row r="825" spans="1:1" ht="13.2">
      <c r="A825" s="151"/>
    </row>
    <row r="826" spans="1:1" ht="13.2">
      <c r="A826" s="151"/>
    </row>
    <row r="827" spans="1:1" ht="13.2">
      <c r="A827" s="151"/>
    </row>
    <row r="828" spans="1:1" ht="13.2">
      <c r="A828" s="151"/>
    </row>
    <row r="829" spans="1:1" ht="13.2">
      <c r="A829" s="151"/>
    </row>
    <row r="830" spans="1:1" ht="13.2">
      <c r="A830" s="151"/>
    </row>
    <row r="831" spans="1:1" ht="13.2">
      <c r="A831" s="151"/>
    </row>
    <row r="832" spans="1:1" ht="13.2">
      <c r="A832" s="151"/>
    </row>
    <row r="833" spans="1:1" ht="13.2">
      <c r="A833" s="151"/>
    </row>
    <row r="834" spans="1:1" ht="13.2">
      <c r="A834" s="151"/>
    </row>
    <row r="835" spans="1:1" ht="13.2">
      <c r="A835" s="151"/>
    </row>
    <row r="836" spans="1:1" ht="13.2">
      <c r="A836" s="151"/>
    </row>
    <row r="837" spans="1:1" ht="13.2">
      <c r="A837" s="151"/>
    </row>
    <row r="838" spans="1:1" ht="13.2">
      <c r="A838" s="151"/>
    </row>
    <row r="839" spans="1:1" ht="13.2">
      <c r="A839" s="151"/>
    </row>
    <row r="840" spans="1:1" ht="13.2">
      <c r="A840" s="151"/>
    </row>
    <row r="841" spans="1:1" ht="13.2">
      <c r="A841" s="151"/>
    </row>
    <row r="842" spans="1:1" ht="13.2">
      <c r="A842" s="151"/>
    </row>
    <row r="843" spans="1:1" ht="13.2">
      <c r="A843" s="151"/>
    </row>
    <row r="844" spans="1:1" ht="13.2">
      <c r="A844" s="151"/>
    </row>
    <row r="845" spans="1:1" ht="13.2">
      <c r="A845" s="151"/>
    </row>
    <row r="846" spans="1:1" ht="13.2">
      <c r="A846" s="151"/>
    </row>
    <row r="847" spans="1:1" ht="13.2">
      <c r="A847" s="151"/>
    </row>
    <row r="848" spans="1:1" ht="13.2">
      <c r="A848" s="151"/>
    </row>
    <row r="849" spans="1:1" ht="13.2">
      <c r="A849" s="151"/>
    </row>
    <row r="850" spans="1:1" ht="13.2">
      <c r="A850" s="151"/>
    </row>
    <row r="851" spans="1:1" ht="13.2">
      <c r="A851" s="151"/>
    </row>
    <row r="852" spans="1:1" ht="13.2">
      <c r="A852" s="151"/>
    </row>
    <row r="853" spans="1:1" ht="13.2">
      <c r="A853" s="151"/>
    </row>
    <row r="854" spans="1:1" ht="13.2">
      <c r="A854" s="151"/>
    </row>
    <row r="855" spans="1:1" ht="13.2">
      <c r="A855" s="151"/>
    </row>
    <row r="856" spans="1:1" ht="13.2">
      <c r="A856" s="151"/>
    </row>
    <row r="857" spans="1:1" ht="13.2">
      <c r="A857" s="151"/>
    </row>
    <row r="858" spans="1:1" ht="13.2">
      <c r="A858" s="151"/>
    </row>
    <row r="859" spans="1:1" ht="13.2">
      <c r="A859" s="151"/>
    </row>
    <row r="860" spans="1:1" ht="13.2">
      <c r="A860" s="151"/>
    </row>
    <row r="861" spans="1:1" ht="13.2">
      <c r="A861" s="151"/>
    </row>
    <row r="862" spans="1:1" ht="13.2">
      <c r="A862" s="151"/>
    </row>
    <row r="863" spans="1:1" ht="13.2">
      <c r="A863" s="151"/>
    </row>
    <row r="864" spans="1:1" ht="13.2">
      <c r="A864" s="151"/>
    </row>
    <row r="865" spans="1:1" ht="13.2">
      <c r="A865" s="151"/>
    </row>
    <row r="866" spans="1:1" ht="13.2">
      <c r="A866" s="151"/>
    </row>
    <row r="867" spans="1:1" ht="13.2">
      <c r="A867" s="151"/>
    </row>
    <row r="868" spans="1:1" ht="13.2">
      <c r="A868" s="151"/>
    </row>
    <row r="869" spans="1:1" ht="13.2">
      <c r="A869" s="151"/>
    </row>
    <row r="870" spans="1:1" ht="13.2">
      <c r="A870" s="151"/>
    </row>
    <row r="871" spans="1:1" ht="13.2">
      <c r="A871" s="151"/>
    </row>
    <row r="872" spans="1:1" ht="13.2">
      <c r="A872" s="151"/>
    </row>
    <row r="873" spans="1:1" ht="13.2">
      <c r="A873" s="151"/>
    </row>
    <row r="874" spans="1:1" ht="13.2">
      <c r="A874" s="151"/>
    </row>
    <row r="875" spans="1:1" ht="13.2">
      <c r="A875" s="151"/>
    </row>
    <row r="876" spans="1:1" ht="13.2">
      <c r="A876" s="151"/>
    </row>
    <row r="877" spans="1:1" ht="13.2">
      <c r="A877" s="151"/>
    </row>
    <row r="878" spans="1:1" ht="13.2">
      <c r="A878" s="151"/>
    </row>
    <row r="879" spans="1:1" ht="13.2">
      <c r="A879" s="151"/>
    </row>
    <row r="880" spans="1:1" ht="13.2">
      <c r="A880" s="151"/>
    </row>
    <row r="881" spans="1:1" ht="13.2">
      <c r="A881" s="151"/>
    </row>
    <row r="882" spans="1:1" ht="13.2">
      <c r="A882" s="151"/>
    </row>
    <row r="883" spans="1:1" ht="13.2">
      <c r="A883" s="151"/>
    </row>
    <row r="884" spans="1:1" ht="13.2">
      <c r="A884" s="151"/>
    </row>
    <row r="885" spans="1:1" ht="13.2">
      <c r="A885" s="151"/>
    </row>
    <row r="886" spans="1:1" ht="13.2">
      <c r="A886" s="151"/>
    </row>
    <row r="887" spans="1:1" ht="13.2">
      <c r="A887" s="151"/>
    </row>
    <row r="888" spans="1:1" ht="13.2">
      <c r="A888" s="151"/>
    </row>
    <row r="889" spans="1:1" ht="13.2">
      <c r="A889" s="151"/>
    </row>
    <row r="890" spans="1:1" ht="13.2">
      <c r="A890" s="151"/>
    </row>
    <row r="891" spans="1:1" ht="13.2">
      <c r="A891" s="151"/>
    </row>
    <row r="892" spans="1:1" ht="13.2">
      <c r="A892" s="151"/>
    </row>
    <row r="893" spans="1:1" ht="13.2">
      <c r="A893" s="151"/>
    </row>
    <row r="894" spans="1:1" ht="13.2">
      <c r="A894" s="151"/>
    </row>
    <row r="895" spans="1:1" ht="13.2">
      <c r="A895" s="151"/>
    </row>
    <row r="896" spans="1:1" ht="13.2">
      <c r="A896" s="151"/>
    </row>
    <row r="897" spans="1:1" ht="13.2">
      <c r="A897" s="151"/>
    </row>
    <row r="898" spans="1:1" ht="13.2">
      <c r="A898" s="151"/>
    </row>
    <row r="899" spans="1:1" ht="13.2">
      <c r="A899" s="151"/>
    </row>
    <row r="900" spans="1:1" ht="13.2">
      <c r="A900" s="151"/>
    </row>
    <row r="901" spans="1:1" ht="13.2">
      <c r="A901" s="151"/>
    </row>
    <row r="902" spans="1:1" ht="13.2">
      <c r="A902" s="151"/>
    </row>
    <row r="903" spans="1:1" ht="13.2">
      <c r="A903" s="151"/>
    </row>
    <row r="904" spans="1:1" ht="13.2">
      <c r="A904" s="151"/>
    </row>
    <row r="905" spans="1:1" ht="13.2">
      <c r="A905" s="151"/>
    </row>
    <row r="906" spans="1:1" ht="13.2">
      <c r="A906" s="151"/>
    </row>
    <row r="907" spans="1:1" ht="13.2">
      <c r="A907" s="151"/>
    </row>
    <row r="908" spans="1:1" ht="13.2">
      <c r="A908" s="151"/>
    </row>
    <row r="909" spans="1:1" ht="13.2">
      <c r="A909" s="151"/>
    </row>
    <row r="910" spans="1:1" ht="13.2">
      <c r="A910" s="151"/>
    </row>
    <row r="911" spans="1:1" ht="13.2">
      <c r="A911" s="151"/>
    </row>
    <row r="912" spans="1:1" ht="13.2">
      <c r="A912" s="151"/>
    </row>
    <row r="913" spans="1:1" ht="13.2">
      <c r="A913" s="151"/>
    </row>
    <row r="914" spans="1:1" ht="13.2">
      <c r="A914" s="151"/>
    </row>
    <row r="915" spans="1:1" ht="13.2">
      <c r="A915" s="151"/>
    </row>
    <row r="916" spans="1:1" ht="13.2">
      <c r="A916" s="151"/>
    </row>
    <row r="917" spans="1:1" ht="13.2">
      <c r="A917" s="151"/>
    </row>
    <row r="918" spans="1:1" ht="13.2">
      <c r="A918" s="151"/>
    </row>
    <row r="919" spans="1:1" ht="13.2">
      <c r="A919" s="151"/>
    </row>
    <row r="920" spans="1:1" ht="13.2">
      <c r="A920" s="151"/>
    </row>
    <row r="921" spans="1:1" ht="13.2">
      <c r="A921" s="151"/>
    </row>
    <row r="922" spans="1:1" ht="13.2">
      <c r="A922" s="151"/>
    </row>
    <row r="923" spans="1:1" ht="13.2">
      <c r="A923" s="151"/>
    </row>
    <row r="924" spans="1:1" ht="13.2">
      <c r="A924" s="151"/>
    </row>
    <row r="925" spans="1:1" ht="13.2">
      <c r="A925" s="151"/>
    </row>
    <row r="926" spans="1:1" ht="13.2">
      <c r="A926" s="151"/>
    </row>
    <row r="927" spans="1:1" ht="13.2">
      <c r="A927" s="151"/>
    </row>
    <row r="928" spans="1:1" ht="13.2">
      <c r="A928" s="151"/>
    </row>
    <row r="929" spans="1:1" ht="13.2">
      <c r="A929" s="151"/>
    </row>
    <row r="930" spans="1:1" ht="13.2">
      <c r="A930" s="151"/>
    </row>
    <row r="931" spans="1:1" ht="13.2">
      <c r="A931" s="151"/>
    </row>
    <row r="932" spans="1:1" ht="13.2">
      <c r="A932" s="151"/>
    </row>
    <row r="933" spans="1:1" ht="13.2">
      <c r="A933" s="151"/>
    </row>
    <row r="934" spans="1:1" ht="13.2">
      <c r="A934" s="151"/>
    </row>
    <row r="935" spans="1:1" ht="13.2">
      <c r="A935" s="151"/>
    </row>
    <row r="936" spans="1:1" ht="13.2">
      <c r="A936" s="151"/>
    </row>
    <row r="937" spans="1:1" ht="13.2">
      <c r="A937" s="151"/>
    </row>
    <row r="938" spans="1:1" ht="13.2">
      <c r="A938" s="151"/>
    </row>
    <row r="939" spans="1:1" ht="13.2">
      <c r="A939" s="151"/>
    </row>
    <row r="940" spans="1:1" ht="13.2">
      <c r="A940" s="151"/>
    </row>
    <row r="941" spans="1:1" ht="13.2">
      <c r="A941" s="151"/>
    </row>
    <row r="942" spans="1:1" ht="13.2">
      <c r="A942" s="151"/>
    </row>
    <row r="943" spans="1:1" ht="13.2">
      <c r="A943" s="151"/>
    </row>
    <row r="944" spans="1:1" ht="13.2">
      <c r="A944" s="151"/>
    </row>
    <row r="945" spans="1:1" ht="13.2">
      <c r="A945" s="151"/>
    </row>
    <row r="946" spans="1:1" ht="13.2">
      <c r="A946" s="151"/>
    </row>
    <row r="947" spans="1:1" ht="13.2">
      <c r="A947" s="151"/>
    </row>
    <row r="948" spans="1:1" ht="13.2">
      <c r="A948" s="151"/>
    </row>
    <row r="949" spans="1:1" ht="13.2">
      <c r="A949" s="151"/>
    </row>
    <row r="950" spans="1:1" ht="13.2">
      <c r="A950" s="151"/>
    </row>
    <row r="951" spans="1:1" ht="13.2">
      <c r="A951" s="151"/>
    </row>
    <row r="952" spans="1:1" ht="13.2">
      <c r="A952" s="151"/>
    </row>
    <row r="953" spans="1:1" ht="13.2">
      <c r="A953" s="151"/>
    </row>
    <row r="954" spans="1:1" ht="13.2">
      <c r="A954" s="151"/>
    </row>
    <row r="955" spans="1:1" ht="13.2">
      <c r="A955" s="151"/>
    </row>
    <row r="956" spans="1:1" ht="13.2">
      <c r="A956" s="151"/>
    </row>
    <row r="957" spans="1:1" ht="13.2">
      <c r="A957" s="151"/>
    </row>
    <row r="958" spans="1:1" ht="13.2">
      <c r="A958" s="151"/>
    </row>
    <row r="959" spans="1:1" ht="13.2">
      <c r="A959" s="151"/>
    </row>
    <row r="960" spans="1:1" ht="13.2">
      <c r="A960" s="151"/>
    </row>
    <row r="961" spans="1:1" ht="13.2">
      <c r="A961" s="151"/>
    </row>
    <row r="962" spans="1:1" ht="13.2">
      <c r="A962" s="151"/>
    </row>
    <row r="963" spans="1:1" ht="13.2">
      <c r="A963" s="151"/>
    </row>
    <row r="964" spans="1:1" ht="13.2">
      <c r="A964" s="151"/>
    </row>
    <row r="965" spans="1:1" ht="13.2">
      <c r="A965" s="151"/>
    </row>
    <row r="966" spans="1:1" ht="13.2">
      <c r="A966" s="151"/>
    </row>
    <row r="967" spans="1:1" ht="13.2">
      <c r="A967" s="151"/>
    </row>
    <row r="968" spans="1:1" ht="13.2">
      <c r="A968" s="151"/>
    </row>
    <row r="969" spans="1:1" ht="13.2">
      <c r="A969" s="151"/>
    </row>
    <row r="970" spans="1:1" ht="13.2">
      <c r="A970" s="151"/>
    </row>
    <row r="971" spans="1:1" ht="13.2">
      <c r="A971" s="151"/>
    </row>
    <row r="972" spans="1:1" ht="13.2">
      <c r="A972" s="151"/>
    </row>
    <row r="973" spans="1:1" ht="13.2">
      <c r="A973" s="151"/>
    </row>
    <row r="974" spans="1:1" ht="13.2">
      <c r="A974" s="151"/>
    </row>
    <row r="975" spans="1:1" ht="13.2">
      <c r="A975" s="151"/>
    </row>
    <row r="976" spans="1:1" ht="13.2">
      <c r="A976" s="151"/>
    </row>
    <row r="977" spans="1:1" ht="13.2">
      <c r="A977" s="151"/>
    </row>
    <row r="978" spans="1:1" ht="13.2">
      <c r="A978" s="151"/>
    </row>
    <row r="979" spans="1:1" ht="13.2">
      <c r="A979" s="151"/>
    </row>
    <row r="980" spans="1:1" ht="13.2">
      <c r="A980" s="151"/>
    </row>
    <row r="981" spans="1:1" ht="13.2">
      <c r="A981" s="151"/>
    </row>
    <row r="982" spans="1:1" ht="13.2">
      <c r="A982" s="151"/>
    </row>
    <row r="983" spans="1:1" ht="13.2">
      <c r="A983" s="151"/>
    </row>
    <row r="984" spans="1:1" ht="13.2">
      <c r="A984" s="151"/>
    </row>
    <row r="985" spans="1:1" ht="13.2">
      <c r="A985" s="151"/>
    </row>
    <row r="986" spans="1:1" ht="13.2">
      <c r="A986" s="151"/>
    </row>
    <row r="987" spans="1:1" ht="13.2">
      <c r="A987" s="151"/>
    </row>
    <row r="988" spans="1:1" ht="13.2">
      <c r="A988" s="151"/>
    </row>
    <row r="989" spans="1:1" ht="13.2">
      <c r="A989" s="151"/>
    </row>
    <row r="990" spans="1:1" ht="13.2">
      <c r="A990" s="151"/>
    </row>
    <row r="991" spans="1:1" ht="13.2">
      <c r="A991" s="151"/>
    </row>
    <row r="992" spans="1:1" ht="13.2">
      <c r="A992" s="151"/>
    </row>
    <row r="993" spans="1:1" ht="13.2">
      <c r="A993" s="151"/>
    </row>
    <row r="994" spans="1:1" ht="13.2">
      <c r="A994" s="151"/>
    </row>
    <row r="995" spans="1:1" ht="13.2">
      <c r="A995" s="151"/>
    </row>
    <row r="996" spans="1:1" ht="13.2">
      <c r="A996" s="151"/>
    </row>
    <row r="997" spans="1:1" ht="13.2">
      <c r="A997" s="151"/>
    </row>
    <row r="998" spans="1:1" ht="13.2">
      <c r="A998" s="151"/>
    </row>
    <row r="999" spans="1:1" ht="13.2">
      <c r="A999" s="151"/>
    </row>
    <row r="1000" spans="1:1" ht="13.2">
      <c r="A1000" s="151"/>
    </row>
  </sheetData>
  <mergeCells count="1">
    <mergeCell ref="B2:C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E06666"/>
    <outlinePr summaryBelow="0" summaryRight="0"/>
  </sheetPr>
  <dimension ref="A1:R81"/>
  <sheetViews>
    <sheetView showGridLines="0" workbookViewId="0"/>
  </sheetViews>
  <sheetFormatPr baseColWidth="10" defaultColWidth="12.6640625" defaultRowHeight="15" customHeight="1"/>
  <cols>
    <col min="1" max="1" width="2.88671875" customWidth="1"/>
    <col min="2" max="2" width="20.88671875" customWidth="1"/>
    <col min="3" max="3" width="6.33203125" customWidth="1"/>
    <col min="4" max="4" width="20.88671875" customWidth="1"/>
    <col min="5" max="5" width="6.33203125" customWidth="1"/>
    <col min="6" max="6" width="20.88671875" customWidth="1"/>
    <col min="7" max="7" width="6.33203125" customWidth="1"/>
    <col min="8" max="8" width="20.88671875" customWidth="1"/>
    <col min="9" max="9" width="6.33203125" customWidth="1"/>
    <col min="10" max="10" width="20.88671875" customWidth="1"/>
    <col min="11" max="11" width="6.33203125" customWidth="1"/>
    <col min="12" max="12" width="20.88671875" customWidth="1"/>
    <col min="13" max="13" width="6.33203125" customWidth="1"/>
    <col min="14" max="14" width="20.88671875" customWidth="1"/>
    <col min="15" max="15" width="6.33203125" customWidth="1"/>
    <col min="16" max="16" width="20.88671875" customWidth="1"/>
    <col min="17" max="17" width="6.33203125" customWidth="1"/>
    <col min="18" max="18" width="2.88671875" customWidth="1"/>
  </cols>
  <sheetData>
    <row r="1" spans="1:18" ht="15" customHeight="1">
      <c r="A1" s="17"/>
      <c r="B1" s="17"/>
      <c r="C1" s="17"/>
      <c r="D1" s="17"/>
      <c r="E1" s="17"/>
      <c r="F1" s="17"/>
      <c r="G1" s="17"/>
      <c r="H1" s="17"/>
      <c r="I1" s="17"/>
      <c r="J1" s="17"/>
      <c r="K1" s="17"/>
      <c r="L1" s="17"/>
      <c r="M1" s="153"/>
      <c r="N1" s="17"/>
      <c r="O1" s="154"/>
      <c r="P1" s="17"/>
      <c r="Q1" s="17"/>
      <c r="R1" s="17"/>
    </row>
    <row r="2" spans="1:18">
      <c r="A2" s="17"/>
      <c r="B2" s="708" t="str">
        <f>"// Attack Damage //"</f>
        <v>// Attack Damage //</v>
      </c>
      <c r="C2" s="707"/>
      <c r="D2" s="706" t="str">
        <f>"// Ability Power //"</f>
        <v>// Ability Power //</v>
      </c>
      <c r="E2" s="707"/>
      <c r="F2" s="708" t="str">
        <f>"// Health //"</f>
        <v>// Health //</v>
      </c>
      <c r="G2" s="707"/>
      <c r="H2" s="706" t="str">
        <f>"// Mana //"</f>
        <v>// Mana //</v>
      </c>
      <c r="I2" s="707"/>
      <c r="J2" s="708" t="str">
        <f>"// Armor //"</f>
        <v>// Armor //</v>
      </c>
      <c r="K2" s="707"/>
      <c r="L2" s="706" t="str">
        <f>"// Enemy Armor //"</f>
        <v>// Enemy Armor //</v>
      </c>
      <c r="M2" s="707"/>
      <c r="N2" s="708" t="str">
        <f>"// Other Mods //"</f>
        <v>// Other Mods //</v>
      </c>
      <c r="O2" s="707"/>
      <c r="P2" s="706" t="str">
        <f>"// Scalings //"</f>
        <v>// Scalings //</v>
      </c>
      <c r="Q2" s="707"/>
      <c r="R2" s="17"/>
    </row>
    <row r="3" spans="1:18" ht="15" customHeight="1">
      <c r="A3" s="17"/>
      <c r="B3" s="155" t="str">
        <f>"Items"</f>
        <v>Items</v>
      </c>
      <c r="C3" s="156">
        <f>IT_AD</f>
        <v>0</v>
      </c>
      <c r="D3" s="155" t="str">
        <f>"Items"</f>
        <v>Items</v>
      </c>
      <c r="E3" s="156">
        <f>IT_AP</f>
        <v>0</v>
      </c>
      <c r="F3" s="155" t="str">
        <f>"Items"</f>
        <v>Items</v>
      </c>
      <c r="G3" s="156">
        <f>IT_HP</f>
        <v>0</v>
      </c>
      <c r="H3" s="155" t="str">
        <f>"Items"</f>
        <v>Items</v>
      </c>
      <c r="I3" s="156">
        <f>IT_MP</f>
        <v>0</v>
      </c>
      <c r="J3" s="155" t="str">
        <f>"Items"</f>
        <v>Items</v>
      </c>
      <c r="K3" s="157">
        <f>IT_AR</f>
        <v>0</v>
      </c>
      <c r="L3" s="155" t="str">
        <f>"Enemy armor"</f>
        <v>Enemy armor</v>
      </c>
      <c r="M3" s="157">
        <f>VLOOKUP(E_Name,Champs!A2:R200,15,FALSE)+VLOOKUP(E_Name,Champs!A2:R200,16,FALSE)*Q4+(E_IT_AR+E_BoAR)</f>
        <v>0</v>
      </c>
      <c r="N3" s="158" t="str">
        <f>"Onhit Mod"</f>
        <v>Onhit Mod</v>
      </c>
      <c r="O3" s="159">
        <f>IF(C47, (4 / 3), 1)</f>
        <v>1</v>
      </c>
      <c r="P3" s="155" t="str">
        <f>"Level scaling"</f>
        <v>Level scaling</v>
      </c>
      <c r="Q3" s="160">
        <f>(Self_Level-1)*(0.685+0.0175*Self_Level)</f>
        <v>0</v>
      </c>
      <c r="R3" s="17"/>
    </row>
    <row r="4" spans="1:18" ht="15" customHeight="1">
      <c r="A4" s="17"/>
      <c r="B4" s="161" t="str">
        <f>"Runes"</f>
        <v>Runes</v>
      </c>
      <c r="C4" s="162">
        <f>IF(C14, E14, 0)</f>
        <v>0</v>
      </c>
      <c r="D4" s="161" t="str">
        <f>"Runes"</f>
        <v>Runes</v>
      </c>
      <c r="E4" s="163">
        <f>IF(C14,0,E14)</f>
        <v>0</v>
      </c>
      <c r="F4" s="161" t="str">
        <f>"Runes"</f>
        <v>Runes</v>
      </c>
      <c r="G4" s="164">
        <f>R_HP</f>
        <v>0</v>
      </c>
      <c r="H4" s="161" t="str">
        <f>"Runes"</f>
        <v>Runes</v>
      </c>
      <c r="I4" s="164">
        <f>R_MP</f>
        <v>0</v>
      </c>
      <c r="J4" s="161" t="str">
        <f>"Runes"</f>
        <v>Runes</v>
      </c>
      <c r="K4" s="164">
        <f>R_AR</f>
        <v>0</v>
      </c>
      <c r="L4" s="161" t="str">
        <f>"1. Reduce: Reduction"</f>
        <v>1. Reduce: Reduction</v>
      </c>
      <c r="M4" s="164">
        <f>((1 - 0.05 * S_BC * C54) * (1 - IF(AND(Name = "Kayle", Steroid_Q, P_Q &gt; 0), 0.15, 0) - IF(AND(Name = "Kog'Maw", Steroid_Q, P_Q &gt; 0), 0.21 + 0.02 * P_Q, 0))) * M3</f>
        <v>0</v>
      </c>
      <c r="N4" s="165" t="str">
        <f>"Precision Mod"</f>
        <v>Precision Mod</v>
      </c>
      <c r="O4" s="166">
        <f>R_MOD*R_PTAMOD</f>
        <v>1</v>
      </c>
      <c r="P4" s="161" t="str">
        <f>"Enemy level scaling"</f>
        <v>Enemy level scaling</v>
      </c>
      <c r="Q4" s="167">
        <f>(E_Level-1)*(0.685+0.0175*E_Level)</f>
        <v>0</v>
      </c>
      <c r="R4" s="17"/>
    </row>
    <row r="5" spans="1:18" ht="15" customHeight="1">
      <c r="A5" s="17"/>
      <c r="B5" s="155" t="str">
        <f>"Base"</f>
        <v>Base</v>
      </c>
      <c r="C5" s="156">
        <f>VLOOKUP(Name, Champs!A2:R200, 10, FALSE)</f>
        <v>0</v>
      </c>
      <c r="D5" s="155"/>
      <c r="E5" s="168"/>
      <c r="F5" s="155" t="str">
        <f>"Base"</f>
        <v>Base</v>
      </c>
      <c r="G5" s="157">
        <f>VLOOKUP(Name,Champs!A2:R200,2,FALSE)</f>
        <v>0</v>
      </c>
      <c r="H5" s="155" t="str">
        <f>"Base"</f>
        <v>Base</v>
      </c>
      <c r="I5" s="169">
        <f>VLOOKUP(Name,Champs!A2:R200,6,FALSE)</f>
        <v>0</v>
      </c>
      <c r="J5" s="155" t="str">
        <f>"Base"</f>
        <v>Base</v>
      </c>
      <c r="K5" s="157">
        <f>VLOOKUP(Name, Champs!A2:R200, 15, FALSE)</f>
        <v>0</v>
      </c>
      <c r="L5" s="155" t="str">
        <f>"2. Reduce: %"</f>
        <v>2. Reduce: %</v>
      </c>
      <c r="M5" s="157" t="e">
        <f ca="1">(M4 - (E_IT_AR+E_BoAR) * IF(AND(Name = "Yasuo", Steroid_R, P_R &gt; 0), (Self_Crit * 0.5), 0)) * (1-C33)</f>
        <v>#NAME?</v>
      </c>
      <c r="N5" s="158" t="str">
        <f>"Enemy Anthema Mod"</f>
        <v>Enemy Anthema Mod</v>
      </c>
      <c r="O5" s="170">
        <f>IF(Items!AM7,0.7,1)</f>
        <v>1</v>
      </c>
      <c r="P5" s="158" t="str">
        <f>"Linear level scaling"</f>
        <v>Linear level scaling</v>
      </c>
      <c r="Q5" s="159">
        <f>((Self_Level-1)/17)</f>
        <v>0</v>
      </c>
      <c r="R5" s="17"/>
    </row>
    <row r="6" spans="1:18" ht="15" customHeight="1">
      <c r="A6" s="17"/>
      <c r="B6" s="161" t="str">
        <f>"Growth"</f>
        <v>Growth</v>
      </c>
      <c r="C6" s="162">
        <f>VLOOKUP(Name, Champs!A2:R200, 11, FALSE)</f>
        <v>0</v>
      </c>
      <c r="D6" s="161"/>
      <c r="E6" s="171"/>
      <c r="F6" s="161" t="str">
        <f>"Growth"</f>
        <v>Growth</v>
      </c>
      <c r="G6" s="162">
        <f>VLOOKUP(Name,Champs!A2:R200,3,FALSE)</f>
        <v>0</v>
      </c>
      <c r="H6" s="161" t="str">
        <f>"Growth"</f>
        <v>Growth</v>
      </c>
      <c r="I6" s="172">
        <f>VLOOKUP(Name,Champs!A2:R200,7,FALSE)</f>
        <v>0</v>
      </c>
      <c r="J6" s="161" t="str">
        <f>"Growth"</f>
        <v>Growth</v>
      </c>
      <c r="K6" s="162">
        <f>VLOOKUP(Name, Champs!A2:R200, 16, FALSE)</f>
        <v>0</v>
      </c>
      <c r="L6" s="161" t="str">
        <f>"3. Reduce: Flat"</f>
        <v>3. Reduce: Flat</v>
      </c>
      <c r="M6" s="162" t="e">
        <f ca="1">IF(M5-Self_APenF&lt;0,0,M5-Self_APenF)</f>
        <v>#NAME?</v>
      </c>
      <c r="N6" s="173" t="str">
        <f>"Tenacity"</f>
        <v>Tenacity</v>
      </c>
      <c r="O6" s="174" t="e">
        <f ca="1">1-IT_TC*(1-Runes!D15)*(1-Runes!P22)*(1-N_Chem * 0.06)*IF(AND(Name="Dr, Mundo",Steroid_W,P_W&gt;0),0.7,1)</f>
        <v>#NAME?</v>
      </c>
      <c r="P6" s="161" t="str">
        <f>"Lethality scaling"</f>
        <v>Lethality scaling</v>
      </c>
      <c r="Q6" s="166">
        <f>(0.6 + 0.4 * Sc_Lin)</f>
        <v>0.6</v>
      </c>
      <c r="R6" s="17"/>
    </row>
    <row r="7" spans="1:18" ht="15" customHeight="1">
      <c r="A7" s="17"/>
      <c r="B7" s="155" t="str">
        <f>"Bonus"</f>
        <v>Bonus</v>
      </c>
      <c r="C7" s="175">
        <v>0</v>
      </c>
      <c r="D7" s="155" t="str">
        <f>"Bonus"</f>
        <v>Bonus</v>
      </c>
      <c r="E7" s="176">
        <f>IF(C61, IF(Name = "Vladimir", 0.02 * I35, 0.02 * Self_BoHP), 0) +
IF(C72, 0.025 * Self_BoMP, IF(C73, 0.01 * Self_MP, 0)) +
IF(Name = "Veigar", Minion + 5 * Kills, 0) +
IF(Name = "Vladimir", 0.03333333 * I30, 0) +
IF(Interface!L29, 30 + 15 * Sc_Lin, 0) +
IF(AND(Name = "Singed", Steroid_R, P_R &gt; 0), 35 * P_R - 5, 0) +
IF(Name = "Thresh", Minion * 1, 0) +
IF(C45, 5 * S_Mejai, IF(C46, 4 * IF(S_Mejai &gt; 10, 10, S_Mejai),0)) + Q29/0.6</f>
        <v>0</v>
      </c>
      <c r="F7" s="155" t="str">
        <f>"Bonus"</f>
        <v>Bonus</v>
      </c>
      <c r="G7" s="175">
        <f>IF(C60, 0.08 * I12, 0) +
IF(Name = "Vladimir",1.6 * (Self_AP - 0.02 * I35), 0) +
IF(AND(Name = "Bel'Veth",P_R &gt; 0, Steroid_Form), I37, 0) +
IF(AND(Steroid_R,P_R&gt;0),
IF(Name="Renekton",100+150*P_R,
IF(Name="Nasus",150+150*P_R,
IF(Name = "Dr, Mundo",I29 * (0.05 * P_R + 0.1),
IF(Name="Volibear",P_R*200,0)))),0)+
IF(AND(Name="Sion",P_W&gt;0),4*Minion+15*Kills,0)+
IF(AND(Name="Cho'Gath",P_R&gt;0),(40+40*P_R)*Kills,0)+
IF(AND(Name="Shyvana",P_R&gt;0,Steroid_Form),50+100*P_R,0)+
IF(AND(Name="Swain",P_R&gt;0),IF(Steroid_R,12*Minion+50+75*P_R,12*Minion),0)</f>
        <v>0</v>
      </c>
      <c r="H7" s="155" t="str">
        <f>"Bonus"</f>
        <v>Bonus</v>
      </c>
      <c r="I7" s="177">
        <f>(I3+I4+I5+I6*Q3)*I8</f>
        <v>0</v>
      </c>
      <c r="J7" s="155" t="str">
        <f>"Bonus"</f>
        <v>Bonus</v>
      </c>
      <c r="K7" s="175">
        <v>0</v>
      </c>
      <c r="L7" s="155" t="str">
        <f>"Armor Mod"</f>
        <v>Armor Mod</v>
      </c>
      <c r="M7" s="159" t="e">
        <f ca="1">1-(M6/(M6+100))</f>
        <v>#NAME?</v>
      </c>
      <c r="N7" s="158"/>
      <c r="O7" s="178"/>
      <c r="P7" s="158"/>
      <c r="Q7" s="179"/>
      <c r="R7" s="17"/>
    </row>
    <row r="8" spans="1:18" ht="15" customHeight="1">
      <c r="A8" s="17"/>
      <c r="B8" s="161" t="str">
        <f>"Base multiplier"</f>
        <v>Base multiplier</v>
      </c>
      <c r="C8" s="166">
        <f>1 + IF(AND(Steroid_Items, Calc!C43), 0.2, 0)</f>
        <v>1</v>
      </c>
      <c r="D8" s="161"/>
      <c r="E8" s="180"/>
      <c r="F8" s="161" t="str">
        <f>"Base multiplier"</f>
        <v>Base multiplier</v>
      </c>
      <c r="G8" s="166">
        <f>IF(AND(Name = "Kled", Steroid_Form), 0, IF(Runes!P20 &gt;= 45, 0.035, 0) + IF(C67, 0.125, 0))</f>
        <v>0</v>
      </c>
      <c r="H8" s="161" t="str">
        <f>"Base multiplier"</f>
        <v>Base multiplier</v>
      </c>
      <c r="I8" s="181">
        <f>IF(Name="Ryze",0.001*Self_AP,0)</f>
        <v>0</v>
      </c>
      <c r="J8" s="161" t="str">
        <f>"Base multiplier"</f>
        <v>Base multiplier</v>
      </c>
      <c r="K8" s="166">
        <f>IF(Runes!P14 &gt; 0, 1.03, 1) *
(1 + 0.08 * N_Mountain) *
IF(AND(Name = "Malphite", P_W &gt; 0),1 + (0.05 + 0.05 * P_W) * IF(Steroid_P, 3, 1), 1) *
IF(AND(Name = "Poppy", P_W &gt; 0), IF(Self_CHPP &lt; 40, 1.24, 1.12), 1) *
IF(AND(Name = "Taric", P_W &gt; 0), 1.075 + 0.025 * P_W, 1) *
IF(AND(Name = "Rell", P_W &gt; 0, Steroid_Form), 1.12, 1)</f>
        <v>1</v>
      </c>
      <c r="L8" s="161" t="str">
        <f>"Skill / Item Phys Mod"</f>
        <v>Skill / Item Phys Mod</v>
      </c>
      <c r="M8" s="166">
        <f>IT_MOD_Phys *
IF(AND(Name = "Vladimir", Steroid_R, P_R &gt; 0), 1.1, 1) *
IF(E_CHPV &gt; (Self_CHPP / 100) * Self_MHP + 340 + 680 * Sc_Lin, 1 + N_Chem * 0.05, 1)</f>
        <v>1</v>
      </c>
      <c r="N8" s="165"/>
      <c r="O8" s="180"/>
      <c r="P8" s="165"/>
      <c r="Q8" s="180"/>
      <c r="R8" s="17"/>
    </row>
    <row r="9" spans="1:18" ht="15" customHeight="1">
      <c r="A9" s="17"/>
      <c r="B9" s="155" t="str">
        <f>"Bonus multiplier"</f>
        <v>Bonus multiplier</v>
      </c>
      <c r="C9" s="159">
        <f>((1 + (0.05 * N_Infernal) + IF(C56, 0.2, 0) +
IF(Name = "Jhin", 0.25 * Self_BoAS + 0.3 * Self_Crit + (0.03 + 0.01 * Self_Level + IF(Self_Level &gt; 9, 0.01 * (Self_Level - 9), 0) + IF(Self_Level &gt; 11, 0.02 * (Self_Level - 11), 0)), 0)))*
IF(AND(Name = "Riven", Steroid_R, P_R &gt; 0), 1.2, 1) *
IF(Name = "Rengar", 1 + 0.01 * S_Bounty^2, 1) *
IF(AND(Name = "Olaf", P_R &gt; 0, Steroid_R), 1.25, 1) *
IF(AND(Name = "Aatrox", Steroid_R, P_R &gt; 0), 1.075 + 0.125 * P_R, 1)</f>
        <v>1</v>
      </c>
      <c r="D9" s="155" t="str">
        <f>"Bonus multiplier"</f>
        <v>Bonus multiplier</v>
      </c>
      <c r="E9" s="159">
        <f>1 + (C50 * 0.4) + (0.06 * N_Infernal) + (C56 * 0.2) + AND(Name = "Syndra",Steroid_P) * 0.15</f>
        <v>1</v>
      </c>
      <c r="F9" s="155" t="str">
        <f>"Bonus multiplier"</f>
        <v>Bonus multiplier</v>
      </c>
      <c r="G9" s="159">
        <f>IF(Runes!P20 &gt;= 45, 1.035, 1) *
IF(C67, 1.125, 1) *
IF(C68, 1 + 0.02 * Legendary, 1) *
IF(Name = "Ornn", MIN(1.3, 1.1 + IF(Self_Level &gt; 12, (Self_Level - 12) * 0.04)), 1) *
IF(C56, 1.2, 1)</f>
        <v>1</v>
      </c>
      <c r="H9" s="155" t="str">
        <f>"Bonus multiplier"</f>
        <v>Bonus multiplier</v>
      </c>
      <c r="I9" s="159">
        <f>1</f>
        <v>1</v>
      </c>
      <c r="J9" s="155" t="str">
        <f>"Bonus multiplier"</f>
        <v>Bonus multiplier</v>
      </c>
      <c r="K9" s="159">
        <f>IF(Runes!P14 &gt; 0, 1.03, 1) *
(1 + 0.08 * N_Mountain) *
IF(C66, 1.2, 1) *
IF(AND(Steroid_Items,C65), 1.25, 1) *
IF(AND(Name = "Garen", P_W &gt; 0, Minion &gt; 150), 1.1, 1) *
IF(AND(Name = "Malphite", P_W &gt; 0),1 + (0.05 + 0.05 * P_W) * IF(Steroid_P, 3, 1), 1) *
IF(Name = "Ornn", MIN(1.3, 1.1 + IF(Self_Level &gt; 12, (Self_Level - 12) * 0.04)), 1) *
IF(AND(Name = "Poppy", P_W &gt; 0), IF(Self_CHPP &lt; 40, 1.24, 1.12), 1) *
IF(AND(Name = "Taric", P_W &gt; 0), 1.075 + 0.025 * P_W, 1) *
IF(AND(Name = "Rell", P_W &gt; 0, Steroid_Form), 1.12, 1)</f>
        <v>1</v>
      </c>
      <c r="L9" s="173" t="str">
        <f>"Physical Dmg Mod"</f>
        <v>Physical Dmg Mod</v>
      </c>
      <c r="M9" s="174" t="e">
        <f ca="1">((M7*M8*O4)+IF(C55,0.09,0)) * O5 * Q32</f>
        <v>#NAME?</v>
      </c>
      <c r="N9" s="158"/>
      <c r="O9" s="168"/>
      <c r="P9" s="158"/>
      <c r="Q9" s="182"/>
      <c r="R9" s="17"/>
    </row>
    <row r="10" spans="1:18" ht="15" customHeight="1">
      <c r="A10" s="17"/>
      <c r="B10" s="161" t="str">
        <f>"Total base"</f>
        <v>Total base</v>
      </c>
      <c r="C10" s="163">
        <f>(C5+C6*Q3)*C8</f>
        <v>0</v>
      </c>
      <c r="D10" s="161"/>
      <c r="E10" s="163"/>
      <c r="F10" s="161" t="str">
        <f>"Total base"</f>
        <v>Total base</v>
      </c>
      <c r="G10" s="162">
        <f>(G5+G6*Q3)</f>
        <v>0</v>
      </c>
      <c r="H10" s="161" t="str">
        <f>"Total base"</f>
        <v>Total base</v>
      </c>
      <c r="I10" s="162">
        <f>I5+I6*Q3</f>
        <v>0</v>
      </c>
      <c r="J10" s="161" t="str">
        <f>"Total base"</f>
        <v>Total base</v>
      </c>
      <c r="K10" s="162">
        <f>K5 + K6 * Q3</f>
        <v>0</v>
      </c>
      <c r="L10" s="161" t="str">
        <f>"Skill mod"</f>
        <v>Skill mod</v>
      </c>
      <c r="M10" s="166">
        <f>IF(AND(Name="Ashe",NOT(C49)),(1.2+(0.75+IT_CDMG)*Self_Crit),IF(Name="Ashe",1.2,1))*IF(AND(Name="Ashe",P_Q&gt;0,Steroid_Q),1+0.05*P_Q,1)*
IF(Name="Graves",(0.7 + 0.3 * Sc_Lin) * IF(Steroid_P,2,1), 1) *
IF(AND(Name="Jinx",Steroid_Q),1.1,1)*
IF(AND(Name="Xayah",Steroid_W,P_W&gt;0),1.2,1)*
IF(AND(Name="Aphelios",C_Aphelios_W1="Infernum"),1.1,1)*
IF(AND(Name="Aphelios",C_Aphelios_W1="Crescendum"),1+I33,1)</f>
        <v>1</v>
      </c>
      <c r="N10" s="183" t="str">
        <f>"True Damage Mod"</f>
        <v>True Damage Mod</v>
      </c>
      <c r="O10" s="184">
        <f>(1*IT_MOD_Magic+IF(C55,0.09,0)) * O5 * Q32</f>
        <v>1</v>
      </c>
      <c r="P10" s="165"/>
      <c r="Q10" s="180"/>
      <c r="R10" s="17"/>
    </row>
    <row r="11" spans="1:18" ht="15" customHeight="1">
      <c r="A11" s="17"/>
      <c r="B11" s="155" t="str">
        <f>"Total bonus"</f>
        <v>Total bonus</v>
      </c>
      <c r="C11" s="157">
        <f>(C3+C4+C7)*C9+C10*(C9-1)</f>
        <v>0</v>
      </c>
      <c r="D11" s="155" t="str">
        <f>"Total bonus"</f>
        <v>Total bonus</v>
      </c>
      <c r="E11" s="169">
        <f>(E3+E4+E7)*E9</f>
        <v>0</v>
      </c>
      <c r="F11" s="155" t="str">
        <f>"Total bonus"</f>
        <v>Total bonus</v>
      </c>
      <c r="G11" s="157">
        <f>IF(AND(Name="Kled",Steroid_Form),0,(G3+G4+G7)*G9+G8*G10)</f>
        <v>0</v>
      </c>
      <c r="H11" s="155" t="str">
        <f>"Total bonus"</f>
        <v>Total bonus</v>
      </c>
      <c r="I11" s="169">
        <f>(I3+I4)*I9</f>
        <v>0</v>
      </c>
      <c r="J11" s="155" t="str">
        <f>"Total bonus"</f>
        <v>Total bonus</v>
      </c>
      <c r="K11" s="157">
        <f>((K3 + K4 + K7) * K9 + K10 * (K8 - 1)) * IF(AND(Name = "K'Sante", P_R &gt; 0, Steroid_Form), 0.15, 1)</f>
        <v>0</v>
      </c>
      <c r="L11" s="158" t="str">
        <f>"Ninjatabi"</f>
        <v>Ninjatabi</v>
      </c>
      <c r="M11" s="159">
        <f>IF(Items!AM100,0.88,1)</f>
        <v>1</v>
      </c>
      <c r="N11" s="173" t="str">
        <f>"Healing mod"</f>
        <v>Healing mod</v>
      </c>
      <c r="O11" s="174">
        <f>1+IT_MOD_Heal+Runes!P21+N_Chem * 0.06</f>
        <v>1</v>
      </c>
      <c r="P11" s="158"/>
      <c r="Q11" s="182"/>
      <c r="R11" s="17"/>
    </row>
    <row r="12" spans="1:18" ht="15" customHeight="1">
      <c r="A12" s="17"/>
      <c r="B12" s="185" t="str">
        <f>"Total"</f>
        <v>Total</v>
      </c>
      <c r="C12" s="186">
        <f>C10+C11</f>
        <v>0</v>
      </c>
      <c r="D12" s="185" t="str">
        <f>"Total"</f>
        <v>Total</v>
      </c>
      <c r="E12" s="186">
        <f>E11</f>
        <v>0</v>
      </c>
      <c r="F12" s="185" t="str">
        <f>"Total"</f>
        <v>Total</v>
      </c>
      <c r="G12" s="186">
        <f>IF(Name="Pyke", G10, G10 + G11) * IF(AND(Name = "K'Sante", P_R &gt; 0, Steroid_Form), 0.55, 1)</f>
        <v>0</v>
      </c>
      <c r="H12" s="185" t="str">
        <f>"Total"</f>
        <v>Total</v>
      </c>
      <c r="I12" s="186">
        <f>IF(VLOOKUP(Name,Champs!A2:AJ200,36,FALSE),I5,IF(VLOOKUP(Name,Champs!A2:AJ200,35,FALSE),I5+Runes!D10,I10+I11+I7))</f>
        <v>0</v>
      </c>
      <c r="J12" s="185" t="str">
        <f>"Total"</f>
        <v>Total</v>
      </c>
      <c r="K12" s="186">
        <f>K10 + K11 + IF(AND(Runes!O3,Steroid_Runes), IF(35 + 0.8 * K11 &gt; 80 + 70 * Sc_Lin,80 + 70 * Sc_Lin, 35 + 0.8 * K11), 0)</f>
        <v>0</v>
      </c>
      <c r="L12" s="185" t="str">
        <f>"Basic Attack Mod"</f>
        <v>Basic Attack Mod</v>
      </c>
      <c r="M12" s="187" t="e">
        <f ca="1">(M11*M7*M8*O4*M10+IF(C55,0.09,0)) * O5 * Q32 * IF(Name = "Bel'Veth", 0.75, 1)</f>
        <v>#NAME?</v>
      </c>
      <c r="N12" s="185" t="str">
        <f>"Selfhealing mod"</f>
        <v>Selfhealing mod</v>
      </c>
      <c r="O12" s="187">
        <f>IF(C52, 1.25, 1) *
(1 + Runes!P21 + N_Chem * 0.05) *
IF(AND(Name = "Trundle", Steroid_W, P_W &gt; 0), 1.25, 1) *
IF(AND(Name = "Aatrox", Steroid_R, P_R &gt; 0), (1.16 + 0.04 * P_E + 0.15 * P_R), 1)</f>
        <v>1</v>
      </c>
      <c r="P12" s="188"/>
      <c r="Q12" s="189"/>
      <c r="R12" s="17"/>
    </row>
    <row r="13" spans="1:18" ht="15" customHeight="1">
      <c r="A13" s="17"/>
      <c r="B13" s="17"/>
      <c r="C13" s="17"/>
      <c r="D13" s="17"/>
      <c r="E13" s="17"/>
      <c r="F13" s="17"/>
      <c r="G13" s="17"/>
      <c r="H13" s="17"/>
      <c r="I13" s="17"/>
      <c r="J13" s="17"/>
      <c r="K13" s="17"/>
      <c r="L13" s="17"/>
      <c r="M13" s="17"/>
      <c r="N13" s="17"/>
      <c r="O13" s="17"/>
      <c r="P13" s="17"/>
      <c r="Q13" s="17"/>
      <c r="R13" s="17"/>
    </row>
    <row r="14" spans="1:18" ht="15" customHeight="1">
      <c r="A14" s="17"/>
      <c r="B14" s="190" t="str">
        <f>"Force bit 1=AD; 0=AP"</f>
        <v>Force bit 1=AD; 0=AP</v>
      </c>
      <c r="C14" s="191">
        <f>IF(C3&gt;=E3,1,0)</f>
        <v>1</v>
      </c>
      <c r="D14" s="190" t="str">
        <f>"Adaptive force"</f>
        <v>Adaptive force</v>
      </c>
      <c r="E14" s="191">
        <f>R_Adap / IF(C14, 1 / 0.6, 1)</f>
        <v>0</v>
      </c>
      <c r="F14" s="192" t="str">
        <f>"Missing HP Value"</f>
        <v>Missing HP Value</v>
      </c>
      <c r="G14" s="193">
        <f>(Self_MHP*(1-Self_CHPP/100))</f>
        <v>0</v>
      </c>
      <c r="H14" s="194" t="str">
        <f>"Shield"</f>
        <v>Shield</v>
      </c>
      <c r="I14" s="193">
        <f>(Runes!D8+IT_Shield+
IF(AND(Name="Viktor",Steroid_Q,P_Q&gt;0),(27 + 78 * Sc_Lin + 0.18*Self_AP)*IF(1,1.6,1),0)+
IF(Interface!D40="Barrier",Q79,0)+
IF(AND(Name="Jarvan IV",Steroid_W,P_W&gt;0),25*P_W+35+IF(Steroid_Form,5,2)*(0.0175+0.0025*P_W)*Self_MHP,0)+
IF(AND(Name="Neeko",Steroid_R,P_R&gt;0),50+25*P_R+0.75*Self_AP+IF(Steroid_Form,(20+20*P_R)*5,0),0)+
IF(AND(Name="Sylas",P_E&gt;0,Steroid_E),(30+30*P_E+0.9*Self_AP)*MOD_Heal,0)+
IF(AND(Name = "Annie", P_E &gt; 0, Steroid_E), 40 * P_E + 20 + 0.55 * Self_AP, 0) +
IF(AND(Name="Vi",Steroid_P),0.15*Self_MHP,0)+
IF(Name="Shen",57+3*Self_Level+0.14*Self_BoHP,0)+
IF(AND(Name="Urgot",Steroid_E,P_E&gt;0),40+20*P_E+1.5*Self_BoAD+0.15*Self_BoHP,0)+
IF(B_Mountain,180+0.16*Self_BoAD+0.12*Self_AP+0.12*Self_BoHP,0)
)*O12</f>
        <v>0</v>
      </c>
      <c r="J14" s="195" t="str">
        <f>"E: Bonus Health"</f>
        <v>E: Bonus Health</v>
      </c>
      <c r="K14" s="196">
        <f>(E_IT_HP + Interface!O25)</f>
        <v>0</v>
      </c>
      <c r="L14" s="197" t="str">
        <f>"E: Health"</f>
        <v>E: Health</v>
      </c>
      <c r="M14" s="198">
        <f>ROUND(VLOOKUP(E_Name,Champs!A2:R200,2,FALSE)+VLOOKUP(E_Name,Champs!A2:R200,3,FALSE)*Q4+(E_BoHp),0)</f>
        <v>0</v>
      </c>
      <c r="N14" s="197" t="str">
        <f>"E: Current health"</f>
        <v>E: Current health</v>
      </c>
      <c r="O14" s="199">
        <f>MIN(E_CHP,'Very basic Fight Sim'!I6)/100*E_MHP</f>
        <v>0</v>
      </c>
      <c r="P14" s="197" t="str">
        <f>"E: Missing health"</f>
        <v>E: Missing health</v>
      </c>
      <c r="Q14" s="198">
        <f>M14-O14</f>
        <v>0</v>
      </c>
      <c r="R14" s="17"/>
    </row>
    <row r="15" spans="1:18" ht="15" customHeight="1">
      <c r="A15" s="17"/>
      <c r="B15" s="17"/>
      <c r="C15" s="17"/>
      <c r="D15" s="17"/>
      <c r="E15" s="17"/>
      <c r="F15" s="17"/>
      <c r="G15" s="17"/>
      <c r="H15" s="17"/>
      <c r="I15" s="17"/>
      <c r="J15" s="17"/>
      <c r="K15" s="17"/>
      <c r="L15" s="17"/>
      <c r="M15" s="17"/>
      <c r="N15" s="17"/>
      <c r="O15" s="17"/>
      <c r="P15" s="17"/>
      <c r="Q15" s="17"/>
      <c r="R15" s="17"/>
    </row>
    <row r="16" spans="1:18">
      <c r="A16" s="17"/>
      <c r="B16" s="708" t="str">
        <f>"// Attack Speed //"</f>
        <v>// Attack Speed //</v>
      </c>
      <c r="C16" s="707"/>
      <c r="D16" s="706" t="str">
        <f>"// Movement Speed //"</f>
        <v>// Movement Speed //</v>
      </c>
      <c r="E16" s="707"/>
      <c r="F16" s="708" t="str">
        <f>"// Healthregen //"</f>
        <v>// Healthregen //</v>
      </c>
      <c r="G16" s="707"/>
      <c r="H16" s="706" t="str">
        <f>"// Manaregen //"</f>
        <v>// Manaregen //</v>
      </c>
      <c r="I16" s="707"/>
      <c r="J16" s="708" t="str">
        <f>"// Resistance //"</f>
        <v>// Resistance //</v>
      </c>
      <c r="K16" s="707"/>
      <c r="L16" s="706" t="str">
        <f>"// Enemy Resist //"</f>
        <v>// Enemy Resist //</v>
      </c>
      <c r="M16" s="707"/>
      <c r="N16" s="708" t="str">
        <f>"// Lifesteal //"</f>
        <v>// Lifesteal //</v>
      </c>
      <c r="O16" s="707"/>
      <c r="P16" s="706" t="str">
        <f>"// Critical //"</f>
        <v>// Critical //</v>
      </c>
      <c r="Q16" s="707"/>
      <c r="R16" s="17"/>
    </row>
    <row r="17" spans="1:18" ht="15" customHeight="1">
      <c r="A17" s="17"/>
      <c r="B17" s="155" t="str">
        <f>"Items"</f>
        <v>Items</v>
      </c>
      <c r="C17" s="159">
        <f>IT_AS</f>
        <v>0</v>
      </c>
      <c r="D17" s="155" t="str">
        <f>"Boots"</f>
        <v>Boots</v>
      </c>
      <c r="E17" s="156">
        <f>IT_Shoe + Runes!T9</f>
        <v>0</v>
      </c>
      <c r="F17" s="155" t="str">
        <f>"Items"</f>
        <v>Items</v>
      </c>
      <c r="G17" s="159">
        <f>IT_HPR</f>
        <v>0</v>
      </c>
      <c r="H17" s="155" t="str">
        <f>"Items"</f>
        <v>Items</v>
      </c>
      <c r="I17" s="159">
        <f>IT_MPR</f>
        <v>0</v>
      </c>
      <c r="J17" s="155" t="str">
        <f>"Items"</f>
        <v>Items</v>
      </c>
      <c r="K17" s="157">
        <f>IT_MR</f>
        <v>0</v>
      </c>
      <c r="L17" s="155" t="str">
        <f>"Enemy magic resist"</f>
        <v>Enemy magic resist</v>
      </c>
      <c r="M17" s="157">
        <f>VLOOKUP(E_Name,Champs!A2:R200,17,FALSE)+VLOOKUP(E_Name,Champs!A2:R200,18,FALSE)*Q4+E_IT_MR+E_BoMR</f>
        <v>0</v>
      </c>
      <c r="N17" s="155" t="str">
        <f>"Items"</f>
        <v>Items</v>
      </c>
      <c r="O17" s="159">
        <f>IT_LS</f>
        <v>0</v>
      </c>
      <c r="P17" s="155" t="str">
        <f>"Uncapped crit"</f>
        <v>Uncapped crit</v>
      </c>
      <c r="Q17" s="159">
        <v>0</v>
      </c>
      <c r="R17" s="17"/>
    </row>
    <row r="18" spans="1:18" ht="13.2">
      <c r="A18" s="17"/>
      <c r="B18" s="161" t="str">
        <f>"Runes"</f>
        <v>Runes</v>
      </c>
      <c r="C18" s="166">
        <f>R_AS</f>
        <v>0</v>
      </c>
      <c r="D18" s="161" t="str">
        <f>"Runes"</f>
        <v>Runes</v>
      </c>
      <c r="E18" s="163">
        <f>Runes!H22</f>
        <v>0</v>
      </c>
      <c r="F18" s="161" t="str">
        <f>"Runes"</f>
        <v>Runes</v>
      </c>
      <c r="G18" s="166">
        <f>0%</f>
        <v>0</v>
      </c>
      <c r="H18" s="161" t="str">
        <f>"Runes"</f>
        <v>Runes</v>
      </c>
      <c r="I18" s="181">
        <f>0%</f>
        <v>0</v>
      </c>
      <c r="J18" s="161" t="str">
        <f>"Runes"</f>
        <v>Runes</v>
      </c>
      <c r="K18" s="164">
        <f>R_MR</f>
        <v>0</v>
      </c>
      <c r="L18" s="161" t="str">
        <f>"1. Reduce: Reduction"</f>
        <v>1. Reduce: Reduction</v>
      </c>
      <c r="M18" s="164">
        <f>M17 * (1 - IF(AND(Name = "Kayle", Steroid_Q, P_Q &gt; 0), 0.15, 0) - IF(AND(Name = "Rumble", Steroid_E, P_E &gt; 0), 0.2, 0) - IF(AND(Name = "Kog'Maw", Steroid_Q, P_Q &gt; 0), 0.21 + 0.02 * P_Q, 0) - IF(AND(Name = "Evelynn",P_W &gt; 0, Steroid_W),0.325 + P_W * 0.025,0)) - IF(C64, MIN(5 + 0.012 * Self_BoHP, 25), 0)</f>
        <v>0</v>
      </c>
      <c r="N18" s="161" t="str">
        <f>"Runes"</f>
        <v>Runes</v>
      </c>
      <c r="O18" s="166">
        <f>Runes!D16+IF(AND(S_Conq=12,Runes!C5),IF(VLOOKUP(Name,Champs!A2:AE200,31,FALSE),0.06,0.05),0)</f>
        <v>0</v>
      </c>
      <c r="P18" s="165"/>
      <c r="Q18" s="200"/>
      <c r="R18" s="17"/>
    </row>
    <row r="19" spans="1:18" ht="13.2">
      <c r="A19" s="17"/>
      <c r="B19" s="155" t="str">
        <f>"Base"</f>
        <v>Base</v>
      </c>
      <c r="C19" s="201">
        <f>VLOOKUP(Name, Champs!A2:R200, 12, FALSE) * IF(AND(Name = "Bel'Veth",P_R &gt; 0, Steroid_Form), 1.05 + 0.05 * P_R, 1)</f>
        <v>0</v>
      </c>
      <c r="D19" s="155" t="str">
        <f>"Base"</f>
        <v>Base</v>
      </c>
      <c r="E19" s="175">
        <f>VLOOKUP(Name,Champs!A2:T200,19,FALSE)</f>
        <v>0</v>
      </c>
      <c r="F19" s="155" t="str">
        <f>"Base"</f>
        <v>Base</v>
      </c>
      <c r="G19" s="202">
        <f>VLOOKUP(Name,Champs!A2:R200,4,FALSE)</f>
        <v>0</v>
      </c>
      <c r="H19" s="155" t="str">
        <f>"Base"</f>
        <v>Base</v>
      </c>
      <c r="I19" s="202">
        <f>VLOOKUP(Name,Champs!A2:R200,8,FALSE)</f>
        <v>0</v>
      </c>
      <c r="J19" s="155" t="str">
        <f>"Base"</f>
        <v>Base</v>
      </c>
      <c r="K19" s="157">
        <f>VLOOKUP(Name, Champs!A2:R200, 17, FALSE)</f>
        <v>0</v>
      </c>
      <c r="L19" s="155" t="str">
        <f>"2. Reduce: %"</f>
        <v>2. Reduce: %</v>
      </c>
      <c r="M19" s="157" t="e">
        <f ca="1">M18*(1-C38)</f>
        <v>#NAME?</v>
      </c>
      <c r="N19" s="155" t="str">
        <f>"Skills"</f>
        <v>Skills</v>
      </c>
      <c r="O19" s="159">
        <v>0</v>
      </c>
      <c r="P19" s="158"/>
      <c r="Q19" s="168"/>
      <c r="R19" s="17"/>
    </row>
    <row r="20" spans="1:18" ht="13.8">
      <c r="A20" s="17"/>
      <c r="B20" s="161" t="str">
        <f>"Growth"</f>
        <v>Growth</v>
      </c>
      <c r="C20" s="166">
        <f>VLOOKUP(Name, Champs!A2:R200, 14, FALSE)</f>
        <v>0</v>
      </c>
      <c r="D20" s="161"/>
      <c r="E20" s="171"/>
      <c r="F20" s="161" t="str">
        <f>"Growth"</f>
        <v>Growth</v>
      </c>
      <c r="G20" s="203">
        <f>VLOOKUP(Name,Champs!A2:R200,5,FALSE)</f>
        <v>0</v>
      </c>
      <c r="H20" s="161" t="str">
        <f>"Growth"</f>
        <v>Growth</v>
      </c>
      <c r="I20" s="204">
        <f>VLOOKUP(Name,Champs!A2:R200,9,FALSE)</f>
        <v>0</v>
      </c>
      <c r="J20" s="161" t="str">
        <f>"Growth"</f>
        <v>Growth</v>
      </c>
      <c r="K20" s="162">
        <f>VLOOKUP(Name, Champs!A2:R200, 18, FALSE)</f>
        <v>0</v>
      </c>
      <c r="L20" s="161" t="str">
        <f>"3. Reduce: Flat"</f>
        <v>3. Reduce: Flat</v>
      </c>
      <c r="M20" s="162" t="e">
        <f ca="1">IF(M19-Self_MpenF&lt;0,0,M19-Self_MpenF)</f>
        <v>#NAME?</v>
      </c>
      <c r="N20" s="161" t="str">
        <f>"On hit"</f>
        <v>On hit</v>
      </c>
      <c r="O20" s="162">
        <f>IF(AND(Name="Warwick",Self_CHPP&lt;50),(8+2*Self_Level)*IF(Self_CHPP&lt;25,3,1),0)+
IF(AND(Name="Elise",Steroid_Form),4+2*P_R+0.08*Self_AP,0)</f>
        <v>0</v>
      </c>
      <c r="P20" s="173" t="str">
        <f>"Crit Chance"</f>
        <v>Crit Chance</v>
      </c>
      <c r="Q20" s="174">
        <v>0</v>
      </c>
      <c r="R20" s="17"/>
    </row>
    <row r="21" spans="1:18" ht="13.8">
      <c r="A21" s="17"/>
      <c r="B21" s="155" t="str">
        <f>"Bonus"</f>
        <v>Bonus</v>
      </c>
      <c r="C21" s="159">
        <v>0</v>
      </c>
      <c r="D21" s="155" t="str">
        <f>"Bonus"</f>
        <v>Bonus</v>
      </c>
      <c r="E21" s="156">
        <v>0</v>
      </c>
      <c r="F21" s="155" t="str">
        <f>"Bonus"</f>
        <v>Bonus</v>
      </c>
      <c r="G21" s="175">
        <v>0</v>
      </c>
      <c r="H21" s="155" t="str">
        <f>"Bonus"</f>
        <v>Bonus</v>
      </c>
      <c r="I21" s="176">
        <f>IF(C62, IF(Steroid_Items, 7.5, 5), 0) +
IF(AND(Name = "Singed", Steroid_R, P_R &gt; 0), 35 * P_R - 5, 0) +
Runes!D10</f>
        <v>0</v>
      </c>
      <c r="J21" s="155" t="str">
        <f>"Bonus"</f>
        <v>Bonus</v>
      </c>
      <c r="K21" s="175">
        <v>0</v>
      </c>
      <c r="L21" s="155" t="str">
        <f>"Magic Resistance Mod"</f>
        <v>Magic Resistance Mod</v>
      </c>
      <c r="M21" s="159" t="e">
        <f ca="1">1-(M20/(M20+100))</f>
        <v>#NAME?</v>
      </c>
      <c r="N21" s="185" t="str">
        <f>"Total"</f>
        <v>Total</v>
      </c>
      <c r="O21" s="187">
        <f>(O17+O18+O19)*O12</f>
        <v>0</v>
      </c>
      <c r="P21" s="185" t="str">
        <f>"Crit Damage"</f>
        <v>Crit Damage</v>
      </c>
      <c r="Q21" s="187" t="e">
        <f ca="1">(1.75+IT_CDMG)*
IF(Name = "Jhin", 0.86, 1) *
IF(Name = "Yasuo", 0.9, 1) *
IF(Name = "Graves", (2 / 3) * IF(Steroid_P, 1.35, 1), 1) *
IF(Name = "Senna", 0.9142857, 1) *
IF(Name = "Yone", 0.9, 1) *
IF(C69, 0.8, 1)</f>
        <v>#NAME?</v>
      </c>
      <c r="R21" s="17"/>
    </row>
    <row r="22" spans="1:18" ht="17.399999999999999">
      <c r="A22" s="17"/>
      <c r="B22" s="161" t="str">
        <f>"Bonus multiplier"</f>
        <v>Bonus multiplier</v>
      </c>
      <c r="C22" s="166">
        <f>IF(AND(Name = "Jinx", Steroid_Q, P_Q &gt; 0), 0.9, 1) * IF(AND(Name = "Bel'Veth",P_R &gt; 0, Steroid_Form), 1.05 + 0.05 * P_R, 1)</f>
        <v>1</v>
      </c>
      <c r="D22" s="161" t="str">
        <f>"Base multiplier"</f>
        <v>Base multiplier</v>
      </c>
      <c r="E22" s="166">
        <f>IF(Runes!K15,1.07,1)</f>
        <v>1</v>
      </c>
      <c r="F22" s="161" t="str">
        <f>"Base multiplier"</f>
        <v>Base multiplier</v>
      </c>
      <c r="G22" s="166">
        <f>IF(C52,1.25,1)*
IF(AND(Name="Trundle",Steroid_W,P_W&gt;0),1.25,1)*
IF(AND(Name="Olaf",Steroid_W,P_W&gt;0),1+0.5*(1-Self_CHPP/100),1)</f>
        <v>1</v>
      </c>
      <c r="H22" s="161" t="str">
        <f>"Base multiplier"</f>
        <v>Base multiplier</v>
      </c>
      <c r="I22" s="181">
        <f t="shared" ref="I22:I23" si="0">100%</f>
        <v>1</v>
      </c>
      <c r="J22" s="161" t="str">
        <f>"Base multiplier"</f>
        <v>Base multiplier</v>
      </c>
      <c r="K22" s="166">
        <f>IF(AND(Name = "Poppy", P_W &gt; 0), IF(Self_CHPP &lt; 40, 1.24, 1.12), 1) *
IF(AND(Name = "Rell", P_W &gt; 0, Steroid_Form), 1.12, 1) *
IF(Runes!P14&gt;0,1.03,1)*
(1+0.09*N_Mountain)</f>
        <v>1</v>
      </c>
      <c r="L22" s="161" t="str">
        <f>"Skill / Item Magic Mod"</f>
        <v>Skill / Item Magic Mod</v>
      </c>
      <c r="M22" s="166">
        <f>IT_MOD_Magic *
IF(AND(Name = "Vladimir", Steroid_R, P_R &gt; 0), 1.1, 1) *
IF(E_CHPV &gt; (Self_CHPP / 100) * Self_MHP + 340 + 680 * Sc_Lin, 1 + N_Chem * 0.05, 1)</f>
        <v>1</v>
      </c>
      <c r="N22" s="709" t="str">
        <f>"// Spellvamp //"</f>
        <v>// Spellvamp //</v>
      </c>
      <c r="O22" s="710"/>
      <c r="P22" s="711" t="str">
        <f>"// Ability Haste //"</f>
        <v>// Ability Haste //</v>
      </c>
      <c r="Q22" s="710"/>
      <c r="R22" s="17"/>
    </row>
    <row r="23" spans="1:18" ht="13.8">
      <c r="A23" s="17"/>
      <c r="B23" s="155" t="str">
        <f>"Total bonus"</f>
        <v>Total bonus</v>
      </c>
      <c r="C23" s="159">
        <f>(C17 + C18 + C21 + IF(Name = "Jhin", 0, C20 * Q3)) * C22 + IF(AND(Name = "Varus", Steroid_P), 0.4 + 0.4 * (C18 + C17 + C21 + C20 * Q2), 0)</f>
        <v>0</v>
      </c>
      <c r="D23" s="155" t="str">
        <f>"Bonus multiplier"</f>
        <v>Bonus multiplier</v>
      </c>
      <c r="E23" s="159">
        <f>(1 + IT_MS + R_MS + N_Cloud * 0.07 +
IF(AND(C45, S_Mejai &gt; 10), 0.1, 0) +
IF(B_Cloud, 0.15 + IF(Steroid_R, 0.3, 0), 0) +
IF(Name = "Janna", IF(P_W &gt; 0, 0.05 + 0.01 * P_W + 0.0002 * Self_AP, 1), 0) +
IF(AND(Name = "Warwick", Steroid_W, P_W &gt; 0), (P_W * 0.05 + 0.3) * IF(E_CHP &lt;= 0.2, 3, 1), 0) +
IF(AND(Name = "Teemo", P_W &gt; 0), (P_W * 0.04 + 0.06) * IF(Steroid_W, 2, 1), 0) +
IF(AND(Name = "Xayah", P_W &gt; 0, Steroid_W), 0.3, 0) +
IF(AND(Name = "Dr, Mundo", P_R &gt; 0, Steroid_R), 0.05 + 0.1 * P_R,0) +
IF(AND(Name = "Quinn", P_W &gt; 0, Steroid_W), 0.15 + 0.05 * P_W, 0) +
IF(AND(Name = "Nunu", Steroid_P), 0.1, 0) +
IF(AND(Name = "Jhin", Steroid_P), 0.1 + 0.004 * (Self_BoAS * 100), 0) +
IF(AND(Name = "Pyke", Steroid_W), 0.35 + 0.05 * P_W + 0.015 * Self_Leth, 0) +
IF(AND(Name = "Rumble", Steroid_W, P_W &gt; 0), 0.05 + 0.05 * P_W, 0) +
IF(AND(Name = "Viktor", Steroid_Q, P_Q &gt; 0), 0.3, 0) +
IF(AND(Name = "Twitch", Steroid_Form, P_Q &gt; 0), 0.1, 0) +
IF(AND(Name = "Master Yi", Steroid_R, P_R &gt; 0), P_R * 0.1 + 0.25, 0) +
IF(AND(Name = "Qiyana", P_W &gt; 0, Steroid_W), 0.02 * P_W + 0.03, 0) +
IF(AND(Name = "Shyvana", P_W &gt; 0, Steroid_W), 0.25 + 0.05 * P_W + 0.0008 * Self_AP, 0) +
IF(AND(Name = "Kayle", OR(Steroid_P, Self_Level &gt; 15)), 0.1, 0)) *
IF(AND(Name = "Quinn", Steroid_Form, P_R &gt; 0), 1.4 + 0.3 * P_R, 1) *
IF(AND(Name = "Hecarim", Steroid_E, P_E &gt; 0), 1.65, 1)</f>
        <v>1</v>
      </c>
      <c r="F23" s="155" t="str">
        <f>"Bonus multiplier"</f>
        <v>Bonus multiplier</v>
      </c>
      <c r="G23" s="159">
        <f>IF(C52,1.25,1)*
IF(AND(Name="Trundle",Steroid_W,P_W&gt;0),1.25,1)*
IF(AND(Name="Olaf",Steroid_W,P_W&gt;0),1+0.5*(1-Self_CHPP/100),1)</f>
        <v>1</v>
      </c>
      <c r="H23" s="155" t="str">
        <f>"Bonus multiplier"</f>
        <v>Bonus multiplier</v>
      </c>
      <c r="I23" s="159">
        <f t="shared" si="0"/>
        <v>1</v>
      </c>
      <c r="J23" s="155" t="str">
        <f>"Bonus multiplier"</f>
        <v>Bonus multiplier</v>
      </c>
      <c r="K23" s="159">
        <f>IF(AND(Name = "Poppy", P_W &gt; 0), IF(Self_CHPP &lt; 40, 1.24, 1.12), 1) *
IF(C66, 1.2, 1) *
IF(Runes!P14&gt;0,1.03,1)*
IF(AND(Name="Garen",P_W&gt;0,Minion&gt;120),1.1,1)*
IF(Name = "Ornn", MIN(1.3, 1.1 + IF(Self_Level &gt; 12, (Self_Level - 12) * 0.04)), 1)*
IF(AND(Name = "Rell", P_W &gt; 0, Steroid_Form), 1.12, 1) *
IF(AND(Steroid_Items,C65),1.25,1)*
(1+0.09*N_Mountain)</f>
        <v>1</v>
      </c>
      <c r="L23" s="173" t="str">
        <f>"Magical Dmg Mod"</f>
        <v>Magical Dmg Mod</v>
      </c>
      <c r="M23" s="174" t="e">
        <f ca="1">(IF(Interface!N16="Super Minion",(2-(100/(100-E_MR))),M21*O4)*M22+IF(C55,0.09,0)) * O5 * Q32</f>
        <v>#NAME?</v>
      </c>
      <c r="N23" s="155" t="str">
        <f>"Items"</f>
        <v>Items</v>
      </c>
      <c r="O23" s="159">
        <f>IT_SV</f>
        <v>0</v>
      </c>
      <c r="P23" s="155" t="str">
        <f>"Items"</f>
        <v>Items</v>
      </c>
      <c r="Q23" s="159">
        <f>IT_AH + IF(Interface!L29, 0.2, 0)</f>
        <v>0</v>
      </c>
      <c r="R23" s="17"/>
    </row>
    <row r="24" spans="1:18" ht="13.2">
      <c r="A24" s="17"/>
      <c r="B24" s="161" t="str">
        <f>"Scaling"</f>
        <v>Scaling</v>
      </c>
      <c r="C24" s="205">
        <f>VLOOKUP(Name, Champs!A2:R200, 13, FALSE)</f>
        <v>0</v>
      </c>
      <c r="D24" s="161" t="str">
        <f>"Total bonus"</f>
        <v>Total bonus</v>
      </c>
      <c r="E24" s="164">
        <f>((((E17+E18+E21)*E23)*E22-E17)+E19*(E23-1))*E22+E17</f>
        <v>0</v>
      </c>
      <c r="F24" s="161" t="str">
        <f>"Total base"</f>
        <v>Total base</v>
      </c>
      <c r="G24" s="203">
        <f>(G19+G20*Q3)</f>
        <v>0</v>
      </c>
      <c r="H24" s="161" t="str">
        <f>"Total base"</f>
        <v>Total base</v>
      </c>
      <c r="I24" s="203">
        <f>(I19+I20*Q3)</f>
        <v>0</v>
      </c>
      <c r="J24" s="161" t="str">
        <f>"Total base"</f>
        <v>Total base</v>
      </c>
      <c r="K24" s="162">
        <f>(K19+K20*Q3)*K22</f>
        <v>0</v>
      </c>
      <c r="L24" s="161"/>
      <c r="M24" s="162"/>
      <c r="N24" s="161" t="str">
        <f>"Runes"</f>
        <v>Runes</v>
      </c>
      <c r="O24" s="181">
        <f>IF(AND(S_Conq=12,Runes!C5),IF(VLOOKUP(Name,Champs!A2:AE200,31,FALSE),0.06,0.05),0)</f>
        <v>0</v>
      </c>
      <c r="P24" s="161" t="str">
        <f>"Runes"</f>
        <v>Runes</v>
      </c>
      <c r="Q24" s="181">
        <f>R_AH</f>
        <v>0</v>
      </c>
      <c r="R24" s="17"/>
    </row>
    <row r="25" spans="1:18" ht="13.2">
      <c r="A25" s="17"/>
      <c r="B25" s="155" t="str">
        <f>"Cap"</f>
        <v>Cap</v>
      </c>
      <c r="C25" s="160">
        <f>IF(Name = "Bel'Veth",10,IF(Name = "Zeri",1.5 + IF(AND(Steroid_R,P_R &gt; 0), 0.05 + 0.05 * P_R, 0), IF(AND(Name = "Urgot", Steroid_W, P_W &gt; 0), 3, IF(Name = "Jhin", C19 * (1 + C20 * Q3), IF(Name = "Graves", 0.642 + 0.01466 * Q3, IF(OR(AND(Steroid_Runes, OR(Runes!C3, Runes!G5)),AND(Name = "Jinx", Steroid_P), AND(Name = "Kennen", P_E &gt; 0, Steroid_E)), 20, 2.5))))))</f>
        <v>2.5</v>
      </c>
      <c r="D25" s="158" t="str">
        <f>"Movespeed above Base"</f>
        <v>Movespeed above Base</v>
      </c>
      <c r="E25" s="206">
        <f>E26 - E19</f>
        <v>0</v>
      </c>
      <c r="F25" s="155" t="str">
        <f>"Total bonus"</f>
        <v>Total bonus</v>
      </c>
      <c r="G25" s="159">
        <f>(G17+G18)*G23</f>
        <v>0</v>
      </c>
      <c r="H25" s="155" t="str">
        <f>"Total bonus"</f>
        <v>Total bonus</v>
      </c>
      <c r="I25" s="170">
        <f>(I17+I18)*I23</f>
        <v>0</v>
      </c>
      <c r="J25" s="155" t="str">
        <f>"Total bonus"</f>
        <v>Total bonus</v>
      </c>
      <c r="K25" s="175">
        <f>(K17 + K18 + K21) * K23 * IF(AND(Name = "K'Sante", P_R &gt; 0, Steroid_Form), 0.15, 1)</f>
        <v>0</v>
      </c>
      <c r="L25" s="155"/>
      <c r="M25" s="159"/>
      <c r="N25" s="155" t="str">
        <f>"Skills"</f>
        <v>Skills</v>
      </c>
      <c r="O25" s="159">
        <f>IF(Name = "Morgana", 0.18, 0) +
IF(AND(Name = "Lee Sin", P_W &gt; 0, Steroid_W), 0.005 + 0.045 * P_W, 0) +
IF(AND(Name = "K'Sante", P_R &gt; 0, Steroid_Form), 0.1 + 0.000075 * Self_BoHP, 0)</f>
        <v>0</v>
      </c>
      <c r="P25" s="158" t="str">
        <f>"Hextech Dragon"</f>
        <v>Hextech Dragon</v>
      </c>
      <c r="Q25" s="168">
        <f>N_Hex * 0.075</f>
        <v>0</v>
      </c>
      <c r="R25" s="17"/>
    </row>
    <row r="26" spans="1:18" ht="15.6">
      <c r="A26" s="17"/>
      <c r="B26" s="185" t="str">
        <f>"Total"</f>
        <v>Total</v>
      </c>
      <c r="C26" s="207">
        <f>IF(AND(Name = "Urgot", Steroid_W, P_W &gt; 0), C25, IF(Name = "Jhin", C25, IF(C19 + C24 * C23 &gt; C25, C25, C19 + C24 * C23) * IF(AND(Name = "Jinx", Steroid_P), 1.25, 1) * IF(Items!AM54, 0.8, 1)))</f>
        <v>0</v>
      </c>
      <c r="D26" s="185" t="str">
        <f>"Total"</f>
        <v>Total</v>
      </c>
      <c r="E26" s="208">
        <f>IF(E19+E24&gt;490,(E19+E24)*0.5+230,IF(AND(E19+E24&gt;415,E19+E24&lt;=490),(E19+E24)*0.8+83,E19+E24))</f>
        <v>0</v>
      </c>
      <c r="F26" s="185" t="str">
        <f>"Total"</f>
        <v>Total</v>
      </c>
      <c r="G26" s="209">
        <f>G24*G22+G24*G25+G21*G23</f>
        <v>0</v>
      </c>
      <c r="H26" s="185" t="str">
        <f>"Total"</f>
        <v>Total</v>
      </c>
      <c r="I26" s="209">
        <f>IF(OR(VLOOKUP(Name,Champs!A2:AI200,35,FALSE),VLOOKUP(Name,Champs!A2:AJ200,36,FALSE)),I19,I24*I25+I24+I21)</f>
        <v>0</v>
      </c>
      <c r="J26" s="185" t="str">
        <f>"Total"</f>
        <v>Total</v>
      </c>
      <c r="K26" s="186">
        <f>K25 + K24 + IF(AND(Runes!O3,Steroid_Runes), IF(35 + 0.8 * K25 &gt; 80 + 70 * Sc_Lin,80 + 70 * Sc_Lin, 35 + 0.8 * K25), 0)</f>
        <v>0</v>
      </c>
      <c r="L26" s="188"/>
      <c r="M26" s="210"/>
      <c r="N26" s="185" t="str">
        <f>"Total"</f>
        <v>Total</v>
      </c>
      <c r="O26" s="211">
        <f>(O23+O24+O25)*O12</f>
        <v>0</v>
      </c>
      <c r="P26" s="212" t="str">
        <f>"Total"</f>
        <v>Total</v>
      </c>
      <c r="Q26" s="211">
        <f>(Q23 + Q24 + Q25) * IF(C56, 1.12, 1)</f>
        <v>0</v>
      </c>
      <c r="R26" s="17"/>
    </row>
    <row r="27" spans="1:18" ht="13.2">
      <c r="A27" s="17"/>
      <c r="B27" s="17"/>
      <c r="C27" s="17"/>
      <c r="D27" s="17"/>
      <c r="E27" s="17"/>
      <c r="F27" s="17"/>
      <c r="G27" s="17"/>
      <c r="H27" s="17"/>
      <c r="I27" s="17"/>
      <c r="J27" s="17"/>
      <c r="K27" s="17"/>
      <c r="L27" s="17"/>
      <c r="M27" s="17"/>
      <c r="N27" s="17"/>
      <c r="O27" s="17"/>
      <c r="P27" s="17"/>
      <c r="Q27" s="17"/>
      <c r="R27" s="17"/>
    </row>
    <row r="28" spans="1:18" ht="17.399999999999999">
      <c r="A28" s="17"/>
      <c r="B28" s="708" t="str">
        <f>"// Armor Pen //"</f>
        <v>// Armor Pen //</v>
      </c>
      <c r="C28" s="707"/>
      <c r="D28" s="706" t="str">
        <f>"// On Hit //"</f>
        <v>// On Hit //</v>
      </c>
      <c r="E28" s="707"/>
      <c r="F28" s="708" t="str">
        <f>"// DPS Calculation //"</f>
        <v>// DPS Calculation //</v>
      </c>
      <c r="G28" s="707"/>
      <c r="H28" s="706" t="str">
        <f>"// Champions //"</f>
        <v>// Champions //</v>
      </c>
      <c r="I28" s="707"/>
      <c r="J28" s="708" t="str">
        <f>"// Skills //"</f>
        <v>// Skills //</v>
      </c>
      <c r="K28" s="707"/>
      <c r="L28" s="706" t="str">
        <f>"// Runes //"</f>
        <v>// Runes //</v>
      </c>
      <c r="M28" s="707"/>
      <c r="N28" s="708" t="str">
        <f>"// Items and neutrals //"</f>
        <v>// Items and neutrals //</v>
      </c>
      <c r="O28" s="718"/>
      <c r="P28" s="718"/>
      <c r="Q28" s="707"/>
      <c r="R28" s="17"/>
    </row>
    <row r="29" spans="1:18" ht="15.6">
      <c r="A29" s="17"/>
      <c r="B29" s="155" t="str">
        <f>"Items"</f>
        <v>Items</v>
      </c>
      <c r="C29" s="156">
        <f>IT_Leth</f>
        <v>0</v>
      </c>
      <c r="D29" s="155" t="str">
        <f>"Items"</f>
        <v>Items</v>
      </c>
      <c r="E29" s="156">
        <f>IT_OH_Phys</f>
        <v>0</v>
      </c>
      <c r="F29" s="213" t="str">
        <f>"Hit damage"</f>
        <v>Hit damage</v>
      </c>
      <c r="G29" s="157" t="e">
        <f ca="1">IF(Name = "Zeri", IF(Steroid_P, 90 + 110 * Sc_Lin * (Q3 / IF((Self_Level - 1) = 0, 1, (Self_Level - 1))) + 1.1 * Self_AP + (0.01 + 0.14 * Sc_Lin * Q3) * E_MHP, (10 + 15 * Sc_Lin * (Q3 / IF((Self_Level - 1) = 0, 1, (Self_Level - 1))) + 0.03 * Self_AP) * IF(E_CHP &lt;= 35, 5, 1)) * MOD_Magic, IF(Name = "Corki", (0.2 * MOD_Hit + 0.8 * MOD_Magic * M11) * Self_AD, IF(AND(Name = "Urgot", P_W &gt; 0, Steroid_W), Champs!$V$134, IF(Name = "Yone", (0.75 * MOD_Hit + 0.25 * MOD_Magic *M11) * Self_AD, Self_AD * MOD_Hit))) +
IF(NOT(AND(Name = "Urgot", P_W &gt; 0, Steroid_W)), IF(Name = "Akshan", 2, 1) * (OH_Phys + OH_Magic + OH_True), 0) +
IF(Name = "Senna", 0.2 * Self_AD, 0) * MOD_Phys)</f>
        <v>#NAME?</v>
      </c>
      <c r="H29" s="155" t="str">
        <f>"Mundo HP Value"</f>
        <v>Mundo HP Value</v>
      </c>
      <c r="I29" s="176">
        <f>((G3+G4)*G9+G8*G10 + G10) * (1-Self_CHPP/100)</f>
        <v>0</v>
      </c>
      <c r="J29" s="158" t="str">
        <f>"Q Damage"</f>
        <v>Q Damage</v>
      </c>
      <c r="K29" s="157">
        <f>IF(AND(OR(P_Q &gt; 0, Name = "Aphelios"), NOT(Name = "Ashe"), VLOOKUP(Name, Champs!A2:Y200, 21, FALSE) &gt; 0), VLOOKUP(Name, Champs!A2:Y200, 21, FALSE) + O33, 0) * O35 * O36</f>
        <v>0</v>
      </c>
      <c r="L29" s="158" t="str">
        <f>"Total rune proc"</f>
        <v>Total rune proc</v>
      </c>
      <c r="M29" s="157">
        <f>Runes!D2+Runes!H2+Runes!H3+Runes!H4+Runes!L3+Runes!L2+Runes!P2+Runes!P3+Runes!L20+Runes!H8</f>
        <v>0</v>
      </c>
      <c r="N29" s="158" t="str">
        <f>"Item physical proc"</f>
        <v>Item physical proc</v>
      </c>
      <c r="O29" s="214" t="e">
        <f ca="1">IT_Proc_Phys</f>
        <v>#NAME?</v>
      </c>
      <c r="P29" s="215" t="str">
        <f>"Baron"</f>
        <v>Baron</v>
      </c>
      <c r="Q29" s="175">
        <v>0</v>
      </c>
      <c r="R29" s="17"/>
    </row>
    <row r="30" spans="1:18" ht="13.2">
      <c r="A30" s="17"/>
      <c r="B30" s="161" t="str">
        <f>"Runes"</f>
        <v>Runes</v>
      </c>
      <c r="C30" s="162">
        <f>Runes!H10</f>
        <v>0</v>
      </c>
      <c r="D30" s="161" t="str">
        <f>"Runes"</f>
        <v>Runes</v>
      </c>
      <c r="E30" s="162">
        <f>0</f>
        <v>0</v>
      </c>
      <c r="F30" s="165" t="str">
        <f>"Average auto attack"</f>
        <v>Average auto attack</v>
      </c>
      <c r="G30" s="162" t="e">
        <f ca="1">IF(OR(C47, Name = "Zeri"),Self_HitDmg,Self_HitDmg*(1+Self_Crit*(Self_CritDMG-1)))</f>
        <v>#NAME?</v>
      </c>
      <c r="H30" s="161" t="str">
        <f>"Vladimir bonues health"</f>
        <v>Vladimir bonues health</v>
      </c>
      <c r="I30" s="162">
        <f>(G3+G4)*G9</f>
        <v>0</v>
      </c>
      <c r="J30" s="165" t="str">
        <f>"W Damage"</f>
        <v>W Damage</v>
      </c>
      <c r="K30" s="216">
        <f>IF(AND(P_W &gt; 0, VLOOKUP(Name, Champs!A2:Y200, 22, FALSE) &gt; 0), VLOOKUP(Name, Champs!A2:Y200, 22, FALSE) + O33, 0) * O35 * O36</f>
        <v>0</v>
      </c>
      <c r="L30" s="161" t="str">
        <f>"Physical for PTA"</f>
        <v>Physical for PTA</v>
      </c>
      <c r="M30" s="166" t="e">
        <f ca="1">(M7*M8*R_MOD)</f>
        <v>#NAME?</v>
      </c>
      <c r="N30" s="161" t="str">
        <f>"Item magical proc"</f>
        <v>Item magical proc</v>
      </c>
      <c r="O30" s="217">
        <f>IT_Proc_Magic + IT_Proc_Energy</f>
        <v>0</v>
      </c>
      <c r="P30" s="218" t="str">
        <f>"Dragon Soul"</f>
        <v>Dragon Soul</v>
      </c>
      <c r="Q30" s="163" t="e">
        <f ca="1">IF(B_Infernal,(70 + 0.18 * Self_BoAD + 0.12 * Self_AP + 0.02 * Self_BoHP),0) * IF(ForceBit,MOD_Phys,MOD_Magic) + IF(B_Hex,25 + 25 * Sc_Lin,0)</f>
        <v>#NAME?</v>
      </c>
      <c r="R30" s="17"/>
    </row>
    <row r="31" spans="1:18" ht="13.2">
      <c r="A31" s="17"/>
      <c r="B31" s="155" t="str">
        <f>"Lethality"</f>
        <v>Lethality</v>
      </c>
      <c r="C31" s="156">
        <f>C29 + C30 + IF(Name = "Aphelios", 5.5 * P_E, 0)</f>
        <v>0</v>
      </c>
      <c r="D31" s="155" t="str">
        <f>"Passives"</f>
        <v>Passives</v>
      </c>
      <c r="E31" s="156">
        <f>IF(AND(Name = "Viego", P_Q &gt; 0), (0.01 + 0.01 * P_Q) * E_CHPV, 0)</f>
        <v>0</v>
      </c>
      <c r="F31" s="155" t="str">
        <f>"Critcal strike"</f>
        <v>Critcal strike</v>
      </c>
      <c r="G31" s="156" t="e">
        <f ca="1">IF(OR(AND(C47,NOT(Name="Ashe")), Name = "Zeri"),Self_HitDmg,IF(Name="Ashe",IF(C47,0,Self_AD*(M10-1)*(MOD_Hit/M10)),IF(AND(Name="Urgot",Steroid_W,P_W&gt;0),Champs!$V$134,Self_AD*MOD_Hit*Self_CritDMG+OH_Magic+OH_Phys+OH_True+IF(Name="Senna",0.2*Self_AD,0)*MOD_Heal)))</f>
        <v>#NAME?</v>
      </c>
      <c r="H31" s="155" t="str">
        <f>"Ryze mana"</f>
        <v>Ryze mana</v>
      </c>
      <c r="I31" s="157">
        <f>IF(I6=0,I5,I10+I11)</f>
        <v>0</v>
      </c>
      <c r="J31" s="158" t="str">
        <f>"E Damage"</f>
        <v>E Damage</v>
      </c>
      <c r="K31" s="159">
        <f>IF(AND(P_E &gt; 0, VLOOKUP(Name, Champs!A2:Y200, 23, FALSE) &gt; 0), VLOOKUP(Name, Champs!A2:Y200, 23, FALSE) + O33, 0) * O35 * O36</f>
        <v>0</v>
      </c>
      <c r="L31" s="155" t="str">
        <f>"Magical for PTA"</f>
        <v>Magical for PTA</v>
      </c>
      <c r="M31" s="159" t="e">
        <f ca="1">(M22*M21*R_MOD)</f>
        <v>#NAME?</v>
      </c>
      <c r="N31" s="158" t="str">
        <f>"Sheen"</f>
        <v>Sheen</v>
      </c>
      <c r="O31" s="219" t="e">
        <f ca="1">IT_Proc_Phys</f>
        <v>#NAME?</v>
      </c>
      <c r="P31" s="128" t="str">
        <f>"Minion Updates"</f>
        <v>Minion Updates</v>
      </c>
      <c r="Q31" s="175">
        <v>0</v>
      </c>
      <c r="R31" s="17"/>
    </row>
    <row r="32" spans="1:18" ht="13.8">
      <c r="A32" s="17"/>
      <c r="B32" s="173" t="str">
        <f>"Armorpen Flat"</f>
        <v>Armorpen Flat</v>
      </c>
      <c r="C32" s="220">
        <f>C31*Q6</f>
        <v>0</v>
      </c>
      <c r="D32" s="161" t="str">
        <f>"Actives"</f>
        <v>Actives</v>
      </c>
      <c r="E32" s="162">
        <f>IF(AND(Name = "Malphite", P_W &gt; 0, Steroid_W), 5 + 10 * P_W + 0.2 * Self_AP + 0.15 * Self_AR, 0) +
IF(AND(Name = "Udyr", P_Q &gt; 0, Steroid_Q), 1 + 4 * P_Q + 0.3 * Self_BoAD, 0)</f>
        <v>0</v>
      </c>
      <c r="F32" s="165"/>
      <c r="G32" s="180"/>
      <c r="H32" s="161" t="str">
        <f>"Gangplank E MOD"</f>
        <v>Gangplank E MOD</v>
      </c>
      <c r="I32" s="181" t="e">
        <f ca="1">((1-(IF((M5*0.6)-Self_APenF&lt;0,0,(M5*0.6)-Self_APenF)/(IF((M5*0.6)-Self_APenF&lt;0,0,(M5*0.6)-Self_APenF)+100)))*M8*O4)+IF(C55,0.09,0)</f>
        <v>#NAME?</v>
      </c>
      <c r="J32" s="165" t="str">
        <f>"R Damage"</f>
        <v>R Damage</v>
      </c>
      <c r="K32" s="162">
        <f>IF(AND(OR(P_R &gt; 0, AND(Name = "Aphelios", Self_Level &gt; 5)), VLOOKUP(Name, Champs!A2:Y200, 24, FALSE) &gt; 0), VLOOKUP(Name, Champs!A2:Y200, 24, FALSE) + O33, 0) * O35 * O36</f>
        <v>0</v>
      </c>
      <c r="L32" s="165" t="str">
        <f>"Summoner damage"</f>
        <v>Summoner damage</v>
      </c>
      <c r="M32" s="180">
        <f>IF(Interface!$O$4 = "Ignite", Q76, IF(Interface!$O$4 = "Blue Smite", Q77, IF(Interface!$O$4 = "Red Smite", Q78, 0)))</f>
        <v>0</v>
      </c>
      <c r="N32" s="161" t="str">
        <f>"Total proc"</f>
        <v>Total proc</v>
      </c>
      <c r="O32" s="221" t="e">
        <f ca="1">O29*MOD_Phys+O30*MOD_Magic+Runes!H14*MOD_Magic+Q30+O31</f>
        <v>#NAME?</v>
      </c>
      <c r="P32" s="218" t="str">
        <f>"Chemtech Dragon DMG"</f>
        <v>Chemtech Dragon DMG</v>
      </c>
      <c r="Q32" s="171">
        <f>IF(AND(Self_CHPP &lt; 0.5, B_Chem), 1.1, 1)</f>
        <v>1</v>
      </c>
      <c r="R32" s="17"/>
    </row>
    <row r="33" spans="1:18" ht="13.8">
      <c r="A33" s="17"/>
      <c r="B33" s="185" t="str">
        <f>"Amorpen %"</f>
        <v>Amorpen %</v>
      </c>
      <c r="C33" s="222" t="e">
        <f ca="1">1-IT_APEN*IF(AND(Name="Darius",P_E&gt;0),(0.9-0.05*P_E),1)*IF(AND(Name="Pantheon",P_R&gt;0),(1-0.1*P_R),1)*IF(AND(Name = "Nilah", P_Q &gt; 0), 1 - (1/3) * Self_Crit, 1)</f>
        <v>#NAME?</v>
      </c>
      <c r="D33" s="185" t="str">
        <f>"Total Physical"</f>
        <v>Total Physical</v>
      </c>
      <c r="E33" s="208" t="e">
        <f ca="1">(E29 + E30 + E31 + E32) * MOD_Phys * IF(Name = "Bel'Veth", 0.75, 1)</f>
        <v>#NAME?</v>
      </c>
      <c r="F33" s="158"/>
      <c r="G33" s="182"/>
      <c r="H33" s="155" t="str">
        <f>"Crescendum"</f>
        <v>Crescendum</v>
      </c>
      <c r="I33" s="223">
        <f>IF(Interface!I42 &lt; 10, Interface!I42 * (0.1573 - 0.0073 * Interface!I42), 0.885 + 0.05 * (Interface!I42 - 10))</f>
        <v>0</v>
      </c>
      <c r="J33" s="155" t="str">
        <f>"Summoner damage"</f>
        <v>Summoner damage</v>
      </c>
      <c r="K33" s="175">
        <f>IF(Interface!$O$4 = "Ignite", Q76, IF(Interface!$O$4 = "Blue Smite", Q77, IF(Interface!$O$4 = "Red Smite", Q78, 0)))</f>
        <v>0</v>
      </c>
      <c r="L33" s="155"/>
      <c r="M33" s="182"/>
      <c r="N33" s="158" t="str">
        <f>"Muramana Spells"</f>
        <v>Muramana Spells</v>
      </c>
      <c r="O33" s="219" t="e">
        <f ca="1">IF(C44, IF(VLOOKUP(Name,Champs!A2:AJ200,31,FALSE), 0.035, 0.027) * Self_MP + 0.06 * Self_AD, 0) * MOD_Phys</f>
        <v>#NAME?</v>
      </c>
      <c r="P33" s="128" t="str">
        <f>"Spear Cooldown"</f>
        <v>Spear Cooldown</v>
      </c>
      <c r="Q33" s="168">
        <f>IF(C70, IF(VLOOKUP(Name,Champs!A2:AE200,31,FALSE),0.08 + 0.0008 * Self_BaAD, 0.06 + 0.0006 * Self_BaAD), 0)</f>
        <v>0</v>
      </c>
      <c r="R33" s="17"/>
    </row>
    <row r="34" spans="1:18" ht="17.399999999999999">
      <c r="A34" s="17"/>
      <c r="B34" s="715" t="str">
        <f>"// Magic Pen //"</f>
        <v>// Magic Pen //</v>
      </c>
      <c r="C34" s="707"/>
      <c r="D34" s="161" t="str">
        <f>"Items"</f>
        <v>Items</v>
      </c>
      <c r="E34" s="164">
        <f>IT_OH_Magic + IF(B_Ardent, 15, 0)</f>
        <v>0</v>
      </c>
      <c r="F34" s="165"/>
      <c r="G34" s="171"/>
      <c r="H34" s="161" t="str">
        <f>"True Damage onhit"</f>
        <v>True Damage onhit</v>
      </c>
      <c r="I34" s="163">
        <f>IF(AND(Name = "Master Yi",P_E &gt; 0, Steroid_E), 25 + 5 * P_E + 0.3 * Self_BoAD, 0) + IF(AND(Name = "Bel'Veth", P_R &gt; 0), (3 + 1.5 * P_R + 0.09 * Self_BoAD) * S_Harvest / 2, 0)</f>
        <v>0</v>
      </c>
      <c r="J34" s="165" t="str">
        <f>"Q Cooldown"</f>
        <v>Q Cooldown</v>
      </c>
      <c r="K34" s="224">
        <f>IF(OR(P_Q &gt; 0, Name = "Aphelios"), VLOOKUP(Name, Champs!A2:AC200, 26, FALSE), 0) / IF(OR(NOT(Name = "Yasuo"),NOT(Name = "K'Sante")), (1 + Self_AH + Q33 + Q34 + IF(AND(Name = "Sona", Steroid_P), 0.6, 0)), 1)</f>
        <v>0</v>
      </c>
      <c r="L34" s="165"/>
      <c r="M34" s="171"/>
      <c r="N34" s="161" t="str">
        <f>"Krakenslayer dmg"</f>
        <v>Krakenslayer dmg</v>
      </c>
      <c r="O34" s="221" t="e">
        <f ca="1">IF(Calc!C42, 35 + 50 * Sc_Lin + 0.65 * Self_AD + 0.6 * Self_AP) * MOD_Phys * IF(Name = "Bel'Veth", 0.25, 1) * IF(Steroid_Items, 2, 1)</f>
        <v>#NAME?</v>
      </c>
      <c r="P34" s="218" t="str">
        <f>"Radiant CD"</f>
        <v>Radiant CD</v>
      </c>
      <c r="Q34" s="171">
        <f>IF(C67, 0.15, 0)</f>
        <v>0</v>
      </c>
      <c r="R34" s="17"/>
    </row>
    <row r="35" spans="1:18" ht="13.2">
      <c r="A35" s="17"/>
      <c r="B35" s="155" t="str">
        <f>"Items"</f>
        <v>Items</v>
      </c>
      <c r="C35" s="156">
        <f>IT_Mpen</f>
        <v>0</v>
      </c>
      <c r="D35" s="155" t="str">
        <f>"Runes"</f>
        <v>Runes</v>
      </c>
      <c r="E35" s="156">
        <f>0</f>
        <v>0</v>
      </c>
      <c r="F35" s="155" t="str">
        <f>"Rageblade DPS"</f>
        <v>Rageblade DPS</v>
      </c>
      <c r="G35" s="156">
        <f>(Self_AS / 3) * MOD_OH * (
IF(Name = "Diana", Champs!$Y$25, 0) +
IF(Name = "Master Yi", Champs!$Y$77, 0) +
IF(AND(Name = "Neeko", P_W &gt; 0), Champs!$V$84, 0) +
IF(AND(Name = "Twisted Fate", P_E &gt; 0), Champs!$W$131, 0) +
IF(AND(Name = "Vayne", P_W &gt; 0), Champs!$V$136, 0) +
IF(Name = "Akshan", Champs!$Y$6 * 2, 0)) +
IF(Name = "Kai'Sa", (Self_AS / 5) * MOD_OH * Champs!$Y$53, 0) +
IF(AND(Name = "Jax", P_R &gt; 0), (10 + 50 * P_R + 0.6 * Self_AP) * MOD_Magic, 0) * (Self_AS / IF(Steroid_R, 2, 3)) * MOD_OH</f>
        <v>0</v>
      </c>
      <c r="H35" s="158" t="str">
        <f>"Vladimir bonus calc"</f>
        <v>Vladimir bonus calc</v>
      </c>
      <c r="I35" s="168">
        <f>I30 * 0.97 + 3.65 * E3</f>
        <v>0</v>
      </c>
      <c r="J35" s="225" t="str">
        <f>"W Cooldown"</f>
        <v>W Cooldown</v>
      </c>
      <c r="K35" s="226">
        <f>IF(OR(P_W &gt; 0, Name = "Aphelios"), VLOOKUP(Name, Champs!A2:AC200, 27, FALSE), 0) / IF(NOT(Name = "Vayne"), (1 + Self_AH + Q33 + Q34 + IF(AND(Name = "Sona",Steroid_P), 0.6, 0)), 1)</f>
        <v>0</v>
      </c>
      <c r="L35" s="158"/>
      <c r="M35" s="168"/>
      <c r="N35" s="158" t="str">
        <f>"Navori"</f>
        <v>Navori</v>
      </c>
      <c r="O35" s="128">
        <f>IF(C71,Self_Crit * 0.2,0) + 1</f>
        <v>1</v>
      </c>
      <c r="P35" s="128"/>
      <c r="Q35" s="168"/>
      <c r="R35" s="17"/>
    </row>
    <row r="36" spans="1:18" ht="13.2">
      <c r="A36" s="17"/>
      <c r="B36" s="161" t="str">
        <f>"Runes"</f>
        <v>Runes</v>
      </c>
      <c r="C36" s="164">
        <f>Runes!H10*(6/7)</f>
        <v>0</v>
      </c>
      <c r="D36" s="161" t="str">
        <f>"Passives"</f>
        <v>Passives</v>
      </c>
      <c r="E36" s="164">
        <v>0</v>
      </c>
      <c r="F36" s="161" t="str">
        <f>"Champion abilities"</f>
        <v>Champion abilities</v>
      </c>
      <c r="G36" s="162">
        <f>IF(Name = "Caitlyn", (Self_AS / 7) * Champs!$Y$19, 0) +
IF(Name = "Quinn", Champs!$Y$95 / Champs!$AD$95, 0) +
IF(Name = "Senna", Champs!$Y$107 / Champs!$AD$107 + 0.2 * Self_AD * MOD_Heal * Self_AS, 0) +
IF(Name = "Sett", Self_AS * Champs!$Y$109, 0) +
IF(Name = "Urgot", Champs!$Y$134 / Champs!$AD$134, 0) +
IF(AND(Name = "Kayle", OR(Steroid_P, Self_Level &gt; 15), Self_Level &gt; 10), (10 + 5 * P_E + 0.25 * Self_AP + 0.1 * Self_BoAD) * Self_AS * MOD_Magic, 0) +
IF(AND(Name = "Kennen", P_W &gt; 0), (25 + 10 * P_W + 0.35 * Self_AP + (0.1 * P_W + 0.7) * Self_BoAD) * MOD_Magic * (Self_AS / 5), 0)</f>
        <v>0</v>
      </c>
      <c r="H36" s="165" t="str">
        <f>"Zeri Uncapped"</f>
        <v>Zeri Uncapped</v>
      </c>
      <c r="I36" s="171" t="e">
        <f>(IF(C19 + C24 * C23 &gt; C25, C19 + C24 * C23 - C25, 0) / C24) * 70</f>
        <v>#DIV/0!</v>
      </c>
      <c r="J36" s="165" t="str">
        <f>"E Cooldown"</f>
        <v>E Cooldown</v>
      </c>
      <c r="K36" s="224">
        <f>IF(P_E &gt; 0, VLOOKUP(Name, Champs!A2:AC200, 28, FALSE), 0) / (1 + Self_AH + Q33 + Q34 + IF(AND(Name = "Sona", Steroid_P), 0.6, 0))</f>
        <v>0</v>
      </c>
      <c r="L36" s="165"/>
      <c r="M36" s="171"/>
      <c r="N36" s="165" t="str">
        <f>"Duskblade"</f>
        <v>Duskblade</v>
      </c>
      <c r="O36" s="218">
        <f>IF(C49, (1 + 0.2 * (1 - (MAX(30, E_CHP) - 30) / 70)), 1)</f>
        <v>1</v>
      </c>
      <c r="P36" s="218"/>
      <c r="Q36" s="163"/>
      <c r="R36" s="17"/>
    </row>
    <row r="37" spans="1:18" ht="13.8">
      <c r="A37" s="17"/>
      <c r="B37" s="173" t="str">
        <f>"Magicpen Flat"</f>
        <v>Magicpen Flat</v>
      </c>
      <c r="C37" s="227">
        <f>C35+C36</f>
        <v>0</v>
      </c>
      <c r="D37" s="155" t="str">
        <f>"Actives"</f>
        <v>Actives</v>
      </c>
      <c r="E37" s="156">
        <f>IF(AND(Name = "Blitzcrank",Steroid_W,P_W &gt; 0), 0.01 * E_MHP, 0) +
IF(AND(Name = "Fizz", P_W &gt; 0, Steroid_W), 5 + 5 * P_W + 0.35 * Self_AP, 0) +
IF(AND(Name = "Gwen", P_E &gt; 0, Steroid_E), 15 + 0.2 * Self_AP, 0) +
IF(AND(Name = "Kog'Maw", P_W &gt; 0, Steroid_W), (0.0225 + 0.0075 * P_W + 0.0001 * Self_AP) * E_MHP, 0) +
IF(AND(Name = "Nautilus", P_W &gt; 0, Steroid_W), 20 + 10 * P_W + 0.4 * Self_AP, 0) +
IF(AND(Name = "Zeri", P_E &gt; 0, Steroid_E), (18 + 2 * P_E + 0.12 * Self_BoAD + 0.2 * Self_AP) * (1 + 0.85 * Self_Crit), 0) +
IF(AND(Name = "Lucian", P_W &gt; 0, Steroid_W), 14 + 0.2 * Self_AD, 0)</f>
        <v>0</v>
      </c>
      <c r="F37" s="155" t="str">
        <f>"Item DPS"</f>
        <v>Item DPS</v>
      </c>
      <c r="G37" s="157" t="e">
        <f ca="1">(OH_Magic + OH_Phys + OH_True) * MOD_OH * IF(Name = "Jhin", 1 / ((1 / Self_AS) + 0.625), Self_AS * IF(Name = "Akshan", 2, 1)) +
IT_Proc_Energy * (Self_AS / IF(Name = "Akshan", 6, 12)) * MOD_Magic +
O34 * (Self_AS / IF(Name = "Akshan", 1.5, 3)) +
IF(C59, IF(Steroid_Items, 1.6, 1.3), 1) * IF(C58, 15 + 0.0175 * Self_BoHP, 0) * MOD_Magic +
IF(C57, 12 + 0.01 * Self_BoHP, 0)</f>
        <v>#NAME?</v>
      </c>
      <c r="H37" s="155" t="str">
        <f>"Belveth extra life"</f>
        <v>Belveth extra life</v>
      </c>
      <c r="I37" s="175">
        <f>(0.9 * E3 + 1.2 * (C3 + C4) * C9 + 50 + 50 * P_R) * 1.055</f>
        <v>52.75</v>
      </c>
      <c r="J37" s="158" t="str">
        <f>"R Cooldown"</f>
        <v>R Cooldown</v>
      </c>
      <c r="K37" s="226">
        <f>IF(OR(P_R &gt; 0, AND(Name = "Aphelios", Self_Level &gt;= 6)), VLOOKUP(Name, Champs!A2:AC200, 29, FALSE), 0) * IF(NOT(Name = "Corki"), (1 / (1 + Self_AH + R_Ultimate)),1)</f>
        <v>0</v>
      </c>
      <c r="L37" s="158"/>
      <c r="M37" s="168"/>
      <c r="N37" s="158"/>
      <c r="O37" s="228"/>
      <c r="P37" s="128"/>
      <c r="Q37" s="175"/>
      <c r="R37" s="17"/>
    </row>
    <row r="38" spans="1:18" ht="13.8">
      <c r="A38" s="17"/>
      <c r="B38" s="185" t="str">
        <f>"Magicpen %"</f>
        <v>Magicpen %</v>
      </c>
      <c r="C38" s="222" t="e">
        <f ca="1">1-IT_MPenP*IF(AND(Name="Mordekaiser",P_E&gt;0),1-(0.025+0.025*P_E),1)</f>
        <v>#NAME?</v>
      </c>
      <c r="D38" s="185" t="str">
        <f>"Total Magical"</f>
        <v>Total Magical</v>
      </c>
      <c r="E38" s="208" t="e">
        <f ca="1">(E34 + E35 + E36 + E37) * MOD_Magic * IF(Name = "Bel'Veth", 0.75, 1)</f>
        <v>#NAME?</v>
      </c>
      <c r="F38" s="185" t="str">
        <f>"DPS"</f>
        <v>DPS</v>
      </c>
      <c r="G38" s="186" t="e">
        <f ca="1">IF(Name = "Zeri", Self_HitDmg * Self_AS, IF(AND(Name = "Urgot", P_W &gt; 0, Steroid_W), Self_HitDmg * Self_AS, 0) +
IF(AND(Name = "Urgot", P_W &gt; 0, Steroid_W), 0,
IF(Name = "Jhin",1 / ((1 / Self_AS) + 0.625), Self_AS) *
IF(Name = "Corki", (0.2 * MOD_Hit + 0.8 * MOD_Magic * M11) * Self_AD,
IF(Name = "Yone", (0.75 * MOD_Hit + 0.25 * MOD_Magic * M11) * Self_AD, Self_AD * MOD_Hit))) *
IF(OR(Name = "Ashe", C47), 1, 1 + Self_Crit * (Self_CritDMG - 1)) + G35 + G36 + G37 +
IF(Name = "Akshan", 0.5 * Self_AD * MOD_Hit * (1 + 0.3 * (Self_Crit * (Self_CritDMG - 1))), 0))</f>
        <v>#NAME?</v>
      </c>
      <c r="H38" s="188"/>
      <c r="I38" s="210"/>
      <c r="J38" s="188" t="str">
        <f>"P Cooldown"</f>
        <v>P Cooldown</v>
      </c>
      <c r="K38" s="229">
        <f>IF(NOT(Name = "Aphelios"), VLOOKUP(Name, Champs!A2:AD200, 30, FALSE), 0)</f>
        <v>0</v>
      </c>
      <c r="L38" s="188"/>
      <c r="M38" s="230"/>
      <c r="N38" s="188"/>
      <c r="O38" s="231"/>
      <c r="P38" s="231"/>
      <c r="Q38" s="232"/>
      <c r="R38" s="17"/>
    </row>
    <row r="39" spans="1:18" ht="13.2">
      <c r="A39" s="17"/>
      <c r="B39" s="17"/>
      <c r="C39" s="233"/>
      <c r="D39" s="17"/>
      <c r="E39" s="233"/>
      <c r="F39" s="17"/>
      <c r="G39" s="153"/>
      <c r="H39" s="17"/>
      <c r="I39" s="17"/>
      <c r="J39" s="17"/>
      <c r="K39" s="17"/>
      <c r="L39" s="17"/>
      <c r="M39" s="17"/>
      <c r="N39" s="17"/>
      <c r="O39" s="17"/>
      <c r="P39" s="17"/>
      <c r="Q39" s="17"/>
      <c r="R39" s="17"/>
    </row>
    <row r="40" spans="1:18" ht="17.399999999999999">
      <c r="A40" s="17"/>
      <c r="B40" s="716" t="str">
        <f>"// Variables //"</f>
        <v>// Variables //</v>
      </c>
      <c r="C40" s="657"/>
      <c r="D40" s="657"/>
      <c r="E40" s="657"/>
      <c r="F40" s="657"/>
      <c r="G40" s="657"/>
      <c r="H40" s="657"/>
      <c r="I40" s="657"/>
      <c r="J40" s="657"/>
      <c r="K40" s="657"/>
      <c r="L40" s="657"/>
      <c r="M40" s="657"/>
      <c r="N40" s="657"/>
      <c r="O40" s="657"/>
      <c r="P40" s="657"/>
      <c r="Q40" s="657"/>
      <c r="R40" s="17"/>
    </row>
    <row r="41" spans="1:18" ht="13.2">
      <c r="A41" s="17"/>
      <c r="B41" s="713" t="str">
        <f>"Items"</f>
        <v>Items</v>
      </c>
      <c r="C41" s="714"/>
      <c r="D41" s="72" t="str">
        <f>"Magical Health"</f>
        <v>Magical Health</v>
      </c>
      <c r="E41" s="72">
        <f>Self_MHP * (1 + Self_MR / 100)
/ IF(B_Chem, 0.89, 1)
/ IF(AND(Name = "Alistar", Steroid_R, P_R &gt; 0), 1 - (0.45 + 0.1 * P_R), 1)
/ IF(AND(Name = "Braum", Steroid_E, P_E &gt; 0), 1 - (0.3 + 0.05 * P_E), 1)
/ IF(AND(Name = "Warwick", Steroid_E, P_E &gt; 0), 1 - (0.3 + 0.05 * P_E), 1)</f>
        <v>0</v>
      </c>
      <c r="F41" s="72" t="str">
        <f>"Physical Shield Health"</f>
        <v>Physical Shield Health</v>
      </c>
      <c r="G41" s="72">
        <f>Self_Shield * (1 + Self_AR / 100)
/ IF(B_Chem, 0.89, 1)
/ IF(AND(Name = "Alistar", Steroid_R, P_R &gt; 0),1 - (0.45 + 0.1 * P_R), 1)
/ IF(AND(Name = "Braum", Steroid_E, P_E &gt; 0), 1 - (0.3 + 0.05 * P_E), 1)
/ IF(AND(Name = "Warwick", Steroid_E, P_E &gt; 0),1 - (0.3 + 0.05 * P_E), 1)</f>
        <v>0</v>
      </c>
      <c r="H41" s="72"/>
      <c r="I41" s="72"/>
      <c r="J41" s="72"/>
      <c r="K41" s="72"/>
      <c r="L41" s="72" t="str">
        <f>"Interface Health"</f>
        <v>Interface Health</v>
      </c>
      <c r="M41" s="72">
        <v>0</v>
      </c>
      <c r="N41" s="72"/>
      <c r="O41" s="72"/>
      <c r="P41" s="72"/>
      <c r="Q41" s="72"/>
      <c r="R41" s="17"/>
    </row>
    <row r="42" spans="1:18" ht="13.2">
      <c r="A42" s="17"/>
      <c r="B42" s="234" t="str">
        <f>"Kraken"</f>
        <v>Kraken</v>
      </c>
      <c r="C42" s="235" t="b">
        <f>OR(Items!AI72,Items!AJ72)</f>
        <v>0</v>
      </c>
      <c r="D42" s="76" t="str">
        <f>"Physical Health"</f>
        <v>Physical Health</v>
      </c>
      <c r="E42" s="76">
        <f>Self_MHP * (1 + Self_AR / 100)
/ IF(B_Chem, 0.89, 1)
/ IF(AND(Name = "Alistar", Steroid_R, P_R &gt; 0),1 - (0.45 + 0.1 * P_R), 1)
/ IF(AND(Name = "Braum", Steroid_E, P_E &gt; 0), 1 - (0.3 + 0.05 * P_E), 1)
/ IF(AND(Name = "Warwick", Steroid_E, P_E &gt; 0),1 - (0.3 + 0.05 * P_E), 1)</f>
        <v>0</v>
      </c>
      <c r="F42" s="76" t="str">
        <f>"Magical Shield Health"</f>
        <v>Magical Shield Health</v>
      </c>
      <c r="G42" s="76">
        <f>Self_Shield * (1 + Self_MR / 100)
/ IF(B_Chem, 0.89, 1)
/ IF(AND(C63, Steroid_Items), 0.75, 1)
/ IF(AND(Name = "Alistar", Steroid_R, P_R &gt; 0), 1 - (0.45 + 0.1 * P_R), 1)
/ IF(AND(Name = "Braum", Steroid_E, P_E &gt; 0), 1 - (0.3 + 0.05 * P_E), 1)
/ IF(AND(Name = "Warwick", Steroid_E, P_E &gt; 0), 1 - (0.3 + 0.05 * P_E), 1)</f>
        <v>0</v>
      </c>
      <c r="H42" s="76"/>
      <c r="I42" s="76"/>
      <c r="J42" s="76"/>
      <c r="K42" s="76"/>
      <c r="L42" s="76" t="str">
        <f>"Range"</f>
        <v>Range</v>
      </c>
      <c r="M42" s="76">
        <f>VLOOKUP(Name, Champs!A:T, 20, FALSE) + IF(AND(Steroid_Runes, Runes!C3), 50, 0)</f>
        <v>0</v>
      </c>
      <c r="N42" s="76"/>
      <c r="O42" s="76"/>
      <c r="P42" s="76"/>
      <c r="Q42" s="76"/>
      <c r="R42" s="17"/>
    </row>
    <row r="43" spans="1:18" ht="13.2">
      <c r="A43" s="17"/>
      <c r="B43" s="236" t="str">
        <f>"Trinity"</f>
        <v>Trinity</v>
      </c>
      <c r="C43" s="237" t="b">
        <f>OR(Items!AI187,Items!AJ187,Items!AI217,Items!AJ217)</f>
        <v>0</v>
      </c>
      <c r="D43" s="72"/>
      <c r="E43" s="72"/>
      <c r="F43" s="72" t="str">
        <f>"Lifesteal / Hit"</f>
        <v>Lifesteal / Hit</v>
      </c>
      <c r="G43" s="238" t="e">
        <f ca="1">ROUND((Self_AvgAA + OH_Phys) * Self_LS * MOD_SelfHeal + OH_Magic * Self_SV * MOD_SelfHeal + O20,0)</f>
        <v>#NAME?</v>
      </c>
      <c r="H43" s="72"/>
      <c r="I43" s="72"/>
      <c r="J43" s="72"/>
      <c r="K43" s="72"/>
      <c r="L43" s="72"/>
      <c r="M43" s="72"/>
      <c r="N43" s="72"/>
      <c r="O43" s="72"/>
      <c r="P43" s="72"/>
      <c r="Q43" s="72"/>
      <c r="R43" s="17"/>
    </row>
    <row r="44" spans="1:18" ht="13.2">
      <c r="A44" s="17"/>
      <c r="B44" s="234" t="str">
        <f>"ManaMuna"</f>
        <v>ManaMuna</v>
      </c>
      <c r="C44" s="235" t="b">
        <f>OR(Items!AI80,Items!AJ80,Items!AI89,Items!AJ89)</f>
        <v>0</v>
      </c>
      <c r="D44" s="76"/>
      <c r="E44" s="76"/>
      <c r="F44" s="76"/>
      <c r="G44" s="76"/>
      <c r="H44" s="76"/>
      <c r="I44" s="76"/>
      <c r="J44" s="76"/>
      <c r="K44" s="76"/>
      <c r="L44" s="717"/>
      <c r="M44" s="657"/>
      <c r="N44" s="76"/>
      <c r="O44" s="76"/>
      <c r="P44" s="76"/>
      <c r="Q44" s="76"/>
      <c r="R44" s="17"/>
    </row>
    <row r="45" spans="1:18" ht="13.2">
      <c r="A45" s="17"/>
      <c r="B45" s="236" t="str">
        <f>"Mejai"</f>
        <v>Mejai</v>
      </c>
      <c r="C45" s="237" t="b">
        <f>OR(Items!AI82,Items!AJ82)</f>
        <v>0</v>
      </c>
      <c r="D45" s="72"/>
      <c r="E45" s="72"/>
      <c r="F45" s="72"/>
      <c r="G45" s="72"/>
      <c r="H45" s="72"/>
      <c r="I45" s="72"/>
      <c r="J45" s="72"/>
      <c r="K45" s="72"/>
      <c r="L45" s="72"/>
      <c r="M45" s="72"/>
      <c r="N45" s="72"/>
      <c r="O45" s="72"/>
      <c r="P45" s="72"/>
      <c r="Q45" s="72"/>
      <c r="R45" s="17"/>
    </row>
    <row r="46" spans="1:18" ht="13.2">
      <c r="A46" s="17"/>
      <c r="B46" s="234" t="str">
        <f>"Darkseal"</f>
        <v>Darkseal</v>
      </c>
      <c r="C46" s="235" t="b">
        <f>OR(Items!AI38,Items!AJ38)</f>
        <v>0</v>
      </c>
      <c r="D46" s="76"/>
      <c r="E46" s="76"/>
      <c r="F46" s="76"/>
      <c r="G46" s="76"/>
      <c r="H46" s="76"/>
      <c r="I46" s="76"/>
      <c r="J46" s="76"/>
      <c r="K46" s="76"/>
      <c r="L46" s="76"/>
      <c r="M46" s="76"/>
      <c r="N46" s="76"/>
      <c r="O46" s="76"/>
      <c r="P46" s="76"/>
      <c r="Q46" s="76"/>
      <c r="R46" s="17"/>
    </row>
    <row r="47" spans="1:18" ht="13.2">
      <c r="A47" s="17"/>
      <c r="B47" s="236" t="str">
        <f>"Rageblade"</f>
        <v>Rageblade</v>
      </c>
      <c r="C47" s="237" t="b">
        <f>OR(Items!AI170,Items!AJ170,Items!AI200,Items!AJ200)</f>
        <v>0</v>
      </c>
      <c r="D47" s="72"/>
      <c r="E47" s="72"/>
      <c r="F47" s="72"/>
      <c r="G47" s="72"/>
      <c r="H47" s="72"/>
      <c r="I47" s="72"/>
      <c r="J47" s="72"/>
      <c r="K47" s="72"/>
      <c r="L47" s="72"/>
      <c r="M47" s="72"/>
      <c r="N47" s="72"/>
      <c r="O47" s="72"/>
      <c r="P47" s="72"/>
      <c r="Q47" s="72"/>
      <c r="R47" s="17"/>
    </row>
    <row r="48" spans="1:18" ht="13.2">
      <c r="A48" s="17"/>
      <c r="B48" s="234" t="str">
        <f>"Titanic"</f>
        <v>Titanic</v>
      </c>
      <c r="C48" s="235" t="b">
        <f>OR(Items!AI143,Items!AJ143)</f>
        <v>0</v>
      </c>
      <c r="D48" s="76"/>
      <c r="E48" s="76"/>
      <c r="F48" s="76"/>
      <c r="G48" s="76"/>
      <c r="H48" s="76"/>
      <c r="I48" s="76"/>
      <c r="J48" s="76"/>
      <c r="K48" s="76"/>
      <c r="L48" s="76"/>
      <c r="M48" s="76"/>
      <c r="N48" s="76"/>
      <c r="O48" s="76"/>
      <c r="P48" s="76"/>
      <c r="Q48" s="76"/>
      <c r="R48" s="17"/>
    </row>
    <row r="49" spans="1:18" ht="13.2">
      <c r="A49" s="17"/>
      <c r="B49" s="236" t="str">
        <f>"Duskblade"</f>
        <v>Duskblade</v>
      </c>
      <c r="C49" s="237" t="b">
        <f>OR(Items!AI163,Items!AJ163,Items!AI193,Items!AJ193)</f>
        <v>0</v>
      </c>
      <c r="D49" s="72"/>
      <c r="E49" s="72"/>
      <c r="F49" s="72"/>
      <c r="G49" s="72"/>
      <c r="H49" s="72"/>
      <c r="I49" s="72"/>
      <c r="J49" s="72"/>
      <c r="K49" s="72"/>
      <c r="L49" s="72"/>
      <c r="M49" s="72"/>
      <c r="N49" s="72"/>
      <c r="O49" s="72"/>
      <c r="P49" s="72"/>
      <c r="Q49" s="72"/>
      <c r="R49" s="17"/>
    </row>
    <row r="50" spans="1:18" ht="13.2">
      <c r="A50" s="17"/>
      <c r="B50" s="234" t="str">
        <f>"Rabadon"</f>
        <v>Rabadon</v>
      </c>
      <c r="C50" s="235" t="b">
        <f>OR(Items!AI103,Items!AJ103)</f>
        <v>0</v>
      </c>
      <c r="D50" s="76"/>
      <c r="E50" s="76"/>
      <c r="F50" s="76"/>
      <c r="G50" s="76"/>
      <c r="H50" s="76"/>
      <c r="I50" s="76"/>
      <c r="J50" s="76"/>
      <c r="K50" s="76"/>
      <c r="L50" s="76"/>
      <c r="M50" s="76"/>
      <c r="N50" s="76"/>
      <c r="O50" s="76"/>
      <c r="P50" s="76"/>
      <c r="Q50" s="76"/>
      <c r="R50" s="17"/>
    </row>
    <row r="51" spans="1:18" ht="13.2">
      <c r="A51" s="17"/>
      <c r="B51" s="236" t="str">
        <f>"Warmog"</f>
        <v>Warmog</v>
      </c>
      <c r="C51" s="237" t="b">
        <f>OR(Items!AI151,Items!AJ151)</f>
        <v>0</v>
      </c>
      <c r="D51" s="72"/>
      <c r="E51" s="72"/>
      <c r="F51" s="72"/>
      <c r="G51" s="72"/>
      <c r="H51" s="72"/>
      <c r="I51" s="72"/>
      <c r="J51" s="72"/>
      <c r="K51" s="72"/>
      <c r="L51" s="72"/>
      <c r="M51" s="72"/>
      <c r="N51" s="72"/>
      <c r="O51" s="72"/>
      <c r="P51" s="239" t="str">
        <f>"Language"</f>
        <v>Language</v>
      </c>
      <c r="Q51" s="240">
        <f>IF(Q50="English",0,IF(Q50="中文",1,IF(Q50="한국어",2,IF(Q50="Español",3,IF(Q50="Deutsch",4,0)))))</f>
        <v>0</v>
      </c>
      <c r="R51" s="17"/>
    </row>
    <row r="52" spans="1:18" ht="13.2">
      <c r="A52" s="17"/>
      <c r="B52" s="234" t="str">
        <f>"SpiritVisage"</f>
        <v>SpiritVisage</v>
      </c>
      <c r="C52" s="235" t="b">
        <f>OR(Items!AI131,Items!AJ131)</f>
        <v>0</v>
      </c>
      <c r="D52" s="76"/>
      <c r="E52" s="76"/>
      <c r="F52" s="76"/>
      <c r="G52" s="76"/>
      <c r="H52" s="76"/>
      <c r="I52" s="76"/>
      <c r="J52" s="76"/>
      <c r="K52" s="76"/>
      <c r="L52" s="76"/>
      <c r="M52" s="76"/>
      <c r="N52" s="76"/>
      <c r="O52" s="76"/>
      <c r="P52" s="712" t="str">
        <f>"Aphelios Crescendo"</f>
        <v>Aphelios Crescendo</v>
      </c>
      <c r="Q52" s="707"/>
      <c r="R52" s="17"/>
    </row>
    <row r="53" spans="1:18" ht="13.2">
      <c r="A53" s="17"/>
      <c r="B53" s="236" t="str">
        <f>"Dorans Shield"</f>
        <v>Dorans Shield</v>
      </c>
      <c r="C53" s="237" t="b">
        <f>OR(Items!AI44,Items!AJ44)</f>
        <v>0</v>
      </c>
      <c r="D53" s="72"/>
      <c r="E53" s="72"/>
      <c r="F53" s="72"/>
      <c r="G53" s="72"/>
      <c r="H53" s="72"/>
      <c r="I53" s="72"/>
      <c r="J53" s="72"/>
      <c r="K53" s="72"/>
      <c r="L53" s="72"/>
      <c r="M53" s="72"/>
      <c r="N53" s="72"/>
      <c r="O53" s="72"/>
      <c r="P53" s="241">
        <f t="shared" ref="P53:Q53" si="1">0</f>
        <v>0</v>
      </c>
      <c r="Q53" s="237">
        <f t="shared" si="1"/>
        <v>0</v>
      </c>
      <c r="R53" s="17"/>
    </row>
    <row r="54" spans="1:18" ht="13.2">
      <c r="A54" s="17"/>
      <c r="B54" s="234" t="str">
        <f>"Black Cleaver"</f>
        <v>Black Cleaver</v>
      </c>
      <c r="C54" s="235" t="b">
        <f>OR(Items!AI16,Items!AJ16)</f>
        <v>0</v>
      </c>
      <c r="D54" s="76"/>
      <c r="E54" s="76"/>
      <c r="F54" s="76"/>
      <c r="G54" s="76"/>
      <c r="H54" s="76"/>
      <c r="I54" s="76"/>
      <c r="J54" s="76"/>
      <c r="K54" s="76"/>
      <c r="L54" s="76"/>
      <c r="M54" s="76"/>
      <c r="N54" s="76"/>
      <c r="O54" s="76"/>
      <c r="P54" s="242">
        <f t="shared" ref="P54:P73" si="2">P53 + 1</f>
        <v>1</v>
      </c>
      <c r="Q54" s="235">
        <f>0.15</f>
        <v>0.15</v>
      </c>
      <c r="R54" s="17"/>
    </row>
    <row r="55" spans="1:18" ht="13.2">
      <c r="A55" s="17"/>
      <c r="B55" s="236" t="str">
        <f>"Riftmaker"</f>
        <v>Riftmaker</v>
      </c>
      <c r="C55" s="237" t="b">
        <f>OR(Items!AI183,Items!AJ183,Items!AI213,Items!AJ213)</f>
        <v>0</v>
      </c>
      <c r="D55" s="72"/>
      <c r="E55" s="72"/>
      <c r="F55" s="72"/>
      <c r="G55" s="72"/>
      <c r="H55" s="72"/>
      <c r="I55" s="72"/>
      <c r="J55" s="72"/>
      <c r="K55" s="72"/>
      <c r="L55" s="72"/>
      <c r="M55" s="72"/>
      <c r="N55" s="72"/>
      <c r="O55" s="72"/>
      <c r="P55" s="241">
        <f t="shared" si="2"/>
        <v>2</v>
      </c>
      <c r="Q55" s="237">
        <f>0.28</f>
        <v>0.28000000000000003</v>
      </c>
      <c r="R55" s="17"/>
    </row>
    <row r="56" spans="1:18" ht="13.2">
      <c r="A56" s="17"/>
      <c r="B56" s="234" t="str">
        <f>"Vigilant Wardstone"</f>
        <v>Vigilant Wardstone</v>
      </c>
      <c r="C56" s="235" t="b">
        <f>OR(Items!AI148,Items!AJ148)</f>
        <v>0</v>
      </c>
      <c r="D56" s="76"/>
      <c r="E56" s="76"/>
      <c r="F56" s="76"/>
      <c r="G56" s="76"/>
      <c r="H56" s="76"/>
      <c r="I56" s="76"/>
      <c r="J56" s="76"/>
      <c r="K56" s="76"/>
      <c r="L56" s="76"/>
      <c r="M56" s="76"/>
      <c r="N56" s="76"/>
      <c r="O56" s="76"/>
      <c r="P56" s="242">
        <f t="shared" si="2"/>
        <v>3</v>
      </c>
      <c r="Q56" s="235">
        <f>0.435</f>
        <v>0.435</v>
      </c>
      <c r="R56" s="17"/>
    </row>
    <row r="57" spans="1:18" ht="13.2">
      <c r="A57" s="17"/>
      <c r="B57" s="236" t="str">
        <f>"Bamis Cinder"</f>
        <v>Bamis Cinder</v>
      </c>
      <c r="C57" s="237" t="b">
        <f>OR(Items!AI12,Items!AJ12)</f>
        <v>0</v>
      </c>
      <c r="D57" s="72"/>
      <c r="E57" s="72"/>
      <c r="F57" s="72"/>
      <c r="G57" s="72"/>
      <c r="H57" s="72"/>
      <c r="I57" s="72"/>
      <c r="J57" s="72"/>
      <c r="K57" s="72"/>
      <c r="L57" s="72"/>
      <c r="M57" s="72"/>
      <c r="N57" s="72"/>
      <c r="O57" s="72"/>
      <c r="P57" s="241">
        <f t="shared" si="2"/>
        <v>4</v>
      </c>
      <c r="Q57" s="237">
        <f>0.575</f>
        <v>0.57499999999999996</v>
      </c>
      <c r="R57" s="17"/>
    </row>
    <row r="58" spans="1:18" ht="13.2">
      <c r="A58" s="17"/>
      <c r="B58" s="234" t="str">
        <f>"Sunfire Item"</f>
        <v>Sunfire Item</v>
      </c>
      <c r="C58" s="235" t="b">
        <f>OR(Items!AI137,Items!AJ137)</f>
        <v>0</v>
      </c>
      <c r="D58" s="76"/>
      <c r="E58" s="76"/>
      <c r="F58" s="76"/>
      <c r="G58" s="76"/>
      <c r="H58" s="76"/>
      <c r="I58" s="76"/>
      <c r="J58" s="76"/>
      <c r="K58" s="76"/>
      <c r="L58" s="76"/>
      <c r="M58" s="76"/>
      <c r="N58" s="76"/>
      <c r="O58" s="76"/>
      <c r="P58" s="242">
        <f t="shared" si="2"/>
        <v>5</v>
      </c>
      <c r="Q58" s="235">
        <f>0.7</f>
        <v>0.7</v>
      </c>
      <c r="R58" s="17"/>
    </row>
    <row r="59" spans="1:18" ht="13.2">
      <c r="A59" s="17"/>
      <c r="B59" s="243" t="str">
        <f>"Funfire Bonus"</f>
        <v>Funfire Bonus</v>
      </c>
      <c r="C59" s="244" t="b">
        <f>OR(Items!AI137,Items!AJ137)</f>
        <v>0</v>
      </c>
      <c r="D59" s="72"/>
      <c r="E59" s="72"/>
      <c r="F59" s="72"/>
      <c r="G59" s="72"/>
      <c r="H59" s="72"/>
      <c r="I59" s="72"/>
      <c r="J59" s="72"/>
      <c r="K59" s="72"/>
      <c r="L59" s="72"/>
      <c r="M59" s="72"/>
      <c r="N59" s="72"/>
      <c r="O59" s="72"/>
      <c r="P59" s="241">
        <f t="shared" si="2"/>
        <v>6</v>
      </c>
      <c r="Q59" s="237">
        <f>0.81</f>
        <v>0.81</v>
      </c>
      <c r="R59" s="17"/>
    </row>
    <row r="60" spans="1:18" ht="13.2">
      <c r="A60" s="17"/>
      <c r="B60" s="234" t="str">
        <f>"Fimbul"</f>
        <v>Fimbul</v>
      </c>
      <c r="C60" s="235" t="b">
        <f>OR(Items!AI50,Items!AJ50,Items!AI154,Items!AJ154)</f>
        <v>0</v>
      </c>
      <c r="D60" s="76"/>
      <c r="E60" s="76"/>
      <c r="F60" s="76"/>
      <c r="G60" s="76"/>
      <c r="H60" s="76"/>
      <c r="I60" s="76"/>
      <c r="J60" s="76"/>
      <c r="K60" s="76"/>
      <c r="L60" s="76"/>
      <c r="M60" s="76"/>
      <c r="N60" s="76"/>
      <c r="O60" s="76"/>
      <c r="P60" s="242">
        <f t="shared" si="2"/>
        <v>7</v>
      </c>
      <c r="Q60" s="235">
        <f>0.905</f>
        <v>0.90500000000000003</v>
      </c>
      <c r="R60" s="17"/>
    </row>
    <row r="61" spans="1:18" ht="13.2">
      <c r="A61" s="17"/>
      <c r="B61" s="245" t="str">
        <f>"Demonic Embrace"</f>
        <v>Demonic Embrace</v>
      </c>
      <c r="C61" s="246" t="b">
        <f>OR(Items!AI41,Items!AJ41)</f>
        <v>0</v>
      </c>
      <c r="D61" s="72"/>
      <c r="E61" s="72"/>
      <c r="F61" s="72"/>
      <c r="G61" s="72"/>
      <c r="H61" s="72"/>
      <c r="I61" s="72"/>
      <c r="J61" s="72"/>
      <c r="K61" s="72"/>
      <c r="L61" s="72"/>
      <c r="M61" s="72"/>
      <c r="N61" s="72"/>
      <c r="O61" s="72"/>
      <c r="P61" s="241">
        <f t="shared" si="2"/>
        <v>8</v>
      </c>
      <c r="Q61" s="237">
        <f>0.985</f>
        <v>0.98499999999999999</v>
      </c>
      <c r="R61" s="17"/>
    </row>
    <row r="62" spans="1:18" ht="13.2">
      <c r="A62" s="17"/>
      <c r="B62" s="247" t="str">
        <f>"Dorans Ring"</f>
        <v>Dorans Ring</v>
      </c>
      <c r="C62" s="235" t="b">
        <f>OR(Items!AI43,Items!AJ43)</f>
        <v>0</v>
      </c>
      <c r="D62" s="76"/>
      <c r="E62" s="76"/>
      <c r="F62" s="76"/>
      <c r="G62" s="76"/>
      <c r="H62" s="76"/>
      <c r="I62" s="76"/>
      <c r="J62" s="76"/>
      <c r="K62" s="76"/>
      <c r="L62" s="76"/>
      <c r="M62" s="76"/>
      <c r="N62" s="76"/>
      <c r="O62" s="76"/>
      <c r="P62" s="242">
        <f t="shared" si="2"/>
        <v>9</v>
      </c>
      <c r="Q62" s="235">
        <f>1.05</f>
        <v>1.05</v>
      </c>
      <c r="R62" s="17"/>
    </row>
    <row r="63" spans="1:18" ht="13.2">
      <c r="A63" s="17"/>
      <c r="B63" s="236"/>
      <c r="C63" s="248"/>
      <c r="D63" s="72"/>
      <c r="E63" s="72"/>
      <c r="F63" s="72"/>
      <c r="G63" s="72"/>
      <c r="H63" s="72"/>
      <c r="I63" s="72"/>
      <c r="J63" s="72"/>
      <c r="K63" s="72"/>
      <c r="L63" s="72"/>
      <c r="M63" s="72"/>
      <c r="N63" s="72"/>
      <c r="O63" s="72"/>
      <c r="P63" s="241">
        <f t="shared" si="2"/>
        <v>10</v>
      </c>
      <c r="Q63" s="237">
        <f>1.1</f>
        <v>1.1000000000000001</v>
      </c>
      <c r="R63" s="17"/>
    </row>
    <row r="64" spans="1:18" ht="13.2">
      <c r="A64" s="17"/>
      <c r="B64" s="234" t="str">
        <f>"Abyssal Mask"</f>
        <v>Abyssal Mask</v>
      </c>
      <c r="C64" s="249" t="b">
        <f>OR(Items!AI3,Items!AJ3)</f>
        <v>0</v>
      </c>
      <c r="D64" s="76"/>
      <c r="E64" s="76"/>
      <c r="F64" s="76"/>
      <c r="G64" s="76"/>
      <c r="H64" s="76"/>
      <c r="I64" s="76"/>
      <c r="J64" s="76"/>
      <c r="K64" s="76"/>
      <c r="L64" s="76"/>
      <c r="M64" s="76"/>
      <c r="N64" s="76"/>
      <c r="O64" s="76"/>
      <c r="P64" s="242">
        <f t="shared" si="2"/>
        <v>11</v>
      </c>
      <c r="Q64" s="235">
        <f t="shared" ref="Q64:Q73" si="3">Q63 + 0.05</f>
        <v>1.1500000000000001</v>
      </c>
      <c r="R64" s="17"/>
    </row>
    <row r="65" spans="1:18" ht="13.2">
      <c r="A65" s="17"/>
      <c r="B65" s="236" t="str">
        <f>"Gargoyle"</f>
        <v>Gargoyle</v>
      </c>
      <c r="C65" s="248" t="b">
        <f>OR(Items!AI55, Items!AJ55)</f>
        <v>0</v>
      </c>
      <c r="D65" s="72"/>
      <c r="E65" s="72"/>
      <c r="F65" s="72"/>
      <c r="G65" s="72"/>
      <c r="H65" s="72"/>
      <c r="I65" s="72"/>
      <c r="J65" s="72"/>
      <c r="K65" s="72"/>
      <c r="L65" s="72"/>
      <c r="M65" s="72"/>
      <c r="N65" s="72"/>
      <c r="O65" s="72"/>
      <c r="P65" s="241">
        <f t="shared" si="2"/>
        <v>12</v>
      </c>
      <c r="Q65" s="237">
        <f t="shared" si="3"/>
        <v>1.2000000000000002</v>
      </c>
      <c r="R65" s="17"/>
    </row>
    <row r="66" spans="1:18" ht="13.2">
      <c r="A66" s="17"/>
      <c r="B66" s="234" t="str">
        <f>"Jak'Sho"</f>
        <v>Jak'Sho</v>
      </c>
      <c r="C66" s="249" t="b">
        <f>AND(OR(Items!AI175, Items!AJ175, Items!AJ205, Items!AI205), Steroid_Items)</f>
        <v>0</v>
      </c>
      <c r="D66" s="76"/>
      <c r="E66" s="76"/>
      <c r="F66" s="76"/>
      <c r="G66" s="76"/>
      <c r="H66" s="76"/>
      <c r="I66" s="76"/>
      <c r="J66" s="76"/>
      <c r="K66" s="76"/>
      <c r="L66" s="76"/>
      <c r="M66" s="76"/>
      <c r="N66" s="712" t="str">
        <f>"Skillpoints"</f>
        <v>Skillpoints</v>
      </c>
      <c r="O66" s="707"/>
      <c r="P66" s="242">
        <f t="shared" si="2"/>
        <v>13</v>
      </c>
      <c r="Q66" s="235">
        <f t="shared" si="3"/>
        <v>1.2500000000000002</v>
      </c>
      <c r="R66" s="17"/>
    </row>
    <row r="67" spans="1:18" ht="13.2">
      <c r="A67" s="17"/>
      <c r="B67" s="236" t="str">
        <f>"Radiant"</f>
        <v>Radiant</v>
      </c>
      <c r="C67" s="248" t="b">
        <f>AND(OR(Items!AI182, Items!AJ182, Items!AI212, Items!AJ212), Steroid_Items)</f>
        <v>0</v>
      </c>
      <c r="D67" s="72"/>
      <c r="E67" s="72"/>
      <c r="F67" s="72"/>
      <c r="G67" s="72"/>
      <c r="H67" s="72"/>
      <c r="I67" s="72"/>
      <c r="J67" s="72"/>
      <c r="K67" s="72"/>
      <c r="L67" s="72"/>
      <c r="M67" s="72"/>
      <c r="N67" s="236" t="str">
        <f>"Points Q"</f>
        <v>Points Q</v>
      </c>
      <c r="O67" s="237">
        <f>Interface!L4</f>
        <v>0</v>
      </c>
      <c r="P67" s="241">
        <f t="shared" si="2"/>
        <v>14</v>
      </c>
      <c r="Q67" s="237">
        <f t="shared" si="3"/>
        <v>1.3000000000000003</v>
      </c>
      <c r="R67" s="17"/>
    </row>
    <row r="68" spans="1:18" ht="13.2">
      <c r="A68" s="17"/>
      <c r="B68" s="234" t="str">
        <f>"Heartsteel"</f>
        <v>Heartsteel</v>
      </c>
      <c r="C68" s="249" t="b">
        <f>OR(Items!AI171, Items!AJ171, Items!AI201, Items!AJ201)</f>
        <v>0</v>
      </c>
      <c r="D68" s="76"/>
      <c r="E68" s="76">
        <f>0.005 * Self_BoMP</f>
        <v>0</v>
      </c>
      <c r="F68" s="76"/>
      <c r="G68" s="76"/>
      <c r="H68" s="76"/>
      <c r="I68" s="76"/>
      <c r="J68" s="76"/>
      <c r="K68" s="76"/>
      <c r="L68" s="76"/>
      <c r="M68" s="76"/>
      <c r="N68" s="234" t="str">
        <f>"Points W"</f>
        <v>Points W</v>
      </c>
      <c r="O68" s="250">
        <f>Interface!L5</f>
        <v>0</v>
      </c>
      <c r="P68" s="242">
        <f t="shared" si="2"/>
        <v>15</v>
      </c>
      <c r="Q68" s="235">
        <f t="shared" si="3"/>
        <v>1.3500000000000003</v>
      </c>
      <c r="R68" s="17"/>
    </row>
    <row r="69" spans="1:18" ht="13.2">
      <c r="A69" s="17"/>
      <c r="B69" s="236" t="str">
        <f>"E_Randiuns"</f>
        <v>E_Randiuns</v>
      </c>
      <c r="C69" s="248" t="b">
        <f>IF(Items!AM105,TRUE,FALSE)</f>
        <v>0</v>
      </c>
      <c r="D69" s="72"/>
      <c r="E69" s="72"/>
      <c r="F69" s="72"/>
      <c r="G69" s="72"/>
      <c r="H69" s="72"/>
      <c r="I69" s="72"/>
      <c r="J69" s="72"/>
      <c r="K69" s="72"/>
      <c r="L69" s="72"/>
      <c r="M69" s="72"/>
      <c r="N69" s="236" t="str">
        <f>"Points E"</f>
        <v>Points E</v>
      </c>
      <c r="O69" s="251">
        <f>Interface!L6</f>
        <v>0</v>
      </c>
      <c r="P69" s="241">
        <f t="shared" si="2"/>
        <v>16</v>
      </c>
      <c r="Q69" s="237">
        <f t="shared" si="3"/>
        <v>1.4000000000000004</v>
      </c>
      <c r="R69" s="17"/>
    </row>
    <row r="70" spans="1:18" ht="13.2">
      <c r="A70" s="17"/>
      <c r="B70" s="234" t="str">
        <f>"Spear"</f>
        <v>Spear</v>
      </c>
      <c r="C70" s="249" t="b">
        <f>OR(Items!AI127, Items!AJ127)</f>
        <v>0</v>
      </c>
      <c r="D70" s="76"/>
      <c r="E70" s="76"/>
      <c r="F70" s="76"/>
      <c r="G70" s="76"/>
      <c r="H70" s="76"/>
      <c r="I70" s="76"/>
      <c r="J70" s="76"/>
      <c r="K70" s="76"/>
      <c r="L70" s="76"/>
      <c r="M70" s="76"/>
      <c r="N70" s="252" t="str">
        <f>"Points R"</f>
        <v>Points R</v>
      </c>
      <c r="O70" s="253">
        <f>Interface!L7</f>
        <v>0</v>
      </c>
      <c r="P70" s="242">
        <f t="shared" si="2"/>
        <v>17</v>
      </c>
      <c r="Q70" s="235">
        <f t="shared" si="3"/>
        <v>1.4500000000000004</v>
      </c>
      <c r="R70" s="17"/>
    </row>
    <row r="71" spans="1:18" ht="13.2">
      <c r="A71" s="17"/>
      <c r="B71" s="236" t="str">
        <f>"Navori"</f>
        <v>Navori</v>
      </c>
      <c r="C71" s="248" t="b">
        <f>OR(Items!AI180,Items!AJ180,Items!AI210,Items!AJ210)</f>
        <v>0</v>
      </c>
      <c r="D71" s="72"/>
      <c r="E71" s="72"/>
      <c r="F71" s="72"/>
      <c r="G71" s="72"/>
      <c r="H71" s="72"/>
      <c r="I71" s="72"/>
      <c r="J71" s="72"/>
      <c r="K71" s="72"/>
      <c r="L71" s="72"/>
      <c r="M71" s="72"/>
      <c r="N71" s="713" t="str">
        <f>"Steroids"</f>
        <v>Steroids</v>
      </c>
      <c r="O71" s="714"/>
      <c r="P71" s="241">
        <f t="shared" si="2"/>
        <v>18</v>
      </c>
      <c r="Q71" s="237">
        <f t="shared" si="3"/>
        <v>1.5000000000000004</v>
      </c>
      <c r="R71" s="17"/>
    </row>
    <row r="72" spans="1:18" ht="13.2">
      <c r="A72" s="17"/>
      <c r="B72" s="234" t="str">
        <f>"Seraph's"</f>
        <v>Seraph's</v>
      </c>
      <c r="C72" s="249" t="b">
        <f>OR(Items!AI118,Items!AJ118)</f>
        <v>0</v>
      </c>
      <c r="D72" s="76"/>
      <c r="E72" s="76"/>
      <c r="F72" s="76"/>
      <c r="G72" s="76"/>
      <c r="H72" s="76"/>
      <c r="I72" s="76"/>
      <c r="J72" s="76"/>
      <c r="K72" s="76"/>
      <c r="L72" s="76"/>
      <c r="M72" s="76"/>
      <c r="N72" s="247" t="str">
        <f>"Steroid Q"</f>
        <v>Steroid Q</v>
      </c>
      <c r="O72" s="235" t="b">
        <f>OR(Interface!L18,O79)</f>
        <v>0</v>
      </c>
      <c r="P72" s="242">
        <f t="shared" si="2"/>
        <v>19</v>
      </c>
      <c r="Q72" s="235">
        <f t="shared" si="3"/>
        <v>1.5500000000000005</v>
      </c>
      <c r="R72" s="17"/>
    </row>
    <row r="73" spans="1:18" ht="13.2">
      <c r="A73" s="17"/>
      <c r="B73" s="254" t="str">
        <f>"Archangel"</f>
        <v>Archangel</v>
      </c>
      <c r="C73" s="255" t="b">
        <f>OR(Items!AI8,Items!AJ8)</f>
        <v>0</v>
      </c>
      <c r="D73" s="72"/>
      <c r="E73" s="72"/>
      <c r="F73" s="72"/>
      <c r="G73" s="72"/>
      <c r="H73" s="72"/>
      <c r="I73" s="72"/>
      <c r="J73" s="72"/>
      <c r="K73" s="72"/>
      <c r="L73" s="72"/>
      <c r="M73" s="72"/>
      <c r="N73" s="245" t="str">
        <f>"Steroid W"</f>
        <v>Steroid W</v>
      </c>
      <c r="O73" s="237" t="b">
        <f>OR(Interface!L19,O79)</f>
        <v>0</v>
      </c>
      <c r="P73" s="256">
        <f t="shared" si="2"/>
        <v>20</v>
      </c>
      <c r="Q73" s="257">
        <f t="shared" si="3"/>
        <v>1.6000000000000005</v>
      </c>
      <c r="R73" s="17"/>
    </row>
    <row r="74" spans="1:18" ht="13.2">
      <c r="A74" s="17"/>
      <c r="B74" s="258" t="str">
        <f>"Runes"</f>
        <v>Runes</v>
      </c>
      <c r="C74" s="76"/>
      <c r="D74" s="76"/>
      <c r="E74" s="76"/>
      <c r="F74" s="76"/>
      <c r="G74" s="76"/>
      <c r="H74" s="76"/>
      <c r="I74" s="76"/>
      <c r="J74" s="76"/>
      <c r="K74" s="76"/>
      <c r="L74" s="76"/>
      <c r="M74" s="76"/>
      <c r="N74" s="247" t="str">
        <f>"Steroid E"</f>
        <v>Steroid E</v>
      </c>
      <c r="O74" s="259" t="b">
        <f>OR(Interface!L20,O79)</f>
        <v>0</v>
      </c>
      <c r="P74" s="712" t="str">
        <f>"Summoner Values"</f>
        <v>Summoner Values</v>
      </c>
      <c r="Q74" s="707"/>
      <c r="R74" s="17"/>
    </row>
    <row r="75" spans="1:18" ht="13.2">
      <c r="A75" s="17"/>
      <c r="B75" s="260" t="str">
        <f>"-"</f>
        <v>-</v>
      </c>
      <c r="C75" s="72"/>
      <c r="D75" s="72"/>
      <c r="E75" s="72"/>
      <c r="F75" s="72"/>
      <c r="G75" s="72"/>
      <c r="H75" s="72"/>
      <c r="I75" s="72"/>
      <c r="J75" s="72"/>
      <c r="K75" s="72"/>
      <c r="L75" s="72"/>
      <c r="M75" s="72"/>
      <c r="N75" s="245" t="str">
        <f>"Steroid R"</f>
        <v>Steroid R</v>
      </c>
      <c r="O75" s="244" t="b">
        <f>OR(Interface!L21,O79)</f>
        <v>0</v>
      </c>
      <c r="P75" s="236" t="str">
        <f>"-"</f>
        <v>-</v>
      </c>
      <c r="Q75" s="261">
        <f>0</f>
        <v>0</v>
      </c>
      <c r="R75" s="17"/>
    </row>
    <row r="76" spans="1:18" ht="13.2">
      <c r="A76" s="17"/>
      <c r="B76" s="262" t="str">
        <f>"Rune 1"</f>
        <v>Rune 1</v>
      </c>
      <c r="C76" s="76"/>
      <c r="D76" s="76"/>
      <c r="E76" s="76"/>
      <c r="F76" s="76"/>
      <c r="G76" s="76"/>
      <c r="H76" s="76"/>
      <c r="I76" s="76"/>
      <c r="J76" s="76"/>
      <c r="K76" s="76"/>
      <c r="L76" s="76"/>
      <c r="M76" s="76"/>
      <c r="N76" s="247" t="str">
        <f>"Steroid P"</f>
        <v>Steroid P</v>
      </c>
      <c r="O76" s="259" t="b">
        <f>OR(Interface!L22,O79)</f>
        <v>0</v>
      </c>
      <c r="P76" s="234" t="str">
        <f>"Ignite"</f>
        <v>Ignite</v>
      </c>
      <c r="Q76" s="263">
        <f>20*Self_Level+50</f>
        <v>70</v>
      </c>
      <c r="R76" s="17"/>
    </row>
    <row r="77" spans="1:18" ht="13.2">
      <c r="A77" s="17"/>
      <c r="B77" s="260" t="str">
        <f>"Rune 2"</f>
        <v>Rune 2</v>
      </c>
      <c r="C77" s="72"/>
      <c r="D77" s="72"/>
      <c r="E77" s="72"/>
      <c r="F77" s="72"/>
      <c r="G77" s="72"/>
      <c r="H77" s="72"/>
      <c r="I77" s="72"/>
      <c r="J77" s="72"/>
      <c r="K77" s="72"/>
      <c r="L77" s="72"/>
      <c r="M77" s="72"/>
      <c r="N77" s="245" t="str">
        <f>"Steroid Item"</f>
        <v>Steroid Item</v>
      </c>
      <c r="O77" s="244" t="b">
        <f>OR(Interface!L23,O79)</f>
        <v>0</v>
      </c>
      <c r="P77" s="236" t="str">
        <f>"Smite"</f>
        <v>Smite</v>
      </c>
      <c r="Q77" s="261">
        <f>80 + 80 * Sc_Lin</f>
        <v>80</v>
      </c>
      <c r="R77" s="17"/>
    </row>
    <row r="78" spans="1:18" ht="13.2">
      <c r="A78" s="17"/>
      <c r="B78" s="262" t="str">
        <f>"Rune 3"</f>
        <v>Rune 3</v>
      </c>
      <c r="C78" s="76"/>
      <c r="D78" s="76"/>
      <c r="E78" s="76"/>
      <c r="F78" s="76"/>
      <c r="G78" s="76"/>
      <c r="H78" s="76"/>
      <c r="I78" s="76"/>
      <c r="J78" s="76"/>
      <c r="K78" s="76"/>
      <c r="L78" s="76"/>
      <c r="M78" s="76"/>
      <c r="N78" s="247" t="str">
        <f>"Steroid Runes"</f>
        <v>Steroid Runes</v>
      </c>
      <c r="O78" s="259" t="b">
        <f>OR(Interface!L24,O79)</f>
        <v>0</v>
      </c>
      <c r="P78" s="234"/>
      <c r="Q78" s="263"/>
      <c r="R78" s="17"/>
    </row>
    <row r="79" spans="1:18" ht="13.2">
      <c r="A79" s="17"/>
      <c r="B79" s="260" t="str">
        <f>"Rune 4"</f>
        <v>Rune 4</v>
      </c>
      <c r="C79" s="72"/>
      <c r="D79" s="72"/>
      <c r="E79" s="72"/>
      <c r="F79" s="72"/>
      <c r="G79" s="72"/>
      <c r="H79" s="72"/>
      <c r="I79" s="72"/>
      <c r="J79" s="72"/>
      <c r="K79" s="72"/>
      <c r="L79" s="72"/>
      <c r="M79" s="72"/>
      <c r="N79" s="245" t="str">
        <f>"Steroid All"</f>
        <v>Steroid All</v>
      </c>
      <c r="O79" s="244" t="b">
        <f>Interface!L17</f>
        <v>0</v>
      </c>
      <c r="P79" s="236" t="str">
        <f>"Barrier"</f>
        <v>Barrier</v>
      </c>
      <c r="Q79" s="261">
        <f>18*Self_Level+87</f>
        <v>105</v>
      </c>
      <c r="R79" s="17"/>
    </row>
    <row r="80" spans="1:18" ht="13.2">
      <c r="A80" s="17"/>
      <c r="B80" s="264"/>
      <c r="C80" s="76"/>
      <c r="D80" s="76"/>
      <c r="E80" s="76"/>
      <c r="F80" s="76"/>
      <c r="G80" s="76"/>
      <c r="H80" s="76"/>
      <c r="I80" s="76"/>
      <c r="J80" s="76"/>
      <c r="K80" s="76"/>
      <c r="L80" s="76"/>
      <c r="M80" s="76"/>
      <c r="N80" s="252" t="str">
        <f>"Form"</f>
        <v>Form</v>
      </c>
      <c r="O80" s="265" t="b">
        <f>Interface!L25</f>
        <v>0</v>
      </c>
      <c r="P80" s="252" t="str">
        <f>"Heal"</f>
        <v>Heal</v>
      </c>
      <c r="Q80" s="266">
        <f>14*Self_Level+66</f>
        <v>80</v>
      </c>
      <c r="R80" s="17"/>
    </row>
    <row r="81" spans="1:18" ht="13.2">
      <c r="A81" s="17"/>
      <c r="B81" s="17"/>
      <c r="C81" s="17"/>
      <c r="D81" s="17"/>
      <c r="E81" s="17"/>
      <c r="F81" s="17"/>
      <c r="G81" s="17"/>
      <c r="H81" s="17"/>
      <c r="I81" s="17"/>
      <c r="J81" s="17"/>
      <c r="K81" s="17"/>
      <c r="L81" s="17"/>
      <c r="M81" s="17"/>
      <c r="N81" s="17"/>
      <c r="O81" s="17"/>
      <c r="P81" s="17"/>
      <c r="Q81" s="17"/>
      <c r="R81" s="17"/>
    </row>
  </sheetData>
  <mergeCells count="33">
    <mergeCell ref="N28:Q28"/>
    <mergeCell ref="D28:E28"/>
    <mergeCell ref="F28:G28"/>
    <mergeCell ref="H28:I28"/>
    <mergeCell ref="J28:K28"/>
    <mergeCell ref="L28:M28"/>
    <mergeCell ref="P52:Q52"/>
    <mergeCell ref="N66:O66"/>
    <mergeCell ref="N71:O71"/>
    <mergeCell ref="P74:Q74"/>
    <mergeCell ref="B2:C2"/>
    <mergeCell ref="B16:C16"/>
    <mergeCell ref="D16:E16"/>
    <mergeCell ref="F16:G16"/>
    <mergeCell ref="H16:I16"/>
    <mergeCell ref="J16:K16"/>
    <mergeCell ref="L16:M16"/>
    <mergeCell ref="B34:C34"/>
    <mergeCell ref="B40:Q40"/>
    <mergeCell ref="B41:C41"/>
    <mergeCell ref="L44:M44"/>
    <mergeCell ref="B28:C28"/>
    <mergeCell ref="N2:O2"/>
    <mergeCell ref="P2:Q2"/>
    <mergeCell ref="N16:O16"/>
    <mergeCell ref="P16:Q16"/>
    <mergeCell ref="N22:O22"/>
    <mergeCell ref="P22:Q22"/>
    <mergeCell ref="D2:E2"/>
    <mergeCell ref="F2:G2"/>
    <mergeCell ref="H2:I2"/>
    <mergeCell ref="J2:K2"/>
    <mergeCell ref="L2:M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CC0000"/>
    <outlinePr summaryBelow="0" summaryRight="0"/>
  </sheetPr>
  <dimension ref="A1:AJ200"/>
  <sheetViews>
    <sheetView showGridLines="0"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min="1" max="1" width="17.21875" customWidth="1"/>
    <col min="2" max="36" width="5.77734375" customWidth="1"/>
  </cols>
  <sheetData>
    <row r="1" spans="1:36">
      <c r="A1" s="267" t="s">
        <v>153</v>
      </c>
      <c r="B1" s="268" t="s">
        <v>154</v>
      </c>
      <c r="C1" s="268" t="s">
        <v>155</v>
      </c>
      <c r="D1" s="268" t="s">
        <v>156</v>
      </c>
      <c r="E1" s="269" t="s">
        <v>157</v>
      </c>
      <c r="F1" s="270" t="s">
        <v>158</v>
      </c>
      <c r="G1" s="270" t="s">
        <v>159</v>
      </c>
      <c r="H1" s="270" t="s">
        <v>160</v>
      </c>
      <c r="I1" s="271" t="s">
        <v>161</v>
      </c>
      <c r="J1" s="272" t="s">
        <v>162</v>
      </c>
      <c r="K1" s="273" t="s">
        <v>163</v>
      </c>
      <c r="L1" s="274" t="s">
        <v>164</v>
      </c>
      <c r="M1" s="274" t="s">
        <v>165</v>
      </c>
      <c r="N1" s="275" t="s">
        <v>166</v>
      </c>
      <c r="O1" s="276" t="s">
        <v>167</v>
      </c>
      <c r="P1" s="276" t="s">
        <v>168</v>
      </c>
      <c r="Q1" s="277" t="s">
        <v>169</v>
      </c>
      <c r="R1" s="278" t="s">
        <v>170</v>
      </c>
      <c r="S1" s="279" t="s">
        <v>171</v>
      </c>
      <c r="T1" s="280" t="s">
        <v>44</v>
      </c>
      <c r="U1" s="281" t="s">
        <v>172</v>
      </c>
      <c r="V1" s="282" t="s">
        <v>173</v>
      </c>
      <c r="W1" s="282" t="s">
        <v>174</v>
      </c>
      <c r="X1" s="282" t="s">
        <v>175</v>
      </c>
      <c r="Y1" s="283" t="s">
        <v>176</v>
      </c>
      <c r="Z1" s="284" t="s">
        <v>177</v>
      </c>
      <c r="AA1" s="285" t="s">
        <v>178</v>
      </c>
      <c r="AB1" s="285" t="s">
        <v>179</v>
      </c>
      <c r="AC1" s="285" t="s">
        <v>180</v>
      </c>
      <c r="AD1" s="286" t="s">
        <v>181</v>
      </c>
      <c r="AE1" s="284" t="s">
        <v>182</v>
      </c>
      <c r="AF1" s="285" t="s">
        <v>183</v>
      </c>
      <c r="AG1" s="282" t="s">
        <v>184</v>
      </c>
      <c r="AH1" s="282" t="s">
        <v>185</v>
      </c>
      <c r="AI1" s="282" t="s">
        <v>186</v>
      </c>
      <c r="AJ1" s="283" t="s">
        <v>187</v>
      </c>
    </row>
    <row r="2" spans="1:36">
      <c r="A2" s="267" t="s">
        <v>11</v>
      </c>
      <c r="B2" s="287">
        <f t="shared" ref="B2:M2" si="0">0</f>
        <v>0</v>
      </c>
      <c r="C2" s="287">
        <f t="shared" si="0"/>
        <v>0</v>
      </c>
      <c r="D2" s="288">
        <f t="shared" si="0"/>
        <v>0</v>
      </c>
      <c r="E2" s="289">
        <f t="shared" si="0"/>
        <v>0</v>
      </c>
      <c r="F2" s="288">
        <f t="shared" si="0"/>
        <v>0</v>
      </c>
      <c r="G2" s="288">
        <f t="shared" si="0"/>
        <v>0</v>
      </c>
      <c r="H2" s="288">
        <f t="shared" si="0"/>
        <v>0</v>
      </c>
      <c r="I2" s="289">
        <f t="shared" si="0"/>
        <v>0</v>
      </c>
      <c r="J2" s="290">
        <f t="shared" si="0"/>
        <v>0</v>
      </c>
      <c r="K2" s="288">
        <f t="shared" si="0"/>
        <v>0</v>
      </c>
      <c r="L2" s="291">
        <f t="shared" si="0"/>
        <v>0</v>
      </c>
      <c r="M2" s="291">
        <f t="shared" si="0"/>
        <v>0</v>
      </c>
      <c r="N2" s="292">
        <f>0%</f>
        <v>0</v>
      </c>
      <c r="O2" s="287">
        <f t="shared" ref="O2:AD2" si="1">0</f>
        <v>0</v>
      </c>
      <c r="P2" s="287">
        <f t="shared" si="1"/>
        <v>0</v>
      </c>
      <c r="Q2" s="288">
        <f t="shared" si="1"/>
        <v>0</v>
      </c>
      <c r="R2" s="289">
        <f t="shared" si="1"/>
        <v>0</v>
      </c>
      <c r="S2" s="293">
        <f t="shared" si="1"/>
        <v>0</v>
      </c>
      <c r="T2" s="294">
        <f t="shared" si="1"/>
        <v>0</v>
      </c>
      <c r="U2" s="295">
        <f t="shared" si="1"/>
        <v>0</v>
      </c>
      <c r="V2" s="296">
        <f t="shared" si="1"/>
        <v>0</v>
      </c>
      <c r="W2" s="296">
        <f t="shared" si="1"/>
        <v>0</v>
      </c>
      <c r="X2" s="296">
        <f t="shared" si="1"/>
        <v>0</v>
      </c>
      <c r="Y2" s="297">
        <f t="shared" si="1"/>
        <v>0</v>
      </c>
      <c r="Z2" s="281">
        <f t="shared" si="1"/>
        <v>0</v>
      </c>
      <c r="AA2" s="282">
        <f t="shared" si="1"/>
        <v>0</v>
      </c>
      <c r="AB2" s="282">
        <f t="shared" si="1"/>
        <v>0</v>
      </c>
      <c r="AC2" s="282">
        <f t="shared" si="1"/>
        <v>0</v>
      </c>
      <c r="AD2" s="283">
        <f t="shared" si="1"/>
        <v>0</v>
      </c>
      <c r="AE2" s="284" t="b">
        <f t="shared" ref="AE2:AE3" si="2">TRUE</f>
        <v>1</v>
      </c>
      <c r="AF2" s="285"/>
      <c r="AG2" s="282">
        <f t="shared" ref="AG2:AH2" si="3">0</f>
        <v>0</v>
      </c>
      <c r="AH2" s="282">
        <f t="shared" si="3"/>
        <v>0</v>
      </c>
      <c r="AI2" s="282" t="b">
        <f t="shared" ref="AI2:AJ2" si="4">FALSE</f>
        <v>0</v>
      </c>
      <c r="AJ2" s="283" t="b">
        <f t="shared" si="4"/>
        <v>0</v>
      </c>
    </row>
    <row r="3" spans="1:36">
      <c r="A3" s="267" t="s">
        <v>188</v>
      </c>
      <c r="B3" s="287">
        <f>650</f>
        <v>650</v>
      </c>
      <c r="C3" s="287">
        <f>114</f>
        <v>114</v>
      </c>
      <c r="D3" s="288">
        <f>3</f>
        <v>3</v>
      </c>
      <c r="E3" s="289">
        <f>0.75</f>
        <v>0.75</v>
      </c>
      <c r="F3" s="288">
        <f t="shared" ref="F3:I3" si="5">0</f>
        <v>0</v>
      </c>
      <c r="G3" s="288">
        <f t="shared" si="5"/>
        <v>0</v>
      </c>
      <c r="H3" s="288">
        <f t="shared" si="5"/>
        <v>0</v>
      </c>
      <c r="I3" s="289">
        <f t="shared" si="5"/>
        <v>0</v>
      </c>
      <c r="J3" s="290">
        <f>60</f>
        <v>60</v>
      </c>
      <c r="K3" s="288">
        <f>5</f>
        <v>5</v>
      </c>
      <c r="L3" s="291">
        <f t="shared" ref="L3:M3" si="6">0.651</f>
        <v>0.65100000000000002</v>
      </c>
      <c r="M3" s="291">
        <f t="shared" si="6"/>
        <v>0.65100000000000002</v>
      </c>
      <c r="N3" s="292">
        <f>2.5%</f>
        <v>2.5000000000000001E-2</v>
      </c>
      <c r="O3" s="287">
        <f>38</f>
        <v>38</v>
      </c>
      <c r="P3" s="287">
        <f>4.45</f>
        <v>4.45</v>
      </c>
      <c r="Q3" s="288">
        <f>32</f>
        <v>32</v>
      </c>
      <c r="R3" s="289">
        <f>2.05</f>
        <v>2.0499999999999998</v>
      </c>
      <c r="S3" s="293">
        <f>345</f>
        <v>345</v>
      </c>
      <c r="T3" s="294">
        <f>175</f>
        <v>175</v>
      </c>
      <c r="U3" s="298" t="e">
        <f ca="1">((0.55+0.05*P_Q)*Self_AD+20*P_Q-10)*3.75*MOD_Phys*IF(Steroid_Q,1.6,1)</f>
        <v>#NAME?</v>
      </c>
      <c r="V3" s="299" t="e">
        <f ca="1">(0.8*Self_AD+20*P_W+40)*MOD_Phys</f>
        <v>#NAME?</v>
      </c>
      <c r="W3" s="299">
        <f t="shared" ref="W3:X3" si="7">0</f>
        <v>0</v>
      </c>
      <c r="X3" s="299">
        <f t="shared" si="7"/>
        <v>0</v>
      </c>
      <c r="Y3" s="300" t="e">
        <f ca="1">(0.04 + Sc_Lin * 0.08) * E_MHP * MOD_Phys</f>
        <v>#NAME?</v>
      </c>
      <c r="Z3" s="281">
        <f>16-2*P_Q</f>
        <v>16</v>
      </c>
      <c r="AA3" s="282">
        <f>22 - 2 * P_W</f>
        <v>22</v>
      </c>
      <c r="AB3" s="282">
        <f>10-1*P_E</f>
        <v>10</v>
      </c>
      <c r="AC3" s="282">
        <f>160 - 20 * P_R</f>
        <v>160</v>
      </c>
      <c r="AD3" s="283">
        <f>24-((Self_Level-1)/17)*12</f>
        <v>24</v>
      </c>
      <c r="AE3" s="284" t="b">
        <f t="shared" si="2"/>
        <v>1</v>
      </c>
      <c r="AF3" s="285" t="e">
        <f ca="1">_xludf.Image("https://ddragon.leagueoflegends.com/cdn/11.19.1/img/champion/Aatrox.png")</f>
        <v>#NAME?</v>
      </c>
      <c r="AG3" s="282">
        <f ca="1">IFERROR(__xludf.DUMMYFUNCTION("IF(OR(REGEXMATCH(FORMULATEXT(U3),""HMOD""),NOT(P_Q&gt;0)),0,U3)+IF(OR(REGEXMATCH(FORMULATEXT(V3),""HMOD""),NOT(P_W&gt;0)),0,V3)+IF(OR(REGEXMATCH(FORMULATEXT(W3),""HMOD""),NOT(P_E&gt;0)),0,W3)+IF(OR(REGEXMATCH(FORMULATEXT(X3),""HMOD""),NOT(P_R&gt;0)),0,X3)+IF(REGEXMAT"&amp;"CH(FORMULATEXT(Y3),""HMOD""),0,Y3)+Self_Proc_item+Self_Proc_Summ+Self_Proc_Rune+3*Self_DPS"),0)</f>
        <v>0</v>
      </c>
      <c r="AH3" s="282">
        <f t="shared" ref="AH3:AH165" si="8">0</f>
        <v>0</v>
      </c>
      <c r="AI3" s="282" t="b">
        <f t="shared" ref="AI3:AI4" si="9">FALSE</f>
        <v>0</v>
      </c>
      <c r="AJ3" s="283" t="b">
        <f>TRUE</f>
        <v>1</v>
      </c>
    </row>
    <row r="4" spans="1:36">
      <c r="A4" s="267" t="s">
        <v>189</v>
      </c>
      <c r="B4" s="287">
        <f>590</f>
        <v>590</v>
      </c>
      <c r="C4" s="287">
        <f>96</f>
        <v>96</v>
      </c>
      <c r="D4" s="288">
        <f>2.5</f>
        <v>2.5</v>
      </c>
      <c r="E4" s="289">
        <f>0.6</f>
        <v>0.6</v>
      </c>
      <c r="F4" s="288">
        <f>418</f>
        <v>418</v>
      </c>
      <c r="G4" s="288">
        <f>25</f>
        <v>25</v>
      </c>
      <c r="H4" s="288">
        <f>8</f>
        <v>8</v>
      </c>
      <c r="I4" s="289">
        <f>0.8</f>
        <v>0.8</v>
      </c>
      <c r="J4" s="290">
        <f>53</f>
        <v>53</v>
      </c>
      <c r="K4" s="288">
        <f>3</f>
        <v>3</v>
      </c>
      <c r="L4" s="291">
        <f t="shared" ref="L4:M4" si="10">0.668</f>
        <v>0.66800000000000004</v>
      </c>
      <c r="M4" s="291">
        <f t="shared" si="10"/>
        <v>0.66800000000000004</v>
      </c>
      <c r="N4" s="292">
        <f>2%</f>
        <v>0.02</v>
      </c>
      <c r="O4" s="287">
        <f>21</f>
        <v>21</v>
      </c>
      <c r="P4" s="287">
        <f t="shared" ref="P4:P5" si="11">4.7</f>
        <v>4.7</v>
      </c>
      <c r="Q4" s="288">
        <f>30</f>
        <v>30</v>
      </c>
      <c r="R4" s="289">
        <f>1.3</f>
        <v>1.3</v>
      </c>
      <c r="S4" s="293">
        <f>330</f>
        <v>330</v>
      </c>
      <c r="T4" s="294">
        <f>550</f>
        <v>550</v>
      </c>
      <c r="U4" s="295" t="e">
        <f ca="1">(0.45 * Self_AP + 25 * P_Q + 15) * MOD_Magic + (0.45 * Self_AP + 25 * P_Q + 15) * Calc!O10</f>
        <v>#NAME?</v>
      </c>
      <c r="V4" s="296" t="e">
        <f ca="1">(0.3 * Self_AP + 25 * P_W + 25) * MOD_Magic * IF(Steroid_W,1.6,1)</f>
        <v>#NAME?</v>
      </c>
      <c r="W4" s="296" t="e">
        <f ca="1">(0.6 * Self_AP + 30 * P_E + 50) * MOD_Magic</f>
        <v>#NAME?</v>
      </c>
      <c r="X4" s="296" t="e">
        <f ca="1">(0.35*Self_AP+30*P_R+30)*MOD_Magic*IF(Steroid_R,3,1)</f>
        <v>#NAME?</v>
      </c>
      <c r="Y4" s="297">
        <f>(75 + 90 * Sc_Lin + 0.3 * Self_AP)*MOD_Heal</f>
        <v>75</v>
      </c>
      <c r="Z4" s="281">
        <f>7</f>
        <v>7</v>
      </c>
      <c r="AA4" s="282">
        <f>10-P_W</f>
        <v>10</v>
      </c>
      <c r="AB4" s="282">
        <f>14</f>
        <v>14</v>
      </c>
      <c r="AC4" s="282">
        <f>155-25*P_R</f>
        <v>155</v>
      </c>
      <c r="AD4" s="283">
        <f t="shared" ref="AD4:AD5" si="12">1</f>
        <v>1</v>
      </c>
      <c r="AE4" s="284" t="b">
        <f>FALSE</f>
        <v>0</v>
      </c>
      <c r="AF4" s="285" t="e">
        <f ca="1">_xludf.Image("https://ddragon.leagueoflegends.com/cdn/11.8.1/img/champion/Ahri.png")</f>
        <v>#NAME?</v>
      </c>
      <c r="AG4" s="282">
        <f ca="1">IFERROR(__xludf.DUMMYFUNCTION("IF(OR(REGEXMATCH(FORMULATEXT(U4),""HMOD""),NOT(P_Q&gt;0)),0,U4)+IF(OR(REGEXMATCH(FORMULATEXT(V4),""HMOD""),NOT(P_W&gt;0)),0,V4)+IF(OR(REGEXMATCH(FORMULATEXT(W4),""HMOD""),NOT(P_E&gt;0)),0,W4)+IF(OR(REGEXMATCH(FORMULATEXT(X4),""HMOD""),NOT(P_R&gt;0)),0,X4)+IF(REGEXMAT"&amp;"CH(FORMULATEXT(Y4),""HMOD""),0,Y4)+Self_Proc_item+Self_Proc_Summ+Self_Proc_Rune+3*Self_DPS"),75)</f>
        <v>75</v>
      </c>
      <c r="AH4" s="282">
        <f t="shared" si="8"/>
        <v>0</v>
      </c>
      <c r="AI4" s="282" t="b">
        <f t="shared" si="9"/>
        <v>0</v>
      </c>
      <c r="AJ4" s="283" t="b">
        <f t="shared" ref="AJ4:AJ5" si="13">FALSE</f>
        <v>0</v>
      </c>
    </row>
    <row r="5" spans="1:36">
      <c r="A5" s="267" t="s">
        <v>190</v>
      </c>
      <c r="B5" s="287">
        <f>570</f>
        <v>570</v>
      </c>
      <c r="C5" s="287">
        <f>119</f>
        <v>119</v>
      </c>
      <c r="D5" s="288">
        <f>9</f>
        <v>9</v>
      </c>
      <c r="E5" s="289">
        <f>0.9</f>
        <v>0.9</v>
      </c>
      <c r="F5" s="288">
        <f>200</f>
        <v>200</v>
      </c>
      <c r="G5" s="288">
        <f>0</f>
        <v>0</v>
      </c>
      <c r="H5" s="288">
        <f>50</f>
        <v>50</v>
      </c>
      <c r="I5" s="289">
        <f>0</f>
        <v>0</v>
      </c>
      <c r="J5" s="290">
        <f>62</f>
        <v>62</v>
      </c>
      <c r="K5" s="288">
        <f>3.3</f>
        <v>3.3</v>
      </c>
      <c r="L5" s="291">
        <f t="shared" ref="L5:M5" si="14">0.625</f>
        <v>0.625</v>
      </c>
      <c r="M5" s="291">
        <f t="shared" si="14"/>
        <v>0.625</v>
      </c>
      <c r="N5" s="292">
        <f>3.2%</f>
        <v>3.2000000000000001E-2</v>
      </c>
      <c r="O5" s="287">
        <f>23</f>
        <v>23</v>
      </c>
      <c r="P5" s="287">
        <f t="shared" si="11"/>
        <v>4.7</v>
      </c>
      <c r="Q5" s="288">
        <f>37</f>
        <v>37</v>
      </c>
      <c r="R5" s="289">
        <f>2.05</f>
        <v>2.0499999999999998</v>
      </c>
      <c r="S5" s="293">
        <f>345</f>
        <v>345</v>
      </c>
      <c r="T5" s="294">
        <f>125</f>
        <v>125</v>
      </c>
      <c r="U5" s="298" t="e">
        <f ca="1">(15 + 25 * P_Q + 0.6 * Self_AP + 0.65 * Self_AD) * MOD_Magic</f>
        <v>#NAME?</v>
      </c>
      <c r="V5" s="299">
        <f t="shared" ref="V5:V6" si="15">0</f>
        <v>0</v>
      </c>
      <c r="W5" s="299" t="e">
        <f ca="1">(12.5+87.5*P_E+0.85*Self_AD+1.2*Self_AP)*MOD_Magic</f>
        <v>#NAME?</v>
      </c>
      <c r="X5" s="299" t="e">
        <f ca="1">(-60+140*P_R+0.5*Self_BoAD+0.3*Self_AP)*MOD_Magic+((0.3*Self_AP-10+70*P_R)*(1+2*(1-(MAX(30,E_CHP)-30)/70)))*MOD_Magic</f>
        <v>#NAME?</v>
      </c>
      <c r="Y5" s="300" t="e">
        <f ca="1">(0.6 * Self_BoAD + 0.55 * Self_AP + 32 + Self_Level * 3 + MAX(6 * (Self_Level - 7), 0) + MAX(6 * (Self_Level - 13), 0)) * MOD_Magic</f>
        <v>#NAME?</v>
      </c>
      <c r="Z5" s="281">
        <f>1.5</f>
        <v>1.5</v>
      </c>
      <c r="AA5" s="282">
        <f>20</f>
        <v>20</v>
      </c>
      <c r="AB5" s="282">
        <f>17.5-1.5*P_E</f>
        <v>17.5</v>
      </c>
      <c r="AC5" s="282">
        <f>120-20*P_R</f>
        <v>120</v>
      </c>
      <c r="AD5" s="283">
        <f t="shared" si="12"/>
        <v>1</v>
      </c>
      <c r="AE5" s="284" t="b">
        <f>TRUE</f>
        <v>1</v>
      </c>
      <c r="AF5" s="285" t="e">
        <f ca="1">_xludf.Image("https://ddragon.leagueoflegends.com/cdn/11.19.1/img/champion/Akali.png")</f>
        <v>#NAME?</v>
      </c>
      <c r="AG5" s="282">
        <f ca="1">IFERROR(__xludf.DUMMYFUNCTION("IF(OR(REGEXMATCH(FORMULATEXT(U5),""HMOD""),NOT(P_Q&gt;0)),0,U5)+IF(OR(REGEXMATCH(FORMULATEXT(V5),""HMOD""),NOT(P_W&gt;0)),0,V5)+IF(OR(REGEXMATCH(FORMULATEXT(W5),""HMOD""),NOT(P_E&gt;0)),0,W5)+IF(OR(REGEXMATCH(FORMULATEXT(X5),""HMOD""),NOT(P_R&gt;0)),0,X5)+IF(REGEXMAT"&amp;"CH(FORMULATEXT(Y5),""HMOD""),0,Y5)+Self_Proc_item+Self_Proc_Summ+Self_Proc_Rune+3*Self_DPS"),35)</f>
        <v>35</v>
      </c>
      <c r="AH5" s="282">
        <f t="shared" si="8"/>
        <v>0</v>
      </c>
      <c r="AI5" s="282" t="b">
        <f>TRUE</f>
        <v>1</v>
      </c>
      <c r="AJ5" s="283" t="b">
        <f t="shared" si="13"/>
        <v>0</v>
      </c>
    </row>
    <row r="6" spans="1:36">
      <c r="A6" s="267" t="s">
        <v>191</v>
      </c>
      <c r="B6" s="287">
        <f>630</f>
        <v>630</v>
      </c>
      <c r="C6" s="287">
        <f>104</f>
        <v>104</v>
      </c>
      <c r="D6" s="288">
        <f>3.75</f>
        <v>3.75</v>
      </c>
      <c r="E6" s="289">
        <f>0.65</f>
        <v>0.65</v>
      </c>
      <c r="F6" s="288">
        <f t="shared" ref="F6:F7" si="16">350</f>
        <v>350</v>
      </c>
      <c r="G6" s="288">
        <f t="shared" ref="G6:G8" si="17">40</f>
        <v>40</v>
      </c>
      <c r="H6" s="288">
        <f>8.175</f>
        <v>8.1750000000000007</v>
      </c>
      <c r="I6" s="289">
        <f>0.7</f>
        <v>0.7</v>
      </c>
      <c r="J6" s="290">
        <f>52</f>
        <v>52</v>
      </c>
      <c r="K6" s="288">
        <f>3.5</f>
        <v>3.5</v>
      </c>
      <c r="L6" s="291">
        <f>0.638</f>
        <v>0.63800000000000001</v>
      </c>
      <c r="M6" s="291">
        <f>0.4</f>
        <v>0.4</v>
      </c>
      <c r="N6" s="292">
        <f>0.04</f>
        <v>0.04</v>
      </c>
      <c r="O6" s="287">
        <f>26</f>
        <v>26</v>
      </c>
      <c r="P6" s="287">
        <f>4.2</f>
        <v>4.2</v>
      </c>
      <c r="Q6" s="288">
        <f>30</f>
        <v>30</v>
      </c>
      <c r="R6" s="289">
        <f>1.3</f>
        <v>1.3</v>
      </c>
      <c r="S6" s="293">
        <f t="shared" ref="S6:S7" si="18">330</f>
        <v>330</v>
      </c>
      <c r="T6" s="294">
        <f>500</f>
        <v>500</v>
      </c>
      <c r="U6" s="295" t="e">
        <f ca="1">(40 * P_Q + 1.6 * Self_AD -30) * MOD_Phys</f>
        <v>#NAME?</v>
      </c>
      <c r="V6" s="296">
        <f t="shared" si="15"/>
        <v>0</v>
      </c>
      <c r="W6" s="296" t="e">
        <f ca="1">((15 * P_E + 15 + 0.175 * Self_BoAD) * (1 + 0.3 * Self_BoAS) * (1 + Self_Crit * Self_CritDMG * 0.9) * MOD_Phys + (OH_Magic + OH_Phys + OH_True) * 0.25) * IF(Steroid_E, 6, 3) + IF(Steroid_E, 2, 1) * Y6</f>
        <v>#NAME?</v>
      </c>
      <c r="X6" s="296" t="e">
        <f ca="1">(15 + 5 * P_R + 0.1 * Self_AD) * (4 + P_R) * (1 + Self_Crit * (Self_CritDMG) * 0.5) * IF(Steroid_R, 4, 1) * MOD_Phys + ((4 + P_R) / 3) * (Y6 + Calc!O34)</f>
        <v>#NAME?</v>
      </c>
      <c r="Y6" s="297" t="e">
        <f ca="1">(5 + 0.6 * Self_AP + 5 * Self_Level + MAX(5 * (Self_Level - 8), 0) + MAX(5 * (Self_Level - 14), 0)) * MOD_Magic</f>
        <v>#NAME?</v>
      </c>
      <c r="Z6" s="281">
        <f>8.75-0.75*P_Q</f>
        <v>8.75</v>
      </c>
      <c r="AA6" s="282">
        <f>22 - 4 * P_W</f>
        <v>22</v>
      </c>
      <c r="AB6" s="282">
        <f>19.5-1.5*P_E</f>
        <v>19.5</v>
      </c>
      <c r="AC6" s="282">
        <f>115-15*P_R</f>
        <v>115</v>
      </c>
      <c r="AD6" s="283">
        <v>16</v>
      </c>
      <c r="AE6" s="284" t="b">
        <f>FALSE</f>
        <v>0</v>
      </c>
      <c r="AF6" s="285" t="e">
        <f ca="1">_xludf.Image("https://ddragon.leagueoflegends.com/cdn/11.19.1/img/champion/Akshan.png")</f>
        <v>#NAME?</v>
      </c>
      <c r="AG6" s="282">
        <f ca="1">IFERROR(__xludf.DUMMYFUNCTION("IF(OR(REGEXMATCH(FORMULATEXT(U6),""HMOD""),NOT(P_Q&gt;0)),0,U6)+IF(OR(REGEXMATCH(FORMULATEXT(V6),""HMOD""),NOT(P_W&gt;0)),0,V6)+IF(OR(REGEXMATCH(FORMULATEXT(W6),""HMOD""),NOT(P_E&gt;0)),0,W6)+IF(OR(REGEXMATCH(FORMULATEXT(X6),""HMOD""),NOT(P_R&gt;0)),0,X6)+IF(REGEXMAT"&amp;"CH(FORMULATEXT(Y6),""HMOD""),0,Y6)+Self_Proc_item+Self_Proc_Summ+Self_Proc_Rune+3*Self_DPS"),10)</f>
        <v>10</v>
      </c>
      <c r="AH6" s="282">
        <f t="shared" si="8"/>
        <v>0</v>
      </c>
      <c r="AI6" s="282" t="b">
        <f t="shared" ref="AI6:AJ6" si="19">FALSE</f>
        <v>0</v>
      </c>
      <c r="AJ6" s="283" t="b">
        <f t="shared" si="19"/>
        <v>0</v>
      </c>
    </row>
    <row r="7" spans="1:36">
      <c r="A7" s="267" t="s">
        <v>192</v>
      </c>
      <c r="B7" s="287">
        <f t="shared" ref="B7:B8" si="20">685</f>
        <v>685</v>
      </c>
      <c r="C7" s="287">
        <f>120</f>
        <v>120</v>
      </c>
      <c r="D7" s="288">
        <f>8.5</f>
        <v>8.5</v>
      </c>
      <c r="E7" s="289">
        <f t="shared" ref="E7:E8" si="21">0.85</f>
        <v>0.85</v>
      </c>
      <c r="F7" s="288">
        <f t="shared" si="16"/>
        <v>350</v>
      </c>
      <c r="G7" s="288">
        <f t="shared" si="17"/>
        <v>40</v>
      </c>
      <c r="H7" s="288">
        <f>8.5</f>
        <v>8.5</v>
      </c>
      <c r="I7" s="289">
        <f>0.8</f>
        <v>0.8</v>
      </c>
      <c r="J7" s="290">
        <f>62</f>
        <v>62</v>
      </c>
      <c r="K7" s="288">
        <f>3.75</f>
        <v>3.75</v>
      </c>
      <c r="L7" s="291">
        <f t="shared" ref="L7:M7" si="22">0.625</f>
        <v>0.625</v>
      </c>
      <c r="M7" s="291">
        <f t="shared" si="22"/>
        <v>0.625</v>
      </c>
      <c r="N7" s="292">
        <f>2.125%</f>
        <v>2.1250000000000002E-2</v>
      </c>
      <c r="O7" s="287">
        <f>47</f>
        <v>47</v>
      </c>
      <c r="P7" s="287">
        <f>4.7</f>
        <v>4.7</v>
      </c>
      <c r="Q7" s="288">
        <f t="shared" ref="Q7:Q8" si="23">32</f>
        <v>32</v>
      </c>
      <c r="R7" s="289">
        <f t="shared" ref="R7:R8" si="24">2.05</f>
        <v>2.0499999999999998</v>
      </c>
      <c r="S7" s="293">
        <f t="shared" si="18"/>
        <v>330</v>
      </c>
      <c r="T7" s="294">
        <f t="shared" ref="T7:T8" si="25">125</f>
        <v>125</v>
      </c>
      <c r="U7" s="298" t="e">
        <f ca="1">(20 + 40 * P_Q + 0.8 * Self_AP) * MOD_Magic</f>
        <v>#NAME?</v>
      </c>
      <c r="V7" s="299" t="e">
        <f ca="1">(55 * P_W + 1 * Self_AP) * MOD_Magic</f>
        <v>#NAME?</v>
      </c>
      <c r="W7" s="299" t="e">
        <f ca="1">(50 + 30 * P_E + 0.7 * Self_AP + 5 + 15 * Self_Level) * MOD_Magic</f>
        <v>#NAME?</v>
      </c>
      <c r="X7" s="299">
        <f>0</f>
        <v>0</v>
      </c>
      <c r="Y7" s="300">
        <f>(0.05 * Self_MHP) * MOD_Heal</f>
        <v>0</v>
      </c>
      <c r="Z7" s="281">
        <f>15-P_Q</f>
        <v>15</v>
      </c>
      <c r="AA7" s="282">
        <f>15-P_W</f>
        <v>15</v>
      </c>
      <c r="AB7" s="282">
        <f>12.5-0.5*P_E</f>
        <v>12.5</v>
      </c>
      <c r="AC7" s="282">
        <f>140 - 20 * P_R</f>
        <v>140</v>
      </c>
      <c r="AD7" s="283">
        <f>3</f>
        <v>3</v>
      </c>
      <c r="AE7" s="284" t="b">
        <f t="shared" ref="AE7:AE8" si="26">TRUE</f>
        <v>1</v>
      </c>
      <c r="AF7" s="285" t="e">
        <f ca="1">_xludf.Image("https://ddragon.leagueoflegends.com/cdn/11.19.1/img/champion/Alistar.png")</f>
        <v>#NAME?</v>
      </c>
      <c r="AG7" s="282">
        <f ca="1">IFERROR(__xludf.DUMMYFUNCTION("IF(OR(REGEXMATCH(FORMULATEXT(U7),""HMOD""),NOT(P_Q&gt;0)),0,U7)+IF(OR(REGEXMATCH(FORMULATEXT(V7),""HMOD""),NOT(P_W&gt;0)),0,V7)+IF(OR(REGEXMATCH(FORMULATEXT(W7),""HMOD""),NOT(P_E&gt;0)),0,W7)+IF(OR(REGEXMATCH(FORMULATEXT(X7),""HMOD""),NOT(P_R&gt;0)),0,X7)+IF(REGEXMAT"&amp;"CH(FORMULATEXT(Y7),""HMOD""),0,Y7)+Self_Proc_item+Self_Proc_Summ+Self_Proc_Rune+3*Self_DPS"),0)</f>
        <v>0</v>
      </c>
      <c r="AH7" s="282">
        <f t="shared" si="8"/>
        <v>0</v>
      </c>
      <c r="AI7" s="282" t="b">
        <f t="shared" ref="AI7:AJ7" si="27">FALSE</f>
        <v>0</v>
      </c>
      <c r="AJ7" s="283" t="b">
        <f t="shared" si="27"/>
        <v>0</v>
      </c>
    </row>
    <row r="8" spans="1:36">
      <c r="A8" s="267" t="s">
        <v>193</v>
      </c>
      <c r="B8" s="287">
        <f t="shared" si="20"/>
        <v>685</v>
      </c>
      <c r="C8" s="287">
        <f>94</f>
        <v>94</v>
      </c>
      <c r="D8" s="288">
        <f>9</f>
        <v>9</v>
      </c>
      <c r="E8" s="289">
        <f t="shared" si="21"/>
        <v>0.85</v>
      </c>
      <c r="F8" s="288">
        <f>287</f>
        <v>287</v>
      </c>
      <c r="G8" s="288">
        <f t="shared" si="17"/>
        <v>40</v>
      </c>
      <c r="H8" s="288">
        <f>7.4</f>
        <v>7.4</v>
      </c>
      <c r="I8" s="289">
        <f>0.525</f>
        <v>0.52500000000000002</v>
      </c>
      <c r="J8" s="290">
        <f>53</f>
        <v>53</v>
      </c>
      <c r="K8" s="288">
        <f>3.8</f>
        <v>3.8</v>
      </c>
      <c r="L8" s="291">
        <f>0.736</f>
        <v>0.73599999999999999</v>
      </c>
      <c r="M8" s="291">
        <f>0.638</f>
        <v>0.63800000000000001</v>
      </c>
      <c r="N8" s="292">
        <f>2.18%</f>
        <v>2.18E-2</v>
      </c>
      <c r="O8" s="287">
        <f>30</f>
        <v>30</v>
      </c>
      <c r="P8" s="287">
        <f>4</f>
        <v>4</v>
      </c>
      <c r="Q8" s="288">
        <f t="shared" si="23"/>
        <v>32</v>
      </c>
      <c r="R8" s="289">
        <f t="shared" si="24"/>
        <v>2.0499999999999998</v>
      </c>
      <c r="S8" s="293">
        <f>335</f>
        <v>335</v>
      </c>
      <c r="T8" s="294">
        <f t="shared" si="25"/>
        <v>125</v>
      </c>
      <c r="U8" s="295" t="e">
        <f ca="1">(45 + 25 * P_Q + 0.85 * Self_AP) * (MOD_Magic + IF(Steroid_P, 0.1 * Calc!O10, 0))</f>
        <v>#NAME?</v>
      </c>
      <c r="V8" s="296" t="e">
        <f ca="1">(14 + (0.0075 + 0.0025 * P_W + 0.00005 * Self_AP) * E_MHP) * (MOD_Magic + IF(Steroid_P, 0.1 * Calc!O10, 0))</f>
        <v>#NAME?</v>
      </c>
      <c r="W8" s="296" t="e">
        <f ca="1">(30 + 35 * P_E + 0.5 * Self_AP) * (MOD_Magic + IF(Steroid_P, 0.1 * Calc!O10, 0))</f>
        <v>#NAME?</v>
      </c>
      <c r="X8" s="296" t="e">
        <f ca="1">(100 + 100 * P_R + 0.8 * Self_AP) * (MOD_Magic + IF(Steroid_P, 0.1 * MOD_True, 0))</f>
        <v>#NAME?</v>
      </c>
      <c r="Y8" s="297">
        <f t="shared" ref="Y8:Y11" si="28">0</f>
        <v>0</v>
      </c>
      <c r="Z8" s="281">
        <f>16.5-0.5*P_Q</f>
        <v>16.5</v>
      </c>
      <c r="AA8" s="282">
        <f>1</f>
        <v>1</v>
      </c>
      <c r="AB8" s="282">
        <f>10-P_E</f>
        <v>10</v>
      </c>
      <c r="AC8" s="282">
        <f>175-25*P_R</f>
        <v>175</v>
      </c>
      <c r="AD8" s="283">
        <f>1</f>
        <v>1</v>
      </c>
      <c r="AE8" s="284" t="b">
        <f t="shared" si="26"/>
        <v>1</v>
      </c>
      <c r="AF8" s="285" t="e">
        <f ca="1">_xludf.Image("https://ddragon.leagueoflegends.com/cdn/11.19.1/img/champion/Amumu.png")</f>
        <v>#NAME?</v>
      </c>
      <c r="AG8" s="282">
        <f ca="1">IFERROR(__xludf.DUMMYFUNCTION("IF(OR(REGEXMATCH(FORMULATEXT(U8),""HMOD""),NOT(P_Q&gt;0)),0,U8)+IF(OR(REGEXMATCH(FORMULATEXT(V8),""HMOD""),NOT(P_W&gt;0)),0,V8)+IF(OR(REGEXMATCH(FORMULATEXT(W8),""HMOD""),NOT(P_E&gt;0)),0,W8)+IF(OR(REGEXMATCH(FORMULATEXT(X8),""HMOD""),NOT(P_R&gt;0)),0,X8)+IF(REGEXMAT"&amp;"CH(FORMULATEXT(Y8),""HMOD""),0,Y8)+Self_Proc_item+Self_Proc_Summ+Self_Proc_Rune+3*Self_DPS"),0)</f>
        <v>0</v>
      </c>
      <c r="AH8" s="282">
        <f t="shared" si="8"/>
        <v>0</v>
      </c>
      <c r="AI8" s="282" t="b">
        <f t="shared" ref="AI8:AJ8" si="29">FALSE</f>
        <v>0</v>
      </c>
      <c r="AJ8" s="283" t="b">
        <f t="shared" si="29"/>
        <v>0</v>
      </c>
    </row>
    <row r="9" spans="1:36">
      <c r="A9" s="267" t="s">
        <v>194</v>
      </c>
      <c r="B9" s="287">
        <f>550</f>
        <v>550</v>
      </c>
      <c r="C9" s="287">
        <f>92</f>
        <v>92</v>
      </c>
      <c r="D9" s="288">
        <f t="shared" ref="D9:D10" si="30">5.5</f>
        <v>5.5</v>
      </c>
      <c r="E9" s="289">
        <f t="shared" ref="E9:E13" si="31">0.55</f>
        <v>0.55000000000000004</v>
      </c>
      <c r="F9" s="288">
        <f>495</f>
        <v>495</v>
      </c>
      <c r="G9" s="288">
        <f>45</f>
        <v>45</v>
      </c>
      <c r="H9" s="288">
        <f t="shared" ref="H9:H10" si="32">8</f>
        <v>8</v>
      </c>
      <c r="I9" s="289">
        <f t="shared" ref="I9:I10" si="33">0.8</f>
        <v>0.8</v>
      </c>
      <c r="J9" s="290">
        <f>51</f>
        <v>51</v>
      </c>
      <c r="K9" s="288">
        <f>3.2</f>
        <v>3.2</v>
      </c>
      <c r="L9" s="291">
        <f t="shared" ref="L9:M9" si="34">0.625</f>
        <v>0.625</v>
      </c>
      <c r="M9" s="291">
        <f t="shared" si="34"/>
        <v>0.625</v>
      </c>
      <c r="N9" s="292">
        <f>1.68%</f>
        <v>1.6799999999999999E-2</v>
      </c>
      <c r="O9" s="287">
        <f>21</f>
        <v>21</v>
      </c>
      <c r="P9" s="287">
        <f>4.9</f>
        <v>4.9000000000000004</v>
      </c>
      <c r="Q9" s="288">
        <f t="shared" ref="Q9:Q15" si="35">30</f>
        <v>30</v>
      </c>
      <c r="R9" s="289">
        <f t="shared" ref="R9:R15" si="36">1.3</f>
        <v>1.3</v>
      </c>
      <c r="S9" s="293">
        <f>325</f>
        <v>325</v>
      </c>
      <c r="T9" s="294">
        <f>600</f>
        <v>600</v>
      </c>
      <c r="U9" s="298" t="e">
        <f ca="1">(IF(Steroid_Q,25+35*P_Q+0.45*Self_AP,0)+(30+20*P_Q+0.25*Self_AP))*MOD_Magic</f>
        <v>#NAME?</v>
      </c>
      <c r="V9" s="299">
        <f>0</f>
        <v>0</v>
      </c>
      <c r="W9" s="299" t="e">
        <f ca="1">IF(Steroid_E,2,1)*(25+25*P_E+0.6*Self_AP)*MOD_Magic</f>
        <v>#NAME?</v>
      </c>
      <c r="X9" s="299" t="e">
        <f ca="1">IF(Steroid_R,3,1)*(15+15*P_R+0.125*Self_AP)*MOD_Magic</f>
        <v>#NAME?</v>
      </c>
      <c r="Y9" s="300">
        <f t="shared" si="28"/>
        <v>0</v>
      </c>
      <c r="Z9" s="281">
        <f>13-1*P_Q</f>
        <v>13</v>
      </c>
      <c r="AA9" s="282">
        <f>17</f>
        <v>17</v>
      </c>
      <c r="AB9" s="282">
        <f>4</f>
        <v>4</v>
      </c>
      <c r="AC9" s="282">
        <f>5-1*P_R</f>
        <v>5</v>
      </c>
      <c r="AD9" s="283">
        <f>240</f>
        <v>240</v>
      </c>
      <c r="AE9" s="284" t="b">
        <f t="shared" ref="AE9:AE15" si="37">FALSE</f>
        <v>0</v>
      </c>
      <c r="AF9" s="285" t="e">
        <f ca="1">_xludf.Image("https://ddragon.leagueoflegends.com/cdn/11.19.1/img/champion/Anivia.png")</f>
        <v>#NAME?</v>
      </c>
      <c r="AG9" s="282">
        <f ca="1">IFERROR(__xludf.DUMMYFUNCTION("IF(OR(REGEXMATCH(FORMULATEXT(U9),""HMOD""),NOT(P_Q&gt;0)),0,U9)+IF(OR(REGEXMATCH(FORMULATEXT(V9),""HMOD""),NOT(P_W&gt;0)),0,V9)+IF(OR(REGEXMATCH(FORMULATEXT(W9),""HMOD""),NOT(P_E&gt;0)),0,W9)+IF(OR(REGEXMATCH(FORMULATEXT(X9),""HMOD""),NOT(P_R&gt;0)),0,X9)+IF(REGEXMAT"&amp;"CH(FORMULATEXT(Y9),""HMOD""),0,Y9)+Self_Proc_item+Self_Proc_Summ+Self_Proc_Rune+3*Self_DPS"),0)</f>
        <v>0</v>
      </c>
      <c r="AH9" s="282">
        <f t="shared" si="8"/>
        <v>0</v>
      </c>
      <c r="AI9" s="282" t="b">
        <f t="shared" ref="AI9:AJ9" si="38">FALSE</f>
        <v>0</v>
      </c>
      <c r="AJ9" s="283" t="b">
        <f t="shared" si="38"/>
        <v>0</v>
      </c>
    </row>
    <row r="10" spans="1:36">
      <c r="A10" s="301" t="s">
        <v>195</v>
      </c>
      <c r="B10" s="282">
        <f>560</f>
        <v>560</v>
      </c>
      <c r="C10" s="282">
        <f t="shared" ref="C10:C11" si="39">102</f>
        <v>102</v>
      </c>
      <c r="D10" s="282">
        <f t="shared" si="30"/>
        <v>5.5</v>
      </c>
      <c r="E10" s="302">
        <f t="shared" si="31"/>
        <v>0.55000000000000004</v>
      </c>
      <c r="F10" s="282">
        <f>418</f>
        <v>418</v>
      </c>
      <c r="G10" s="282">
        <f>25</f>
        <v>25</v>
      </c>
      <c r="H10" s="282">
        <f t="shared" si="32"/>
        <v>8</v>
      </c>
      <c r="I10" s="302">
        <f t="shared" si="33"/>
        <v>0.8</v>
      </c>
      <c r="J10" s="303">
        <f>50</f>
        <v>50</v>
      </c>
      <c r="K10" s="282">
        <f>2.63</f>
        <v>2.63</v>
      </c>
      <c r="L10" s="304">
        <f t="shared" ref="L10:M10" si="40">0.579</f>
        <v>0.57899999999999996</v>
      </c>
      <c r="M10" s="304">
        <f t="shared" si="40"/>
        <v>0.57899999999999996</v>
      </c>
      <c r="N10" s="305">
        <f>1.36%</f>
        <v>1.3600000000000001E-2</v>
      </c>
      <c r="O10" s="282">
        <f>19</f>
        <v>19</v>
      </c>
      <c r="P10" s="282">
        <f>5.2</f>
        <v>5.2</v>
      </c>
      <c r="Q10" s="282">
        <f t="shared" si="35"/>
        <v>30</v>
      </c>
      <c r="R10" s="302">
        <f t="shared" si="36"/>
        <v>1.3</v>
      </c>
      <c r="S10" s="285">
        <f>335</f>
        <v>335</v>
      </c>
      <c r="T10" s="286">
        <f>625</f>
        <v>625</v>
      </c>
      <c r="U10" s="295" t="e">
        <f ca="1">(45 + 35 * P_Q + 0.8 * Self_AP) * MOD_Magic</f>
        <v>#NAME?</v>
      </c>
      <c r="V10" s="296" t="e">
        <f ca="1">(25+45*P_W+0.85*Self_AP)*MOD_Magic</f>
        <v>#NAME?</v>
      </c>
      <c r="W10" s="296" t="e">
        <f ca="1">(15+10*P_E+0.4*Self_AP)*MOD_Magic</f>
        <v>#NAME?</v>
      </c>
      <c r="X10" s="296" t="e">
        <f ca="1">(25+125*P_R+0.65*Self_AP)*MOD_Magic</f>
        <v>#NAME?</v>
      </c>
      <c r="Y10" s="297">
        <f t="shared" si="28"/>
        <v>0</v>
      </c>
      <c r="Z10" s="284">
        <f>4</f>
        <v>4</v>
      </c>
      <c r="AA10" s="285">
        <f>8</f>
        <v>8</v>
      </c>
      <c r="AB10" s="285">
        <f>12.5-0.5*P_E</f>
        <v>12.5</v>
      </c>
      <c r="AC10" s="285">
        <f>145 - 15 * P_R</f>
        <v>145</v>
      </c>
      <c r="AD10" s="286">
        <f t="shared" ref="AD10:AD13" si="41">1</f>
        <v>1</v>
      </c>
      <c r="AE10" s="284" t="b">
        <f t="shared" si="37"/>
        <v>0</v>
      </c>
      <c r="AF10" s="285" t="e">
        <f ca="1">_xludf.Image("https://ddragon.leagueoflegends.com/cdn/11.19.1/img/champion/Annie.png")</f>
        <v>#NAME?</v>
      </c>
      <c r="AG10" s="282">
        <f ca="1">IFERROR(__xludf.DUMMYFUNCTION("IF(OR(REGEXMATCH(FORMULATEXT(U10),""HMOD""),NOT(P_Q&gt;0)),0,U10)+IF(OR(REGEXMATCH(FORMULATEXT(V10),""HMOD""),NOT(P_W&gt;0)),0,V10)+IF(OR(REGEXMATCH(FORMULATEXT(W10),""HMOD""),NOT(P_E&gt;0)),0,W10)+IF(OR(REGEXMATCH(FORMULATEXT(X10),""HMOD""),NOT(P_R&gt;0)),0,X10)+IF("&amp;"REGEXMATCH(FORMULATEXT(Y10),""HMOD""),0,Y10)+Self_Proc_item+Self_Proc_Summ+Self_Proc_Rune+3*Self_DPS"),0)</f>
        <v>0</v>
      </c>
      <c r="AH10" s="282">
        <f t="shared" si="8"/>
        <v>0</v>
      </c>
      <c r="AI10" s="282" t="b">
        <f t="shared" ref="AI10:AJ10" si="42">FALSE</f>
        <v>0</v>
      </c>
      <c r="AJ10" s="283" t="b">
        <f t="shared" si="42"/>
        <v>0</v>
      </c>
    </row>
    <row r="11" spans="1:36">
      <c r="A11" s="267" t="s">
        <v>196</v>
      </c>
      <c r="B11" s="287">
        <f>580</f>
        <v>580</v>
      </c>
      <c r="C11" s="287">
        <f t="shared" si="39"/>
        <v>102</v>
      </c>
      <c r="D11" s="288">
        <f>3.25</f>
        <v>3.25</v>
      </c>
      <c r="E11" s="289">
        <f t="shared" si="31"/>
        <v>0.55000000000000004</v>
      </c>
      <c r="F11" s="288">
        <f>348</f>
        <v>348</v>
      </c>
      <c r="G11" s="288">
        <f>42</f>
        <v>42</v>
      </c>
      <c r="H11" s="288">
        <f>6.5</f>
        <v>6.5</v>
      </c>
      <c r="I11" s="289">
        <f>0.5</f>
        <v>0.5</v>
      </c>
      <c r="J11" s="290">
        <f>55</f>
        <v>55</v>
      </c>
      <c r="K11" s="288">
        <f>3</f>
        <v>3</v>
      </c>
      <c r="L11" s="291">
        <f t="shared" ref="L11:M11" si="43">0.64</f>
        <v>0.64</v>
      </c>
      <c r="M11" s="291">
        <f t="shared" si="43"/>
        <v>0.64</v>
      </c>
      <c r="N11" s="292">
        <f>2.1%</f>
        <v>2.1000000000000001E-2</v>
      </c>
      <c r="O11" s="287">
        <f t="shared" ref="O11:O12" si="44">26</f>
        <v>26</v>
      </c>
      <c r="P11" s="287">
        <f>4.2</f>
        <v>4.2</v>
      </c>
      <c r="Q11" s="288">
        <f t="shared" si="35"/>
        <v>30</v>
      </c>
      <c r="R11" s="289">
        <f t="shared" si="36"/>
        <v>1.3</v>
      </c>
      <c r="S11" s="293">
        <f t="shared" ref="S11:S13" si="45">325</f>
        <v>325</v>
      </c>
      <c r="T11" s="294">
        <f>550+IF(C_Aphelios_W1="Calibrum",100,0)</f>
        <v>550</v>
      </c>
      <c r="U11" s="298">
        <v>0</v>
      </c>
      <c r="V11" s="299">
        <f t="shared" ref="V11:W11" si="46">0</f>
        <v>0</v>
      </c>
      <c r="W11" s="299">
        <f t="shared" si="46"/>
        <v>0</v>
      </c>
      <c r="X11" s="299">
        <v>75</v>
      </c>
      <c r="Y11" s="300">
        <f t="shared" si="28"/>
        <v>0</v>
      </c>
      <c r="Z11" s="281">
        <v>10</v>
      </c>
      <c r="AA11" s="282">
        <f>0.8</f>
        <v>0.8</v>
      </c>
      <c r="AB11" s="282">
        <f>1</f>
        <v>1</v>
      </c>
      <c r="AC11" s="282">
        <v>130</v>
      </c>
      <c r="AD11" s="283">
        <f t="shared" si="41"/>
        <v>1</v>
      </c>
      <c r="AE11" s="284" t="b">
        <f t="shared" si="37"/>
        <v>0</v>
      </c>
      <c r="AF11" s="285" t="e">
        <f ca="1">_xludf.Image("https://ddragon.leagueoflegends.com/cdn/11.19.1/img/champion/Aphelios.png")</f>
        <v>#NAME?</v>
      </c>
      <c r="AG11" s="282">
        <f ca="1">IFERROR(__xludf.DUMMYFUNCTION("IF(OR(REGEXMATCH(FORMULATEXT(U11),""HMOD""),NOT(P_Q&gt;0)),0,U11)+IF(OR(REGEXMATCH(FORMULATEXT(V11),""HMOD""),NOT(P_W&gt;0)),0,V11)+IF(OR(REGEXMATCH(FORMULATEXT(W11),""HMOD""),NOT(P_E&gt;0)),0,W11)+IF(OR(REGEXMATCH(FORMULATEXT(X11),""HMOD""),NOT(P_R&gt;0)),0,X11)+IF("&amp;"REGEXMATCH(FORMULATEXT(Y11),""HMOD""),0,Y11)+Self_Proc_item+Self_Proc_Summ+Self_Proc_Rune+3*Self_DPS"),0)</f>
        <v>0</v>
      </c>
      <c r="AH11" s="282">
        <f t="shared" si="8"/>
        <v>0</v>
      </c>
      <c r="AI11" s="282" t="b">
        <f t="shared" ref="AI11:AJ11" si="47">FALSE</f>
        <v>0</v>
      </c>
      <c r="AJ11" s="283" t="b">
        <f t="shared" si="47"/>
        <v>0</v>
      </c>
    </row>
    <row r="12" spans="1:36">
      <c r="A12" s="267" t="s">
        <v>197</v>
      </c>
      <c r="B12" s="287">
        <f>640</f>
        <v>640</v>
      </c>
      <c r="C12" s="287">
        <f>101</f>
        <v>101</v>
      </c>
      <c r="D12" s="288">
        <f>3.5</f>
        <v>3.5</v>
      </c>
      <c r="E12" s="289">
        <f t="shared" si="31"/>
        <v>0.55000000000000004</v>
      </c>
      <c r="F12" s="288">
        <f>280</f>
        <v>280</v>
      </c>
      <c r="G12" s="288">
        <f>35</f>
        <v>35</v>
      </c>
      <c r="H12" s="288">
        <f>7</f>
        <v>7</v>
      </c>
      <c r="I12" s="289">
        <f>0.65</f>
        <v>0.65</v>
      </c>
      <c r="J12" s="290">
        <f>59</f>
        <v>59</v>
      </c>
      <c r="K12" s="288">
        <f>2.96</f>
        <v>2.96</v>
      </c>
      <c r="L12" s="291">
        <f t="shared" ref="L12:M12" si="48">0.658</f>
        <v>0.65800000000000003</v>
      </c>
      <c r="M12" s="291">
        <f t="shared" si="48"/>
        <v>0.65800000000000003</v>
      </c>
      <c r="N12" s="292">
        <f>3.33%</f>
        <v>3.3300000000000003E-2</v>
      </c>
      <c r="O12" s="287">
        <f t="shared" si="44"/>
        <v>26</v>
      </c>
      <c r="P12" s="287">
        <f>4.6</f>
        <v>4.5999999999999996</v>
      </c>
      <c r="Q12" s="288">
        <f t="shared" si="35"/>
        <v>30</v>
      </c>
      <c r="R12" s="289">
        <f t="shared" si="36"/>
        <v>1.3</v>
      </c>
      <c r="S12" s="293">
        <f t="shared" si="45"/>
        <v>325</v>
      </c>
      <c r="T12" s="294">
        <f>600</f>
        <v>600</v>
      </c>
      <c r="U12" s="295" t="e">
        <f ca="1">(Self_AD*(1+0.05*P_Q))*MOD_Phys</f>
        <v>#NAME?</v>
      </c>
      <c r="V12" s="296" t="e">
        <f ca="1">(5 + 15 * P_W + Self_AD) * MOD_Phys</f>
        <v>#NAME?</v>
      </c>
      <c r="W12" s="296">
        <f>0</f>
        <v>0</v>
      </c>
      <c r="X12" s="296" t="e">
        <f ca="1">(200 * P_R + 1.2 * Self_AP) * MOD_Magic</f>
        <v>#NAME?</v>
      </c>
      <c r="Y12" s="297" t="e">
        <f ca="1">Self_AD*(Calc!M10-1)*(MOD_Hit/Calc!M10)</f>
        <v>#NAME?</v>
      </c>
      <c r="Z12" s="281">
        <f>4/IF(Self_AS&lt;=0,0.625,Self_AS)</f>
        <v>6.4</v>
      </c>
      <c r="AA12" s="282">
        <f>21.5-3.5*P_W</f>
        <v>21.5</v>
      </c>
      <c r="AB12" s="282">
        <f>100-10*P_E</f>
        <v>100</v>
      </c>
      <c r="AC12" s="282">
        <f>120-20*P_R</f>
        <v>120</v>
      </c>
      <c r="AD12" s="283">
        <f t="shared" si="41"/>
        <v>1</v>
      </c>
      <c r="AE12" s="284" t="b">
        <f t="shared" si="37"/>
        <v>0</v>
      </c>
      <c r="AF12" s="285" t="e">
        <f ca="1">_xludf.Image("https://ddragon.leagueoflegends.com/cdn/11.19.1/img/champion/Ashe.png")</f>
        <v>#NAME?</v>
      </c>
      <c r="AG12" s="282">
        <f ca="1">IFERROR(__xludf.DUMMYFUNCTION("IF(OR(REGEXMATCH(FORMULATEXT(U12),""HMOD""),NOT(P_Q&gt;0)),0,U12)+IF(OR(REGEXMATCH(FORMULATEXT(V12),""HMOD""),NOT(P_W&gt;0)),0,V12)+IF(OR(REGEXMATCH(FORMULATEXT(W12),""HMOD""),NOT(P_E&gt;0)),0,W12)+IF(OR(REGEXMATCH(FORMULATEXT(X12),""HMOD""),NOT(P_R&gt;0)),0,X12)+IF("&amp;"REGEXMATCH(FORMULATEXT(Y12),""HMOD""),0,Y12)+Self_Proc_item+Self_Proc_Summ+Self_Proc_Rune+3*Self_DPS"),0)</f>
        <v>0</v>
      </c>
      <c r="AH12" s="282">
        <f t="shared" si="8"/>
        <v>0</v>
      </c>
      <c r="AI12" s="282" t="b">
        <f t="shared" ref="AI12:AJ12" si="49">FALSE</f>
        <v>0</v>
      </c>
      <c r="AJ12" s="283" t="b">
        <f t="shared" si="49"/>
        <v>0</v>
      </c>
    </row>
    <row r="13" spans="1:36">
      <c r="A13" s="267" t="s">
        <v>198</v>
      </c>
      <c r="B13" s="287">
        <f>620</f>
        <v>620</v>
      </c>
      <c r="C13" s="287">
        <f>90</f>
        <v>90</v>
      </c>
      <c r="D13" s="288">
        <f>5.5</f>
        <v>5.5</v>
      </c>
      <c r="E13" s="289">
        <f t="shared" si="31"/>
        <v>0.55000000000000004</v>
      </c>
      <c r="F13" s="288">
        <f>530</f>
        <v>530</v>
      </c>
      <c r="G13" s="288">
        <f t="shared" ref="G13:G14" si="50">40</f>
        <v>40</v>
      </c>
      <c r="H13" s="288">
        <f t="shared" ref="H13:H14" si="51">8</f>
        <v>8</v>
      </c>
      <c r="I13" s="289">
        <f>0.75</f>
        <v>0.75</v>
      </c>
      <c r="J13" s="290">
        <f>55</f>
        <v>55</v>
      </c>
      <c r="K13" s="288">
        <f>3.2</f>
        <v>3.2</v>
      </c>
      <c r="L13" s="291">
        <f t="shared" ref="L13:M13" si="52">0.625</f>
        <v>0.625</v>
      </c>
      <c r="M13" s="291">
        <f t="shared" si="52"/>
        <v>0.625</v>
      </c>
      <c r="N13" s="292">
        <f>1.36%</f>
        <v>1.3600000000000001E-2</v>
      </c>
      <c r="O13" s="287">
        <f t="shared" ref="O13:O14" si="53">22</f>
        <v>22</v>
      </c>
      <c r="P13" s="287">
        <f>4</f>
        <v>4</v>
      </c>
      <c r="Q13" s="288">
        <f t="shared" si="35"/>
        <v>30</v>
      </c>
      <c r="R13" s="289">
        <f t="shared" si="36"/>
        <v>1.3</v>
      </c>
      <c r="S13" s="293">
        <f t="shared" si="45"/>
        <v>325</v>
      </c>
      <c r="T13" s="294">
        <f>550</f>
        <v>550</v>
      </c>
      <c r="U13" s="298" t="e">
        <f ca="1">((30 + 10 * P_Q + 20 + 20 * Sc_Lin + 5 + 10 * P_Q + 30 + 60 * Sc_Lin) * IF(Steroid_W, 1.125 + 0.015, 1) + 0.6 * Self_AP + 0.35 * Self_AP + (0.00031 * Minion) * E_MHP) * MOD_Magic * IF(Steroid_Q, 3, 1)</f>
        <v>#NAME?</v>
      </c>
      <c r="V13" s="299">
        <f>0</f>
        <v>0</v>
      </c>
      <c r="W13" s="299" t="e">
        <f ca="1">(25 + 25 * P_E + Self_AP) * MOD_Magic</f>
        <v>#NAME?</v>
      </c>
      <c r="X13" s="299" t="e">
        <f ca="1">IF(Minion &gt;= 75, 1.25, 1) * (50 + 100 * P_R + 0.65 * Self_AP) * MOD_Magic</f>
        <v>#NAME?</v>
      </c>
      <c r="Y13" s="300">
        <f>0</f>
        <v>0</v>
      </c>
      <c r="Z13" s="281">
        <f>3</f>
        <v>3</v>
      </c>
      <c r="AA13" s="282">
        <f>23.5-1.5*P_W</f>
        <v>23.5</v>
      </c>
      <c r="AB13" s="282">
        <f>12</f>
        <v>12</v>
      </c>
      <c r="AC13" s="282">
        <f>130 - 10 * P_R</f>
        <v>130</v>
      </c>
      <c r="AD13" s="283">
        <f t="shared" si="41"/>
        <v>1</v>
      </c>
      <c r="AE13" s="284" t="b">
        <f t="shared" si="37"/>
        <v>0</v>
      </c>
      <c r="AF13" s="285" t="e">
        <f ca="1">_xludf.Image("https://ddragon.leagueoflegends.com/cdn/11.19.1/img/champion/AurelionSol.png")</f>
        <v>#NAME?</v>
      </c>
      <c r="AG13" s="282">
        <f ca="1">IFERROR(__xludf.DUMMYFUNCTION("IF(OR(REGEXMATCH(FORMULATEXT(U13),""HMOD""),NOT(P_Q&gt;0)),0,U13)+IF(OR(REGEXMATCH(FORMULATEXT(V13),""HMOD""),NOT(P_W&gt;0)),0,V13)+IF(OR(REGEXMATCH(FORMULATEXT(W13),""HMOD""),NOT(P_E&gt;0)),0,W13)+IF(OR(REGEXMATCH(FORMULATEXT(X13),""HMOD""),NOT(P_R&gt;0)),0,X13)+IF("&amp;"REGEXMATCH(FORMULATEXT(Y13),""HMOD""),0,Y13)+Self_Proc_item+Self_Proc_Summ+Self_Proc_Rune+3*Self_DPS"),0)</f>
        <v>0</v>
      </c>
      <c r="AH13" s="282">
        <f t="shared" si="8"/>
        <v>0</v>
      </c>
      <c r="AI13" s="282" t="b">
        <f t="shared" ref="AI13:AJ13" si="54">FALSE</f>
        <v>0</v>
      </c>
      <c r="AJ13" s="283" t="b">
        <f t="shared" si="54"/>
        <v>0</v>
      </c>
    </row>
    <row r="14" spans="1:36">
      <c r="A14" s="267" t="s">
        <v>199</v>
      </c>
      <c r="B14" s="287">
        <f>550</f>
        <v>550</v>
      </c>
      <c r="C14" s="287">
        <f>119</f>
        <v>119</v>
      </c>
      <c r="D14" s="288">
        <f>7</f>
        <v>7</v>
      </c>
      <c r="E14" s="289">
        <f>0.75</f>
        <v>0.75</v>
      </c>
      <c r="F14" s="288">
        <f>320</f>
        <v>320</v>
      </c>
      <c r="G14" s="288">
        <f t="shared" si="50"/>
        <v>40</v>
      </c>
      <c r="H14" s="288">
        <f t="shared" si="51"/>
        <v>8</v>
      </c>
      <c r="I14" s="289">
        <f>0.8</f>
        <v>0.8</v>
      </c>
      <c r="J14" s="290">
        <f t="shared" ref="J14:J15" si="55">52</f>
        <v>52</v>
      </c>
      <c r="K14" s="288">
        <f>3.5</f>
        <v>3.5</v>
      </c>
      <c r="L14" s="291">
        <f t="shared" ref="L14:L17" si="56">0.625</f>
        <v>0.625</v>
      </c>
      <c r="M14" s="291">
        <f>0.694</f>
        <v>0.69399999999999995</v>
      </c>
      <c r="N14" s="292">
        <f>6%</f>
        <v>0.06</v>
      </c>
      <c r="O14" s="287">
        <f t="shared" si="53"/>
        <v>22</v>
      </c>
      <c r="P14" s="287">
        <f>5</f>
        <v>5</v>
      </c>
      <c r="Q14" s="288">
        <f t="shared" si="35"/>
        <v>30</v>
      </c>
      <c r="R14" s="289">
        <f t="shared" si="36"/>
        <v>1.3</v>
      </c>
      <c r="S14" s="293">
        <f>335</f>
        <v>335</v>
      </c>
      <c r="T14" s="294">
        <f>525</f>
        <v>525</v>
      </c>
      <c r="U14" s="295" t="e">
        <f ca="1">(40 + 20 * P_Q + 0.35 * Self_AP) * MOD_Magic</f>
        <v>#NAME?</v>
      </c>
      <c r="V14" s="296" t="e">
        <f ca="1">(33 + 17 * P_W + 2 * (Self_Level - 1) + MAX(Self_Level - 8, 0) + MAX(2 * (Self_Level - 9), 0) + MAX(5 * (Self_Level - 14), 0) + 0.6 * Self_AP) * MOD_Magic</f>
        <v>#NAME?</v>
      </c>
      <c r="W14" s="296" t="e">
        <f ca="1">(20 + 40 * P_E + 0.4 * Self_AP) * MOD_Magic</f>
        <v>#NAME?</v>
      </c>
      <c r="X14" s="296" t="e">
        <f ca="1">(200*P_R+0.75*Self_AP)*MOD_Magic</f>
        <v>#NAME?</v>
      </c>
      <c r="Y14" s="297" t="e">
        <f ca="1">(0.4 * Self_AP + 230 + 180 * Sc_Lin) * MOD_Magic</f>
        <v>#NAME?</v>
      </c>
      <c r="Z14" s="281">
        <f>13.5-1.5*P_Q</f>
        <v>13.5</v>
      </c>
      <c r="AA14" s="282">
        <f>11 - 1 * P_W</f>
        <v>11</v>
      </c>
      <c r="AB14" s="282">
        <f>23.5 - 1.5 * P_E</f>
        <v>23.5</v>
      </c>
      <c r="AC14" s="282">
        <f>135-15*P_R</f>
        <v>135</v>
      </c>
      <c r="AD14" s="283">
        <f>180</f>
        <v>180</v>
      </c>
      <c r="AE14" s="284" t="b">
        <f t="shared" si="37"/>
        <v>0</v>
      </c>
      <c r="AF14" s="285" t="e">
        <f ca="1">_xludf.Image("https://ddragon.leagueoflegends.com/cdn/11.19.1/img/champion/Azir.png")</f>
        <v>#NAME?</v>
      </c>
      <c r="AG14" s="282">
        <f ca="1">IFERROR(__xludf.DUMMYFUNCTION("IF(OR(REGEXMATCH(FORMULATEXT(U14),""HMOD""),NOT(P_Q&gt;0)),0,U14)+IF(OR(REGEXMATCH(FORMULATEXT(V14),""HMOD""),NOT(P_W&gt;0)),0,V14)+IF(OR(REGEXMATCH(FORMULATEXT(W14),""HMOD""),NOT(P_E&gt;0)),0,W14)+IF(OR(REGEXMATCH(FORMULATEXT(X14),""HMOD""),NOT(P_R&gt;0)),0,X14)+IF("&amp;"REGEXMATCH(FORMULATEXT(Y14),""HMOD""),0,Y14)+Self_Proc_item+Self_Proc_Summ+Self_Proc_Rune+3*Self_DPS"),230)</f>
        <v>230</v>
      </c>
      <c r="AH14" s="282">
        <f t="shared" si="8"/>
        <v>0</v>
      </c>
      <c r="AI14" s="282" t="b">
        <f t="shared" ref="AI14:AJ14" si="57">FALSE</f>
        <v>0</v>
      </c>
      <c r="AJ14" s="283" t="b">
        <f t="shared" si="57"/>
        <v>0</v>
      </c>
    </row>
    <row r="15" spans="1:36">
      <c r="A15" s="267" t="s">
        <v>200</v>
      </c>
      <c r="B15" s="287">
        <f>630</f>
        <v>630</v>
      </c>
      <c r="C15" s="287">
        <f>103</f>
        <v>103</v>
      </c>
      <c r="D15" s="288">
        <f>5.5</f>
        <v>5.5</v>
      </c>
      <c r="E15" s="289">
        <f>0.55</f>
        <v>0.55000000000000004</v>
      </c>
      <c r="F15" s="288">
        <f>350</f>
        <v>350</v>
      </c>
      <c r="G15" s="288">
        <f>50</f>
        <v>50</v>
      </c>
      <c r="H15" s="288">
        <f>6</f>
        <v>6</v>
      </c>
      <c r="I15" s="289">
        <f>0.45</f>
        <v>0.45</v>
      </c>
      <c r="J15" s="290">
        <f t="shared" si="55"/>
        <v>52</v>
      </c>
      <c r="K15" s="288">
        <f>3</f>
        <v>3</v>
      </c>
      <c r="L15" s="291">
        <f t="shared" si="56"/>
        <v>0.625</v>
      </c>
      <c r="M15" s="291">
        <f>0.625</f>
        <v>0.625</v>
      </c>
      <c r="N15" s="292">
        <f>2%</f>
        <v>0.02</v>
      </c>
      <c r="O15" s="287">
        <f>34</f>
        <v>34</v>
      </c>
      <c r="P15" s="287">
        <f>5.2</f>
        <v>5.2</v>
      </c>
      <c r="Q15" s="288">
        <f t="shared" si="35"/>
        <v>30</v>
      </c>
      <c r="R15" s="289">
        <f t="shared" si="36"/>
        <v>1.3</v>
      </c>
      <c r="S15" s="293">
        <f>330</f>
        <v>330</v>
      </c>
      <c r="T15" s="294">
        <f>500</f>
        <v>500</v>
      </c>
      <c r="U15" s="298" t="e">
        <f ca="1">(35+45*P_Q+0.65*Self_AP)*MOD_Magic</f>
        <v>#NAME?</v>
      </c>
      <c r="V15" s="299">
        <f>(10+40*P_W+0.6*Self_AP)*MOD_Heal</f>
        <v>10</v>
      </c>
      <c r="W15" s="299">
        <f t="shared" ref="W15:X15" si="58">0</f>
        <v>0</v>
      </c>
      <c r="X15" s="299">
        <f t="shared" si="58"/>
        <v>0</v>
      </c>
      <c r="Y15" s="300">
        <v>35</v>
      </c>
      <c r="Z15" s="281">
        <f>12-P_Q</f>
        <v>12</v>
      </c>
      <c r="AA15" s="282">
        <f>14</f>
        <v>14</v>
      </c>
      <c r="AB15" s="282">
        <f>23.5 - 1.5 * P_E</f>
        <v>23.5</v>
      </c>
      <c r="AC15" s="282">
        <f>125-15*P_R</f>
        <v>125</v>
      </c>
      <c r="AD15" s="283">
        <f>1</f>
        <v>1</v>
      </c>
      <c r="AE15" s="284" t="b">
        <f t="shared" si="37"/>
        <v>0</v>
      </c>
      <c r="AF15" s="285" t="e">
        <f ca="1">_xludf.Image("https://ddragon.leagueoflegends.com/cdn/11.19.1/img/champion/Bard.png")</f>
        <v>#NAME?</v>
      </c>
      <c r="AG15" s="282">
        <f ca="1">IFERROR(__xludf.DUMMYFUNCTION("IF(OR(REGEXMATCH(FORMULATEXT(U15),""HMOD""),NOT(P_Q&gt;0)),0,U15)+IF(OR(REGEXMATCH(FORMULATEXT(V15),""HMOD""),NOT(P_W&gt;0)),0,V15)+IF(OR(REGEXMATCH(FORMULATEXT(W15),""HMOD""),NOT(P_E&gt;0)),0,W15)+IF(OR(REGEXMATCH(FORMULATEXT(X15),""HMOD""),NOT(P_R&gt;0)),0,X15)+IF("&amp;"REGEXMATCH(FORMULATEXT(Y15),""HMOD""),0,Y15)+Self_Proc_item+Self_Proc_Summ+Self_Proc_Rune+3*Self_DPS"),35)</f>
        <v>35</v>
      </c>
      <c r="AH15" s="282">
        <f t="shared" si="8"/>
        <v>0</v>
      </c>
      <c r="AI15" s="282" t="b">
        <f t="shared" ref="AI15:AJ15" si="59">FALSE</f>
        <v>0</v>
      </c>
      <c r="AJ15" s="283" t="b">
        <f t="shared" si="59"/>
        <v>0</v>
      </c>
    </row>
    <row r="16" spans="1:36">
      <c r="A16" s="267" t="s">
        <v>201</v>
      </c>
      <c r="B16" s="287">
        <f>633</f>
        <v>633</v>
      </c>
      <c r="C16" s="287">
        <f>109</f>
        <v>109</v>
      </c>
      <c r="D16" s="288">
        <f>7.5</f>
        <v>7.5</v>
      </c>
      <c r="E16" s="289">
        <f>0.75</f>
        <v>0.75</v>
      </c>
      <c r="F16" s="288">
        <f>267</f>
        <v>267</v>
      </c>
      <c r="G16" s="288">
        <f>40</f>
        <v>40</v>
      </c>
      <c r="H16" s="288">
        <f>8.5</f>
        <v>8.5</v>
      </c>
      <c r="I16" s="289">
        <f>0.8</f>
        <v>0.8</v>
      </c>
      <c r="J16" s="290">
        <f>60</f>
        <v>60</v>
      </c>
      <c r="K16" s="288">
        <f>3.5</f>
        <v>3.5</v>
      </c>
      <c r="L16" s="291">
        <f t="shared" si="56"/>
        <v>0.625</v>
      </c>
      <c r="M16" s="291">
        <f>0.7</f>
        <v>0.7</v>
      </c>
      <c r="N16" s="292">
        <f>1.13%</f>
        <v>1.1299999999999999E-2</v>
      </c>
      <c r="O16" s="287">
        <f>40</f>
        <v>40</v>
      </c>
      <c r="P16" s="287">
        <f t="shared" ref="P16:P17" si="60">4.7</f>
        <v>4.7</v>
      </c>
      <c r="Q16" s="288">
        <f>28</f>
        <v>28</v>
      </c>
      <c r="R16" s="289">
        <f>2.05</f>
        <v>2.0499999999999998</v>
      </c>
      <c r="S16" s="293">
        <f>325</f>
        <v>325</v>
      </c>
      <c r="T16" s="294">
        <f>125</f>
        <v>125</v>
      </c>
      <c r="U16" s="295" t="e">
        <f ca="1">(55 + 50 * P_Q + 1.2 * Self_AP) * MOD_Magic</f>
        <v>#NAME?</v>
      </c>
      <c r="V16" s="296">
        <f>0</f>
        <v>0</v>
      </c>
      <c r="W16" s="296" t="e">
        <f ca="1">(Self_AD * 1.75 + 0.25 * Self_AP) * MOD_Phys</f>
        <v>#NAME?</v>
      </c>
      <c r="X16" s="296" t="e">
        <f ca="1">(150 + 125 * P_R + 1.25 * Self_AP) * MOD_Magic</f>
        <v>#NAME?</v>
      </c>
      <c r="Y16" s="297">
        <f>(0.15 + 0.3 * Sc_Lin)*MOD_SelfHeal*Self_MP</f>
        <v>0</v>
      </c>
      <c r="Z16" s="281">
        <f>21-P_Q</f>
        <v>21</v>
      </c>
      <c r="AA16" s="282">
        <f>15</f>
        <v>15</v>
      </c>
      <c r="AB16" s="282">
        <f>10-P_E</f>
        <v>10</v>
      </c>
      <c r="AC16" s="282">
        <f>80-20*P_R</f>
        <v>80</v>
      </c>
      <c r="AD16" s="283">
        <f>90</f>
        <v>90</v>
      </c>
      <c r="AE16" s="284" t="b">
        <f>TRUE</f>
        <v>1</v>
      </c>
      <c r="AF16" s="285" t="e">
        <f ca="1">_xludf.Image("https://ddragon.leagueoflegends.com/cdn/11.19.1/img/champion/Blitzcrank.png")</f>
        <v>#NAME?</v>
      </c>
      <c r="AG16" s="282">
        <f ca="1">IFERROR(__xludf.DUMMYFUNCTION("IF(OR(REGEXMATCH(FORMULATEXT(U16),""HMOD""),NOT(P_Q&gt;0)),0,U16)+IF(OR(REGEXMATCH(FORMULATEXT(V16),""HMOD""),NOT(P_W&gt;0)),0,V16)+IF(OR(REGEXMATCH(FORMULATEXT(W16),""HMOD""),NOT(P_E&gt;0)),0,W16)+IF(OR(REGEXMATCH(FORMULATEXT(X16),""HMOD""),NOT(P_R&gt;0)),0,X16)+IF("&amp;"REGEXMATCH(FORMULATEXT(Y16),""HMOD""),0,Y16)+Self_Proc_item+Self_Proc_Summ+Self_Proc_Rune+3*Self_DPS"),0)</f>
        <v>0</v>
      </c>
      <c r="AH16" s="282">
        <f t="shared" si="8"/>
        <v>0</v>
      </c>
      <c r="AI16" s="282" t="b">
        <f t="shared" ref="AI16:AJ16" si="61">FALSE</f>
        <v>0</v>
      </c>
      <c r="AJ16" s="283" t="b">
        <f t="shared" si="61"/>
        <v>0</v>
      </c>
    </row>
    <row r="17" spans="1:36">
      <c r="A17" s="267" t="s">
        <v>202</v>
      </c>
      <c r="B17" s="287">
        <f>590</f>
        <v>590</v>
      </c>
      <c r="C17" s="287">
        <f>102</f>
        <v>102</v>
      </c>
      <c r="D17" s="288">
        <f>5.5</f>
        <v>5.5</v>
      </c>
      <c r="E17" s="289">
        <f>0.55</f>
        <v>0.55000000000000004</v>
      </c>
      <c r="F17" s="288">
        <f>496</f>
        <v>496</v>
      </c>
      <c r="G17" s="288">
        <f>21</f>
        <v>21</v>
      </c>
      <c r="H17" s="288">
        <f>10.65</f>
        <v>10.65</v>
      </c>
      <c r="I17" s="289">
        <f>0.6</f>
        <v>0.6</v>
      </c>
      <c r="J17" s="290">
        <f>57</f>
        <v>57</v>
      </c>
      <c r="K17" s="288">
        <f>3</f>
        <v>3</v>
      </c>
      <c r="L17" s="291">
        <f t="shared" si="56"/>
        <v>0.625</v>
      </c>
      <c r="M17" s="291">
        <f>0.625</f>
        <v>0.625</v>
      </c>
      <c r="N17" s="292">
        <f>1.36%</f>
        <v>1.3600000000000001E-2</v>
      </c>
      <c r="O17" s="287">
        <f>22</f>
        <v>22</v>
      </c>
      <c r="P17" s="287">
        <f t="shared" si="60"/>
        <v>4.7</v>
      </c>
      <c r="Q17" s="288">
        <f>30</f>
        <v>30</v>
      </c>
      <c r="R17" s="289">
        <f>1.3</f>
        <v>1.3</v>
      </c>
      <c r="S17" s="293">
        <f>340</f>
        <v>340</v>
      </c>
      <c r="T17" s="294">
        <f>550</f>
        <v>550</v>
      </c>
      <c r="U17" s="298" t="e">
        <f ca="1">(50+30*P_Q+0.55*Self_AP)*MOD_Magic</f>
        <v>#NAME?</v>
      </c>
      <c r="V17" s="299" t="e">
        <f ca="1">(30+45*P_W+0.6*Self_AP)*MOD_Magic*IF(Steroid_W,1.25,1)</f>
        <v>#NAME?</v>
      </c>
      <c r="W17" s="299" t="e">
        <f ca="1">(45+25*P_E+0.45*Self_AP)*MOD_Magic</f>
        <v>#NAME?</v>
      </c>
      <c r="X17" s="299" t="e">
        <f ca="1">(100*P_R+0.25*Self_AP)*MOD_Magic</f>
        <v>#NAME?</v>
      </c>
      <c r="Y17" s="300" t="e">
        <f ca="1">((MIN(16, Self_Level - 1) * (0.04 / 16) + 0.09 + 0.0002 * Self_AP) * E_MHP) * MOD_Magic</f>
        <v>#NAME?</v>
      </c>
      <c r="Z17" s="281">
        <f>8.5-0.5*P_Q</f>
        <v>8.5</v>
      </c>
      <c r="AA17" s="282">
        <f>10.5-0.5*P_W</f>
        <v>10.5</v>
      </c>
      <c r="AB17" s="282">
        <f>13-P_E</f>
        <v>13</v>
      </c>
      <c r="AC17" s="282">
        <f>120-15*P_R</f>
        <v>120</v>
      </c>
      <c r="AD17" s="283">
        <f>1</f>
        <v>1</v>
      </c>
      <c r="AE17" s="284" t="b">
        <f>FALSE</f>
        <v>0</v>
      </c>
      <c r="AF17" s="285" t="e">
        <f ca="1">_xludf.Image("https://ddragon.leagueoflegends.com/cdn/11.19.1/img/champion/Brand.png")</f>
        <v>#NAME?</v>
      </c>
      <c r="AG17" s="282">
        <f ca="1">IFERROR(__xludf.DUMMYFUNCTION("IF(OR(REGEXMATCH(FORMULATEXT(U17),""HMOD""),NOT(P_Q&gt;0)),0,U17)+IF(OR(REGEXMATCH(FORMULATEXT(V17),""HMOD""),NOT(P_W&gt;0)),0,V17)+IF(OR(REGEXMATCH(FORMULATEXT(W17),""HMOD""),NOT(P_E&gt;0)),0,W17)+IF(OR(REGEXMATCH(FORMULATEXT(X17),""HMOD""),NOT(P_R&gt;0)),0,X17)+IF("&amp;"REGEXMATCH(FORMULATEXT(Y17),""HMOD""),0,Y17)+Self_Proc_item+Self_Proc_Summ+Self_Proc_Rune+3*Self_DPS"),0)</f>
        <v>0</v>
      </c>
      <c r="AH17" s="282">
        <f t="shared" si="8"/>
        <v>0</v>
      </c>
      <c r="AI17" s="282" t="b">
        <f t="shared" ref="AI17:AJ17" si="62">FALSE</f>
        <v>0</v>
      </c>
      <c r="AJ17" s="283" t="b">
        <f t="shared" si="62"/>
        <v>0</v>
      </c>
    </row>
    <row r="18" spans="1:36">
      <c r="A18" s="267" t="s">
        <v>203</v>
      </c>
      <c r="B18" s="287">
        <f>610</f>
        <v>610</v>
      </c>
      <c r="C18" s="287">
        <f>112</f>
        <v>112</v>
      </c>
      <c r="D18" s="288">
        <f>8.5</f>
        <v>8.5</v>
      </c>
      <c r="E18" s="289">
        <f>1</f>
        <v>1</v>
      </c>
      <c r="F18" s="288">
        <f>311</f>
        <v>311</v>
      </c>
      <c r="G18" s="288">
        <f>45</f>
        <v>45</v>
      </c>
      <c r="H18" s="288">
        <f>6</f>
        <v>6</v>
      </c>
      <c r="I18" s="289">
        <f>0.8</f>
        <v>0.8</v>
      </c>
      <c r="J18" s="290">
        <f>55</f>
        <v>55</v>
      </c>
      <c r="K18" s="288">
        <f>3.2</f>
        <v>3.2</v>
      </c>
      <c r="L18" s="291">
        <f t="shared" ref="L18:M18" si="63">0.644</f>
        <v>0.64400000000000002</v>
      </c>
      <c r="M18" s="291">
        <f t="shared" si="63"/>
        <v>0.64400000000000002</v>
      </c>
      <c r="N18" s="292">
        <f>3.5%</f>
        <v>3.5000000000000003E-2</v>
      </c>
      <c r="O18" s="287">
        <f>47</f>
        <v>47</v>
      </c>
      <c r="P18" s="287">
        <f>5.2</f>
        <v>5.2</v>
      </c>
      <c r="Q18" s="288">
        <f>32</f>
        <v>32</v>
      </c>
      <c r="R18" s="289">
        <f>2.05</f>
        <v>2.0499999999999998</v>
      </c>
      <c r="S18" s="293">
        <f>335</f>
        <v>335</v>
      </c>
      <c r="T18" s="294">
        <f>125</f>
        <v>125</v>
      </c>
      <c r="U18" s="295" t="e">
        <f ca="1">(30 + 45 * P_Q + Self_MHP * 0.025) * MOD_Magic</f>
        <v>#NAME?</v>
      </c>
      <c r="V18" s="296">
        <f t="shared" ref="V18:W18" si="64">0</f>
        <v>0</v>
      </c>
      <c r="W18" s="296">
        <f t="shared" si="64"/>
        <v>0</v>
      </c>
      <c r="X18" s="296" t="e">
        <f ca="1">(150*P_R+0.6*Self_AP)*MOD_Magic</f>
        <v>#NAME?</v>
      </c>
      <c r="Y18" s="297" t="e">
        <f ca="1">(16+10*Self_Level)*MOD_Magic</f>
        <v>#NAME?</v>
      </c>
      <c r="Z18" s="281">
        <f>8.5-0.5*P_Q</f>
        <v>8.5</v>
      </c>
      <c r="AA18" s="282">
        <f>13-P_W</f>
        <v>13</v>
      </c>
      <c r="AB18" s="282">
        <f>18-2*P_E</f>
        <v>18</v>
      </c>
      <c r="AC18" s="282">
        <f>140 - 20 * P_R</f>
        <v>140</v>
      </c>
      <c r="AD18" s="283">
        <v>8</v>
      </c>
      <c r="AE18" s="284" t="b">
        <f>TRUE</f>
        <v>1</v>
      </c>
      <c r="AF18" s="285" t="e">
        <f ca="1">_xludf.Image("https://ddragon.leagueoflegends.com/cdn/11.19.1/img/champion/Braum.png")</f>
        <v>#NAME?</v>
      </c>
      <c r="AG18" s="282">
        <f ca="1">IFERROR(__xludf.DUMMYFUNCTION("IF(OR(REGEXMATCH(FORMULATEXT(U18),""HMOD""),NOT(P_Q&gt;0)),0,U18)+IF(OR(REGEXMATCH(FORMULATEXT(V18),""HMOD""),NOT(P_W&gt;0)),0,V18)+IF(OR(REGEXMATCH(FORMULATEXT(W18),""HMOD""),NOT(P_E&gt;0)),0,W18)+IF(OR(REGEXMATCH(FORMULATEXT(X18),""HMOD""),NOT(P_R&gt;0)),0,X18)+IF("&amp;"REGEXMATCH(FORMULATEXT(Y18),""HMOD""),0,Y18)+Self_Proc_item+Self_Proc_Summ+Self_Proc_Rune+3*Self_DPS"),26)</f>
        <v>26</v>
      </c>
      <c r="AH18" s="282">
        <f t="shared" si="8"/>
        <v>0</v>
      </c>
      <c r="AI18" s="282" t="b">
        <f t="shared" ref="AI18:AJ18" si="65">FALSE</f>
        <v>0</v>
      </c>
      <c r="AJ18" s="283" t="b">
        <f t="shared" si="65"/>
        <v>0</v>
      </c>
    </row>
    <row r="19" spans="1:36">
      <c r="A19" s="267" t="s">
        <v>204</v>
      </c>
      <c r="B19" s="287">
        <f>580</f>
        <v>580</v>
      </c>
      <c r="C19" s="287">
        <f>107</f>
        <v>107</v>
      </c>
      <c r="D19" s="288">
        <f>3.5</f>
        <v>3.5</v>
      </c>
      <c r="E19" s="289">
        <f>0.55</f>
        <v>0.55000000000000004</v>
      </c>
      <c r="F19" s="288">
        <f>314</f>
        <v>314</v>
      </c>
      <c r="G19" s="288">
        <f>40</f>
        <v>40</v>
      </c>
      <c r="H19" s="288">
        <f>7.4</f>
        <v>7.4</v>
      </c>
      <c r="I19" s="289">
        <f>0.7</f>
        <v>0.7</v>
      </c>
      <c r="J19" s="290">
        <f>60</f>
        <v>60</v>
      </c>
      <c r="K19" s="288">
        <f>3.8</f>
        <v>3.8</v>
      </c>
      <c r="L19" s="291">
        <f>0.681</f>
        <v>0.68100000000000005</v>
      </c>
      <c r="M19" s="291">
        <f>0.568</f>
        <v>0.56799999999999995</v>
      </c>
      <c r="N19" s="292">
        <f>4%</f>
        <v>0.04</v>
      </c>
      <c r="O19" s="287">
        <f>27</f>
        <v>27</v>
      </c>
      <c r="P19" s="287">
        <f>4.7</f>
        <v>4.7</v>
      </c>
      <c r="Q19" s="288">
        <f>30</f>
        <v>30</v>
      </c>
      <c r="R19" s="289">
        <f>1.3</f>
        <v>1.3</v>
      </c>
      <c r="S19" s="293">
        <f>325</f>
        <v>325</v>
      </c>
      <c r="T19" s="294">
        <f>650</f>
        <v>650</v>
      </c>
      <c r="U19" s="298" t="e">
        <f ca="1">(10 + 40 * P_Q + (1.05 + 0.2 * P_Q) * Self_AD) * MOD_Phys</f>
        <v>#NAME?</v>
      </c>
      <c r="V19" s="299" t="e">
        <f ca="1">(-5+45*P_W+(0.3+0.1*P_W)*Self_BoAD)*MOD_Phys+Y19</f>
        <v>#NAME?</v>
      </c>
      <c r="W19" s="299" t="e">
        <f ca="1">(30+50*P_E+0.8*Self_AP)*MOD_Magic</f>
        <v>#NAME?</v>
      </c>
      <c r="X19" s="299" t="e">
        <f ca="1">(75 + 225 * P_R + 2 * Self_BoAD) * MOD_Phys * (1 + 0.25 * Self_Crit)</f>
        <v>#NAME?</v>
      </c>
      <c r="Y19" s="300">
        <v>0</v>
      </c>
      <c r="Z19" s="281">
        <f>11-P_Q</f>
        <v>11</v>
      </c>
      <c r="AA19" s="282">
        <f>34.5-4.5*P_W</f>
        <v>34.5</v>
      </c>
      <c r="AB19" s="282">
        <f>18-2*P_E</f>
        <v>18</v>
      </c>
      <c r="AC19" s="282">
        <f>105-15*P_R</f>
        <v>105</v>
      </c>
      <c r="AD19" s="283">
        <f>IF(Self_AS&gt;0,7/Self_AS,1)</f>
        <v>1</v>
      </c>
      <c r="AE19" s="284" t="b">
        <f>FALSE</f>
        <v>0</v>
      </c>
      <c r="AF19" s="285" t="e">
        <f ca="1">_xludf.Image("https://ddragon.leagueoflegends.com/cdn/11.19.1/img/champion/Caitlyn.png")</f>
        <v>#NAME?</v>
      </c>
      <c r="AG19" s="282">
        <f ca="1">IFERROR(__xludf.DUMMYFUNCTION("IF(OR(REGEXMATCH(FORMULATEXT(U19),""HMOD""),NOT(P_Q&gt;0)),0,U19)+IF(OR(REGEXMATCH(FORMULATEXT(V19),""HMOD""),NOT(P_W&gt;0)),0,V19)+IF(OR(REGEXMATCH(FORMULATEXT(W19),""HMOD""),NOT(P_E&gt;0)),0,W19)+IF(OR(REGEXMATCH(FORMULATEXT(X19),""HMOD""),NOT(P_R&gt;0)),0,X19)+IF("&amp;"REGEXMATCH(FORMULATEXT(Y19),""HMOD""),0,Y19)+Self_Proc_item+Self_Proc_Summ+Self_Proc_Rune+3*Self_DPS"),0)</f>
        <v>0</v>
      </c>
      <c r="AH19" s="282">
        <f t="shared" si="8"/>
        <v>0</v>
      </c>
      <c r="AI19" s="282" t="b">
        <f t="shared" ref="AI19:AJ19" si="66">FALSE</f>
        <v>0</v>
      </c>
      <c r="AJ19" s="283" t="b">
        <f t="shared" si="66"/>
        <v>0</v>
      </c>
    </row>
    <row r="20" spans="1:36">
      <c r="A20" s="267" t="s">
        <v>205</v>
      </c>
      <c r="B20" s="287">
        <f>646</f>
        <v>646</v>
      </c>
      <c r="C20" s="287">
        <f>99</f>
        <v>99</v>
      </c>
      <c r="D20" s="288">
        <f>8.5</f>
        <v>8.5</v>
      </c>
      <c r="E20" s="289">
        <f>0.8</f>
        <v>0.8</v>
      </c>
      <c r="F20" s="288">
        <f>339</f>
        <v>339</v>
      </c>
      <c r="G20" s="288">
        <f>52</f>
        <v>52</v>
      </c>
      <c r="H20" s="288">
        <f>8.2</f>
        <v>8.1999999999999993</v>
      </c>
      <c r="I20" s="289">
        <f>0.75</f>
        <v>0.75</v>
      </c>
      <c r="J20" s="290">
        <f>68</f>
        <v>68</v>
      </c>
      <c r="K20" s="288">
        <f>3.5</f>
        <v>3.5</v>
      </c>
      <c r="L20" s="291">
        <f t="shared" ref="L20:M20" si="67">0.644</f>
        <v>0.64400000000000002</v>
      </c>
      <c r="M20" s="291">
        <f t="shared" si="67"/>
        <v>0.64400000000000002</v>
      </c>
      <c r="N20" s="292">
        <f>2.5%</f>
        <v>2.5000000000000001E-2</v>
      </c>
      <c r="O20" s="287">
        <f>35</f>
        <v>35</v>
      </c>
      <c r="P20" s="287">
        <f>5</f>
        <v>5</v>
      </c>
      <c r="Q20" s="288">
        <f t="shared" ref="Q20:Q22" si="68">32</f>
        <v>32</v>
      </c>
      <c r="R20" s="289">
        <f>2.05</f>
        <v>2.0499999999999998</v>
      </c>
      <c r="S20" s="293">
        <f>340</f>
        <v>340</v>
      </c>
      <c r="T20" s="294">
        <f>125</f>
        <v>125</v>
      </c>
      <c r="U20" s="295" t="e">
        <f ca="1">IF(Steroid_Q,2,1)*((1.15+0.05*P_Q)*Self_AD)*(IF(Steroid_Q,MOD_Phys*(1-(0.36 + 0.04 * MAX(16, Self_Level)))+(0.36+0.04*MAX(16,Self_Level))*Calc!O10,MOD_Phys))</f>
        <v>#NAME?</v>
      </c>
      <c r="V20" s="296" t="e">
        <f ca="1">(40 + 30 * P_W + 0.6 * Self_BoAD + (0.045 + 0.005 * P_W + 0.00025 * Self_BoAD) * E_MHP) * MOD_Phys</f>
        <v>#NAME?</v>
      </c>
      <c r="W20" s="296" t="e">
        <f ca="1">(50+30*P_E+0.9*Self_BoAD)*MOD_Magic</f>
        <v>#NAME?</v>
      </c>
      <c r="X20" s="296" t="e">
        <f ca="1">(5*P_R+(0.02+0.02*P_R)*E_MHP)*MOD_Magic</f>
        <v>#NAME?</v>
      </c>
      <c r="Y20" s="297">
        <f>0.2*Self_MHP*MOD_SelfHeal</f>
        <v>0</v>
      </c>
      <c r="Z20" s="281">
        <f>9.75-0.75*P_Q</f>
        <v>9.75</v>
      </c>
      <c r="AA20" s="282">
        <f>18.5-1.5*P_W</f>
        <v>18.5</v>
      </c>
      <c r="AB20" s="282">
        <f>17 - P_E</f>
        <v>17</v>
      </c>
      <c r="AC20" s="282">
        <f>165-25*P_R</f>
        <v>165</v>
      </c>
      <c r="AD20" s="283">
        <v>20</v>
      </c>
      <c r="AE20" s="284" t="b">
        <f>TRUE</f>
        <v>1</v>
      </c>
      <c r="AF20" s="285" t="e">
        <f ca="1">_xludf.Image("https://ddragon.leagueoflegends.com/cdn/11.19.1/img/champion/Camille.png")</f>
        <v>#NAME?</v>
      </c>
      <c r="AG20" s="282">
        <f ca="1">IFERROR(__xludf.DUMMYFUNCTION("IF(OR(REGEXMATCH(FORMULATEXT(U20),""HMOD""),NOT(P_Q&gt;0)),0,U20)+IF(OR(REGEXMATCH(FORMULATEXT(V20),""HMOD""),NOT(P_W&gt;0)),0,V20)+IF(OR(REGEXMATCH(FORMULATEXT(W20),""HMOD""),NOT(P_E&gt;0)),0,W20)+IF(OR(REGEXMATCH(FORMULATEXT(X20),""HMOD""),NOT(P_R&gt;0)),0,X20)+IF("&amp;"REGEXMATCH(FORMULATEXT(Y20),""HMOD""),0,Y20)+Self_Proc_item+Self_Proc_Summ+Self_Proc_Rune+3*Self_DPS"),0)</f>
        <v>0</v>
      </c>
      <c r="AH20" s="282">
        <f t="shared" si="8"/>
        <v>0</v>
      </c>
      <c r="AI20" s="282" t="b">
        <f t="shared" ref="AI20:AJ20" si="69">FALSE</f>
        <v>0</v>
      </c>
      <c r="AJ20" s="283" t="b">
        <f t="shared" si="69"/>
        <v>0</v>
      </c>
    </row>
    <row r="21" spans="1:36">
      <c r="A21" s="267" t="s">
        <v>206</v>
      </c>
      <c r="B21" s="287">
        <f>630</f>
        <v>630</v>
      </c>
      <c r="C21" s="287">
        <f>104</f>
        <v>104</v>
      </c>
      <c r="D21" s="288">
        <f>5.5</f>
        <v>5.5</v>
      </c>
      <c r="E21" s="289">
        <f>0.5</f>
        <v>0.5</v>
      </c>
      <c r="F21" s="288">
        <f>350</f>
        <v>350</v>
      </c>
      <c r="G21" s="288">
        <f t="shared" ref="G21:G22" si="70">60</f>
        <v>60</v>
      </c>
      <c r="H21" s="288">
        <f>8</f>
        <v>8</v>
      </c>
      <c r="I21" s="289">
        <f>0.8</f>
        <v>0.8</v>
      </c>
      <c r="J21" s="290">
        <f>53</f>
        <v>53</v>
      </c>
      <c r="K21" s="288">
        <f>3</f>
        <v>3</v>
      </c>
      <c r="L21" s="291">
        <f t="shared" ref="L21:M21" si="71">0.647</f>
        <v>0.64700000000000002</v>
      </c>
      <c r="M21" s="291">
        <f t="shared" si="71"/>
        <v>0.64700000000000002</v>
      </c>
      <c r="N21" s="292">
        <f>1.5%</f>
        <v>1.4999999999999999E-2</v>
      </c>
      <c r="O21" s="287">
        <f>18</f>
        <v>18</v>
      </c>
      <c r="P21" s="287">
        <f>4.7</f>
        <v>4.7</v>
      </c>
      <c r="Q21" s="288">
        <f t="shared" si="68"/>
        <v>32</v>
      </c>
      <c r="R21" s="289">
        <f>1.3</f>
        <v>1.3</v>
      </c>
      <c r="S21" s="293">
        <f>328+4*Self_Level</f>
        <v>332</v>
      </c>
      <c r="T21" s="294">
        <f>550</f>
        <v>550</v>
      </c>
      <c r="U21" s="298" t="e">
        <f ca="1">(40+35*P_Q+0.8*Self_AP)*MOD_Magic</f>
        <v>#NAME?</v>
      </c>
      <c r="V21" s="299" t="e">
        <f ca="1">(75+25*P_W+0.75*Self_AP)*MOD_Magic</f>
        <v>#NAME?</v>
      </c>
      <c r="W21" s="299" t="e">
        <f ca="1">(0.1 * Self_AP + 48 + Self_Level * 4 + IF(Steroid_E, 20 * P_E + 0.6 * Self_AP, 0)) * MOD_Magic</f>
        <v>#NAME?</v>
      </c>
      <c r="X21" s="299" t="e">
        <f ca="1">(0.5*Self_AP+50+100*P_R)*MOD_Magic</f>
        <v>#NAME?</v>
      </c>
      <c r="Y21" s="300">
        <f>0</f>
        <v>0</v>
      </c>
      <c r="Z21" s="281">
        <f>3.5</f>
        <v>3.5</v>
      </c>
      <c r="AA21" s="282">
        <f>26-2*P_W</f>
        <v>26</v>
      </c>
      <c r="AB21" s="282">
        <f>0.75</f>
        <v>0.75</v>
      </c>
      <c r="AC21" s="282">
        <f>140 - 20 * P_R</f>
        <v>140</v>
      </c>
      <c r="AD21" s="283">
        <f t="shared" ref="AD21:AD22" si="72">1</f>
        <v>1</v>
      </c>
      <c r="AE21" s="284" t="b">
        <f>FALSE</f>
        <v>0</v>
      </c>
      <c r="AF21" s="285" t="e">
        <f ca="1">_xludf.Image("https://ddragon.leagueoflegends.com/cdn/11.19.1/img/champion/Cassiopeia.png")</f>
        <v>#NAME?</v>
      </c>
      <c r="AG21" s="282">
        <f ca="1">IFERROR(__xludf.DUMMYFUNCTION("IF(OR(REGEXMATCH(FORMULATEXT(U21),""HMOD""),NOT(P_Q&gt;0)),0,U21)+IF(OR(REGEXMATCH(FORMULATEXT(V21),""HMOD""),NOT(P_W&gt;0)),0,V21)+IF(OR(REGEXMATCH(FORMULATEXT(W21),""HMOD""),NOT(P_E&gt;0)),0,W21)+IF(OR(REGEXMATCH(FORMULATEXT(X21),""HMOD""),NOT(P_R&gt;0)),0,X21)+IF("&amp;"REGEXMATCH(FORMULATEXT(Y21),""HMOD""),0,Y21)+Self_Proc_item+Self_Proc_Summ+Self_Proc_Rune+3*Self_DPS"),0)</f>
        <v>0</v>
      </c>
      <c r="AH21" s="282">
        <f t="shared" si="8"/>
        <v>0</v>
      </c>
      <c r="AI21" s="282" t="b">
        <f t="shared" ref="AI21:AJ21" si="73">FALSE</f>
        <v>0</v>
      </c>
      <c r="AJ21" s="283" t="b">
        <f t="shared" si="73"/>
        <v>0</v>
      </c>
    </row>
    <row r="22" spans="1:36">
      <c r="A22" s="267" t="s">
        <v>207</v>
      </c>
      <c r="B22" s="287">
        <f>644</f>
        <v>644</v>
      </c>
      <c r="C22" s="287">
        <f>94</f>
        <v>94</v>
      </c>
      <c r="D22" s="288">
        <f>9</f>
        <v>9</v>
      </c>
      <c r="E22" s="289">
        <f>0.85</f>
        <v>0.85</v>
      </c>
      <c r="F22" s="288">
        <f>272</f>
        <v>272</v>
      </c>
      <c r="G22" s="288">
        <f t="shared" si="70"/>
        <v>60</v>
      </c>
      <c r="H22" s="288">
        <f>7.2</f>
        <v>7.2</v>
      </c>
      <c r="I22" s="289">
        <f>0.45</f>
        <v>0.45</v>
      </c>
      <c r="J22" s="290">
        <f>69</f>
        <v>69</v>
      </c>
      <c r="K22" s="288">
        <f>4.2</f>
        <v>4.2</v>
      </c>
      <c r="L22" s="291">
        <f t="shared" ref="L22:M22" si="74">0.625</f>
        <v>0.625</v>
      </c>
      <c r="M22" s="291">
        <f t="shared" si="74"/>
        <v>0.625</v>
      </c>
      <c r="N22" s="292">
        <f>1.44%</f>
        <v>1.44E-2</v>
      </c>
      <c r="O22" s="287">
        <f>38</f>
        <v>38</v>
      </c>
      <c r="P22" s="287">
        <f>5</f>
        <v>5</v>
      </c>
      <c r="Q22" s="288">
        <f t="shared" si="68"/>
        <v>32</v>
      </c>
      <c r="R22" s="289">
        <f>2.05</f>
        <v>2.0499999999999998</v>
      </c>
      <c r="S22" s="293">
        <f>345</f>
        <v>345</v>
      </c>
      <c r="T22" s="294">
        <f>125+IF(P_R&gt;0,3+1.5*P_R,0)*IF(Kills&gt;10,10,Kills)</f>
        <v>125</v>
      </c>
      <c r="U22" s="295" t="e">
        <f ca="1">(20+60*P_Q+Self_AP)*MOD_Magic</f>
        <v>#NAME?</v>
      </c>
      <c r="V22" s="296" t="e">
        <f ca="1">(25 + 55 * P_W + 0.7 * Self_AP) * MOD_Magic</f>
        <v>#NAME?</v>
      </c>
      <c r="W22" s="296" t="e">
        <f ca="1">(10+12*P_E+0.3*Self_AP+0.03*E_MHP)*MOD_Magic*3</f>
        <v>#NAME?</v>
      </c>
      <c r="X22" s="296">
        <f>(125+175*P_R+0.5*Self_AP+0.1*Self_BoHP)*Calc!O10</f>
        <v>125</v>
      </c>
      <c r="Y22" s="297">
        <f>(16+2*Self_Level)*MOD_SelfHeal</f>
        <v>18</v>
      </c>
      <c r="Z22" s="281">
        <f>6</f>
        <v>6</v>
      </c>
      <c r="AA22" s="282">
        <f>14-P_W</f>
        <v>14</v>
      </c>
      <c r="AB22" s="282">
        <f>9-P_E</f>
        <v>9</v>
      </c>
      <c r="AC22" s="282">
        <f>90-10*P_R</f>
        <v>90</v>
      </c>
      <c r="AD22" s="283">
        <f t="shared" si="72"/>
        <v>1</v>
      </c>
      <c r="AE22" s="284" t="b">
        <f>TRUE</f>
        <v>1</v>
      </c>
      <c r="AF22" s="285" t="e">
        <f ca="1">_xludf.Image("https://ddragon.leagueoflegends.com/cdn/11.19.1/img/champion/Chogath.png")</f>
        <v>#NAME?</v>
      </c>
      <c r="AG22" s="282">
        <f ca="1">IFERROR(__xludf.DUMMYFUNCTION("IF(OR(REGEXMATCH(FORMULATEXT(U22),""HMOD""),NOT(P_Q&gt;0)),0,U22)+IF(OR(REGEXMATCH(FORMULATEXT(V22),""HMOD""),NOT(P_W&gt;0)),0,V22)+IF(OR(REGEXMATCH(FORMULATEXT(W22),""HMOD""),NOT(P_E&gt;0)),0,W22)+IF(OR(REGEXMATCH(FORMULATEXT(X22),""HMOD""),NOT(P_R&gt;0)),0,X22)+IF("&amp;"REGEXMATCH(FORMULATEXT(Y22),""HMOD""),0,Y22)+Self_Proc_item+Self_Proc_Summ+Self_Proc_Rune+3*Self_DPS"),18)</f>
        <v>18</v>
      </c>
      <c r="AH22" s="282">
        <f t="shared" si="8"/>
        <v>0</v>
      </c>
      <c r="AI22" s="282" t="b">
        <f t="shared" ref="AI22:AJ22" si="75">FALSE</f>
        <v>0</v>
      </c>
      <c r="AJ22" s="283" t="b">
        <f t="shared" si="75"/>
        <v>0</v>
      </c>
    </row>
    <row r="23" spans="1:36">
      <c r="A23" s="267" t="s">
        <v>208</v>
      </c>
      <c r="B23" s="287">
        <f>588</f>
        <v>588</v>
      </c>
      <c r="C23" s="287">
        <f>105</f>
        <v>105</v>
      </c>
      <c r="D23" s="288">
        <f>5.5</f>
        <v>5.5</v>
      </c>
      <c r="E23" s="289">
        <f>0.55</f>
        <v>0.55000000000000004</v>
      </c>
      <c r="F23" s="288">
        <f>350</f>
        <v>350</v>
      </c>
      <c r="G23" s="288">
        <f>54</f>
        <v>54</v>
      </c>
      <c r="H23" s="288">
        <f>7.4</f>
        <v>7.4</v>
      </c>
      <c r="I23" s="289">
        <f>0.55</f>
        <v>0.55000000000000004</v>
      </c>
      <c r="J23" s="290">
        <f>55</f>
        <v>55</v>
      </c>
      <c r="K23" s="288">
        <f>2.8</f>
        <v>2.8</v>
      </c>
      <c r="L23" s="291">
        <f t="shared" ref="L23:M23" si="76">0.638</f>
        <v>0.63800000000000001</v>
      </c>
      <c r="M23" s="291">
        <f t="shared" si="76"/>
        <v>0.63800000000000001</v>
      </c>
      <c r="N23" s="292">
        <f>2.3%</f>
        <v>2.3E-2</v>
      </c>
      <c r="O23" s="287">
        <f>28</f>
        <v>28</v>
      </c>
      <c r="P23" s="287">
        <f>4.7</f>
        <v>4.7</v>
      </c>
      <c r="Q23" s="288">
        <f>30</f>
        <v>30</v>
      </c>
      <c r="R23" s="289">
        <f>1.3</f>
        <v>1.3</v>
      </c>
      <c r="S23" s="293">
        <f>325</f>
        <v>325</v>
      </c>
      <c r="T23" s="294">
        <f>550</f>
        <v>550</v>
      </c>
      <c r="U23" s="298" t="e">
        <f ca="1">(30+45*P_Q+0.5*Self_AP+0.7*Self_BoAD)*MOD_Magic</f>
        <v>#NAME?</v>
      </c>
      <c r="V23" s="299" t="e">
        <f ca="1">(75+75*P_W+Self_AP)*MOD_Magic</f>
        <v>#NAME?</v>
      </c>
      <c r="W23" s="299" t="e">
        <f ca="1">((70+50*P_E+2.4*Self_BoAD)*MOD_Magic)/2+((70+50*P_E+2.4*Self_BoAD)*MOD_Phys)/2</f>
        <v>#NAME?</v>
      </c>
      <c r="X23" s="299" t="e">
        <f ca="1">(45 + 35 * P_R + 0.12 * Self_AP + (0.3 * P_R - 0.15) * Self_AD) * MOD_Magic * IF(Steroid_R, 2, 1)</f>
        <v>#NAME?</v>
      </c>
      <c r="Y23" s="300" t="e">
        <f ca="1">(0.8*Self_AD)*MOD_Magic</f>
        <v>#NAME?</v>
      </c>
      <c r="Z23" s="281">
        <f>8</f>
        <v>8</v>
      </c>
      <c r="AA23" s="282">
        <f>21-P_W</f>
        <v>21</v>
      </c>
      <c r="AB23" s="282">
        <f>16</f>
        <v>16</v>
      </c>
      <c r="AC23" s="282">
        <f>13-P_R</f>
        <v>13</v>
      </c>
      <c r="AD23" s="283">
        <f>240</f>
        <v>240</v>
      </c>
      <c r="AE23" s="284" t="b">
        <f>FALSE</f>
        <v>0</v>
      </c>
      <c r="AF23" s="285" t="e">
        <f ca="1">_xludf.Image("https://ddragon.leagueoflegends.com/cdn/11.19.1/img/champion/Corki.png")</f>
        <v>#NAME?</v>
      </c>
      <c r="AG23" s="282">
        <f ca="1">IFERROR(__xludf.DUMMYFUNCTION("IF(OR(REGEXMATCH(FORMULATEXT(U23),""HMOD""),NOT(P_Q&gt;0)),0,U23)+IF(OR(REGEXMATCH(FORMULATEXT(V23),""HMOD""),NOT(P_W&gt;0)),0,V23)+IF(OR(REGEXMATCH(FORMULATEXT(W23),""HMOD""),NOT(P_E&gt;0)),0,W23)+IF(OR(REGEXMATCH(FORMULATEXT(X23),""HMOD""),NOT(P_R&gt;0)),0,X23)+IF("&amp;"REGEXMATCH(FORMULATEXT(Y23),""HMOD""),0,Y23)+Self_Proc_item+Self_Proc_Summ+Self_Proc_Rune+3*Self_DPS"),0)</f>
        <v>0</v>
      </c>
      <c r="AH23" s="282">
        <f t="shared" si="8"/>
        <v>0</v>
      </c>
      <c r="AI23" s="282" t="b">
        <f t="shared" ref="AI23:AJ23" si="77">FALSE</f>
        <v>0</v>
      </c>
      <c r="AJ23" s="283" t="b">
        <f t="shared" si="77"/>
        <v>0</v>
      </c>
    </row>
    <row r="24" spans="1:36">
      <c r="A24" s="267" t="s">
        <v>209</v>
      </c>
      <c r="B24" s="287">
        <f>652</f>
        <v>652</v>
      </c>
      <c r="C24" s="287">
        <f>114</f>
        <v>114</v>
      </c>
      <c r="D24" s="288">
        <f>10</f>
        <v>10</v>
      </c>
      <c r="E24" s="289">
        <f>0.95</f>
        <v>0.95</v>
      </c>
      <c r="F24" s="288">
        <f>263</f>
        <v>263</v>
      </c>
      <c r="G24" s="288">
        <f>58</f>
        <v>58</v>
      </c>
      <c r="H24" s="288">
        <f>6.6</f>
        <v>6.6</v>
      </c>
      <c r="I24" s="289">
        <f>0.35</f>
        <v>0.35</v>
      </c>
      <c r="J24" s="290">
        <f>64</f>
        <v>64</v>
      </c>
      <c r="K24" s="288">
        <f>5</f>
        <v>5</v>
      </c>
      <c r="L24" s="291">
        <f t="shared" ref="L24:M24" si="78">0.625</f>
        <v>0.625</v>
      </c>
      <c r="M24" s="291">
        <f t="shared" si="78"/>
        <v>0.625</v>
      </c>
      <c r="N24" s="292">
        <f>1%</f>
        <v>0.01</v>
      </c>
      <c r="O24" s="287">
        <f>39</f>
        <v>39</v>
      </c>
      <c r="P24" s="287">
        <f>5.2</f>
        <v>5.2</v>
      </c>
      <c r="Q24" s="288">
        <f t="shared" ref="Q24:Q25" si="79">32</f>
        <v>32</v>
      </c>
      <c r="R24" s="289">
        <f t="shared" ref="R24:R25" si="80">2.05</f>
        <v>2.0499999999999998</v>
      </c>
      <c r="S24" s="293">
        <f>340</f>
        <v>340</v>
      </c>
      <c r="T24" s="294">
        <f>175</f>
        <v>175</v>
      </c>
      <c r="U24" s="295" t="e">
        <f ca="1">(20+30*P_Q+(0.9+0.1*P_Q)*Self_AD)*MOD_Phys</f>
        <v>#NAME?</v>
      </c>
      <c r="V24" s="296" t="e">
        <f ca="1">((1.35+0.05*P_W)*Self_AD)*MOD_Phys</f>
        <v>#NAME?</v>
      </c>
      <c r="W24" s="296">
        <f>0</f>
        <v>0</v>
      </c>
      <c r="X24" s="296">
        <f>(125*P_R+0.75*Self_BoAD)*IF(Steroid_R,2,1)*Calc!O10</f>
        <v>0</v>
      </c>
      <c r="Y24" s="297" t="e">
        <f ca="1">(12+Self_Level+0.3*Self_BoAD)*MOD_Phys</f>
        <v>#NAME?</v>
      </c>
      <c r="Z24" s="281">
        <f>10 - P_Q</f>
        <v>10</v>
      </c>
      <c r="AA24" s="282">
        <f>5</f>
        <v>5</v>
      </c>
      <c r="AB24" s="282">
        <f>26.5-2.5*P_E</f>
        <v>26.5</v>
      </c>
      <c r="AC24" s="282">
        <f>140 - 20 * P_R</f>
        <v>140</v>
      </c>
      <c r="AD24" s="283">
        <f t="shared" ref="AD24:AD25" si="81">1</f>
        <v>1</v>
      </c>
      <c r="AE24" s="284" t="b">
        <f t="shared" ref="AE24:AE26" si="82">TRUE</f>
        <v>1</v>
      </c>
      <c r="AF24" s="285" t="e">
        <f ca="1">_xludf.Image("https://ddragon.leagueoflegends.com/cdn/11.19.1/img/champion/Darius.png")</f>
        <v>#NAME?</v>
      </c>
      <c r="AG24" s="282">
        <f ca="1">IFERROR(__xludf.DUMMYFUNCTION("IF(OR(REGEXMATCH(FORMULATEXT(U24),""HMOD""),NOT(P_Q&gt;0)),0,U24)+IF(OR(REGEXMATCH(FORMULATEXT(V24),""HMOD""),NOT(P_W&gt;0)),0,V24)+IF(OR(REGEXMATCH(FORMULATEXT(W24),""HMOD""),NOT(P_E&gt;0)),0,W24)+IF(OR(REGEXMATCH(FORMULATEXT(X24),""HMOD""),NOT(P_R&gt;0)),0,X24)+IF("&amp;"REGEXMATCH(FORMULATEXT(Y24),""HMOD""),0,Y24)+Self_Proc_item+Self_Proc_Summ+Self_Proc_Rune+3*Self_DPS"),13)</f>
        <v>13</v>
      </c>
      <c r="AH24" s="282">
        <f t="shared" si="8"/>
        <v>0</v>
      </c>
      <c r="AI24" s="282" t="b">
        <f t="shared" ref="AI24:AJ24" si="83">FALSE</f>
        <v>0</v>
      </c>
      <c r="AJ24" s="283" t="b">
        <f t="shared" si="83"/>
        <v>0</v>
      </c>
    </row>
    <row r="25" spans="1:36">
      <c r="A25" s="267" t="s">
        <v>210</v>
      </c>
      <c r="B25" s="287">
        <f>640</f>
        <v>640</v>
      </c>
      <c r="C25" s="287">
        <f>109</f>
        <v>109</v>
      </c>
      <c r="D25" s="288">
        <f>6.5</f>
        <v>6.5</v>
      </c>
      <c r="E25" s="289">
        <f>0.85</f>
        <v>0.85</v>
      </c>
      <c r="F25" s="288">
        <f>375</f>
        <v>375</v>
      </c>
      <c r="G25" s="288">
        <f>25</f>
        <v>25</v>
      </c>
      <c r="H25" s="288">
        <f>8</f>
        <v>8</v>
      </c>
      <c r="I25" s="289">
        <f>0.8</f>
        <v>0.8</v>
      </c>
      <c r="J25" s="290">
        <f>57</f>
        <v>57</v>
      </c>
      <c r="K25" s="288">
        <f>3</f>
        <v>3</v>
      </c>
      <c r="L25" s="291">
        <f t="shared" ref="L25:M25" si="84">0.625</f>
        <v>0.625</v>
      </c>
      <c r="M25" s="291">
        <f t="shared" si="84"/>
        <v>0.625</v>
      </c>
      <c r="N25" s="292">
        <f>2.25%</f>
        <v>2.2499999999999999E-2</v>
      </c>
      <c r="O25" s="287">
        <f>31</f>
        <v>31</v>
      </c>
      <c r="P25" s="287">
        <f>4.3</f>
        <v>4.3</v>
      </c>
      <c r="Q25" s="288">
        <f t="shared" si="79"/>
        <v>32</v>
      </c>
      <c r="R25" s="289">
        <f t="shared" si="80"/>
        <v>2.0499999999999998</v>
      </c>
      <c r="S25" s="293">
        <f t="shared" ref="S25:S26" si="85">345</f>
        <v>345</v>
      </c>
      <c r="T25" s="294">
        <f>150</f>
        <v>150</v>
      </c>
      <c r="U25" s="298" t="e">
        <f ca="1">(25+35*P_Q+0.7*Self_AP)*MOD_Magic</f>
        <v>#NAME?</v>
      </c>
      <c r="V25" s="299" t="e">
        <f ca="1">(18+36*P_W+0.45*Self_AP)*MOD_Magic</f>
        <v>#NAME?</v>
      </c>
      <c r="W25" s="299" t="e">
        <f ca="1">(30 + 20 * P_E + 0.5 * Self_AP) * MOD_Magic</f>
        <v>#NAME?</v>
      </c>
      <c r="X25" s="299" t="e">
        <f ca="1">(100+100*P_R+0.6*Self_AP+IF(Steroid_R,(0.15*Self_AP+25*P_R+10)*4,0))*MOD_Magic</f>
        <v>#NAME?</v>
      </c>
      <c r="Y25" s="300" t="e">
        <f ca="1">(15 + 5 * Self_Level + 5 * MAX(Self_Level - 6, 0) + 5 * MAX(Self_Level - 11, 0) + IF(Self_Level &gt;= 17, (Self_Level-14) * 5, 0) + 0.5 * Self_AP) * MOD_Magic</f>
        <v>#NAME?</v>
      </c>
      <c r="Z25" s="281">
        <f>8.5-0.5*P_Q</f>
        <v>8.5</v>
      </c>
      <c r="AA25" s="282">
        <f>16.5-1.5*P_W</f>
        <v>16.5</v>
      </c>
      <c r="AB25" s="282">
        <f>24-2*P_E</f>
        <v>24</v>
      </c>
      <c r="AC25" s="282">
        <f>110-P_R*10</f>
        <v>110</v>
      </c>
      <c r="AD25" s="283">
        <f t="shared" si="81"/>
        <v>1</v>
      </c>
      <c r="AE25" s="284" t="b">
        <f t="shared" si="82"/>
        <v>1</v>
      </c>
      <c r="AF25" s="285" t="e">
        <f ca="1">_xludf.Image("https://ddragon.leagueoflegends.com/cdn/11.19.1/img/champion/Diana.png")</f>
        <v>#NAME?</v>
      </c>
      <c r="AG25" s="282">
        <f ca="1">IFERROR(__xludf.DUMMYFUNCTION("IF(OR(REGEXMATCH(FORMULATEXT(U25),""HMOD""),NOT(P_Q&gt;0)),0,U25)+IF(OR(REGEXMATCH(FORMULATEXT(V25),""HMOD""),NOT(P_W&gt;0)),0,V25)+IF(OR(REGEXMATCH(FORMULATEXT(W25),""HMOD""),NOT(P_E&gt;0)),0,W25)+IF(OR(REGEXMATCH(FORMULATEXT(X25),""HMOD""),NOT(P_R&gt;0)),0,X25)+IF("&amp;"REGEXMATCH(FORMULATEXT(Y25),""HMOD""),0,Y25)+Self_Proc_item+Self_Proc_Summ+Self_Proc_Rune+3*Self_DPS"),20)</f>
        <v>20</v>
      </c>
      <c r="AH25" s="282">
        <f t="shared" si="8"/>
        <v>0</v>
      </c>
      <c r="AI25" s="282" t="b">
        <f t="shared" ref="AI25:AJ25" si="86">FALSE</f>
        <v>0</v>
      </c>
      <c r="AJ25" s="283" t="b">
        <f t="shared" si="86"/>
        <v>0</v>
      </c>
    </row>
    <row r="26" spans="1:36">
      <c r="A26" s="267" t="s">
        <v>211</v>
      </c>
      <c r="B26" s="287">
        <f>613</f>
        <v>613</v>
      </c>
      <c r="C26" s="287">
        <f>103</f>
        <v>103</v>
      </c>
      <c r="D26" s="288">
        <f>7</f>
        <v>7</v>
      </c>
      <c r="E26" s="289">
        <f>0.5</f>
        <v>0.5</v>
      </c>
      <c r="F26" s="288">
        <f t="shared" ref="F26:I26" si="87">0</f>
        <v>0</v>
      </c>
      <c r="G26" s="288">
        <f t="shared" si="87"/>
        <v>0</v>
      </c>
      <c r="H26" s="288">
        <f t="shared" si="87"/>
        <v>0</v>
      </c>
      <c r="I26" s="289">
        <f t="shared" si="87"/>
        <v>0</v>
      </c>
      <c r="J26" s="290">
        <f>61</f>
        <v>61</v>
      </c>
      <c r="K26" s="288">
        <f>3.5</f>
        <v>3.5</v>
      </c>
      <c r="L26" s="291">
        <f>0.67</f>
        <v>0.67</v>
      </c>
      <c r="M26" s="291">
        <f>0.625</f>
        <v>0.625</v>
      </c>
      <c r="N26" s="292">
        <f>2.5%</f>
        <v>2.5000000000000001E-2</v>
      </c>
      <c r="O26" s="287">
        <f>32</f>
        <v>32</v>
      </c>
      <c r="P26" s="287">
        <f>3.7</f>
        <v>3.7</v>
      </c>
      <c r="Q26" s="288">
        <f>29</f>
        <v>29</v>
      </c>
      <c r="R26" s="289">
        <f>2.3</f>
        <v>2.2999999999999998</v>
      </c>
      <c r="S26" s="293">
        <f t="shared" si="85"/>
        <v>345</v>
      </c>
      <c r="T26" s="294">
        <f>125</f>
        <v>125</v>
      </c>
      <c r="U26" s="295" t="e">
        <f ca="1">MAX((0.175 + 0.025 * P_Q) * E_CHPV, 30 + 50 * P_Q)*MOD_Magic</f>
        <v>#NAME?</v>
      </c>
      <c r="V26" s="296" t="e">
        <f ca="1">(25 + 75 * P_W + 0.07 * Self_BoHP) * MOD_Magic</f>
        <v>#NAME?</v>
      </c>
      <c r="W26" s="296" t="e">
        <f ca="1">(-5 + 10 * P_E + 0.07 * Self_BoHP) * MOD_Phys * (1 + 0.6 - (MAX(60, Self_CHPP) - 60) / 66)</f>
        <v>#NAME?</v>
      </c>
      <c r="X26" s="296">
        <f>((0.2 * P_R) * Self_MHP) * MOD_SelfHeal * IF(Steroid_R, 1.25,1)</f>
        <v>0</v>
      </c>
      <c r="Y26" s="297">
        <f>0.04 * Self_MHP * MOD_SelfHeal</f>
        <v>0</v>
      </c>
      <c r="Z26" s="281">
        <f>4</f>
        <v>4</v>
      </c>
      <c r="AA26" s="282">
        <f>17.5 - 0.5 * P_W</f>
        <v>17.5</v>
      </c>
      <c r="AB26" s="282">
        <f>9.75-0.75*P_E</f>
        <v>9.75</v>
      </c>
      <c r="AC26" s="282">
        <f>120</f>
        <v>120</v>
      </c>
      <c r="AD26" s="283">
        <v>60</v>
      </c>
      <c r="AE26" s="284" t="b">
        <f t="shared" si="82"/>
        <v>1</v>
      </c>
      <c r="AF26" s="285" t="e">
        <f ca="1">_xludf.Image("https://ddragon.leagueoflegends.com/cdn/11.19.1/img/champion/DrMundo.png")</f>
        <v>#NAME?</v>
      </c>
      <c r="AG26" s="282">
        <f ca="1">IFERROR(__xludf.DUMMYFUNCTION("IF(OR(REGEXMATCH(FORMULATEXT(U26),""HMOD""),NOT(P_Q&gt;0)),0,U26)+IF(OR(REGEXMATCH(FORMULATEXT(V26),""HMOD""),NOT(P_W&gt;0)),0,V26)+IF(OR(REGEXMATCH(FORMULATEXT(W26),""HMOD""),NOT(P_E&gt;0)),0,W26)+IF(OR(REGEXMATCH(FORMULATEXT(X26),""HMOD""),NOT(P_R&gt;0)),0,X26)+IF("&amp;"REGEXMATCH(FORMULATEXT(Y26),""HMOD""),0,Y26)+Self_Proc_item+Self_Proc_Summ+Self_Proc_Rune+3*Self_DPS"),0)</f>
        <v>0</v>
      </c>
      <c r="AH26" s="282">
        <f t="shared" si="8"/>
        <v>0</v>
      </c>
      <c r="AI26" s="282" t="b">
        <f t="shared" ref="AI26:AI60" si="88">FALSE</f>
        <v>0</v>
      </c>
      <c r="AJ26" s="283" t="b">
        <f>TRUE</f>
        <v>1</v>
      </c>
    </row>
    <row r="27" spans="1:36">
      <c r="A27" s="267" t="s">
        <v>212</v>
      </c>
      <c r="B27" s="287">
        <f>675</f>
        <v>675</v>
      </c>
      <c r="C27" s="287">
        <f>104</f>
        <v>104</v>
      </c>
      <c r="D27" s="288">
        <f>3.75</f>
        <v>3.75</v>
      </c>
      <c r="E27" s="289">
        <f>0.7</f>
        <v>0.7</v>
      </c>
      <c r="F27" s="288">
        <f>361</f>
        <v>361</v>
      </c>
      <c r="G27" s="288">
        <f>39</f>
        <v>39</v>
      </c>
      <c r="H27" s="288">
        <f>8</f>
        <v>8</v>
      </c>
      <c r="I27" s="289">
        <f>0.65</f>
        <v>0.65</v>
      </c>
      <c r="J27" s="290">
        <f>62</f>
        <v>62</v>
      </c>
      <c r="K27" s="288">
        <f>3.61</f>
        <v>3.61</v>
      </c>
      <c r="L27" s="291">
        <f t="shared" ref="L27:M27" si="89">0.679</f>
        <v>0.67900000000000005</v>
      </c>
      <c r="M27" s="291">
        <f t="shared" si="89"/>
        <v>0.67900000000000005</v>
      </c>
      <c r="N27" s="292">
        <f>2.7%</f>
        <v>2.7000000000000003E-2</v>
      </c>
      <c r="O27" s="287">
        <f>29</f>
        <v>29</v>
      </c>
      <c r="P27" s="287">
        <f>4.5</f>
        <v>4.5</v>
      </c>
      <c r="Q27" s="288">
        <f>30</f>
        <v>30</v>
      </c>
      <c r="R27" s="289">
        <f>1.3</f>
        <v>1.3</v>
      </c>
      <c r="S27" s="293">
        <f>330</f>
        <v>330</v>
      </c>
      <c r="T27" s="294">
        <f>550</f>
        <v>550</v>
      </c>
      <c r="U27" s="298" t="e">
        <f ca="1">(35 + 5 * P_Q + (0.65 + 0.1 * P_Q) * Self_BoAD) * MOD_Phys</f>
        <v>#NAME?</v>
      </c>
      <c r="V27" s="299">
        <f>0</f>
        <v>0</v>
      </c>
      <c r="W27" s="299" t="e">
        <f ca="1">(40+35*P_E+0.5*Self_BoAD)*MOD_Phys</f>
        <v>#NAME?</v>
      </c>
      <c r="X27" s="299" t="e">
        <f ca="1">(75+100*P_R+(0.9+0.2*P_R)*Self_BoAD)*MOD_Phys</f>
        <v>#NAME?</v>
      </c>
      <c r="Y27" s="300">
        <f>0</f>
        <v>0</v>
      </c>
      <c r="Z27" s="281">
        <f>13-P_Q</f>
        <v>13</v>
      </c>
      <c r="AA27" s="282">
        <f>12</f>
        <v>12</v>
      </c>
      <c r="AB27" s="282">
        <f>19-P_E</f>
        <v>19</v>
      </c>
      <c r="AC27" s="282">
        <f>140 - 20 * P_R</f>
        <v>140</v>
      </c>
      <c r="AD27" s="283">
        <f>1</f>
        <v>1</v>
      </c>
      <c r="AE27" s="284" t="b">
        <f>FALSE</f>
        <v>0</v>
      </c>
      <c r="AF27" s="285" t="e">
        <f ca="1">_xludf.Image("https://ddragon.leagueoflegends.com/cdn/11.19.1/img/champion/Draven.png")</f>
        <v>#NAME?</v>
      </c>
      <c r="AG27" s="282">
        <f ca="1">IFERROR(__xludf.DUMMYFUNCTION("IF(OR(REGEXMATCH(FORMULATEXT(U27),""HMOD""),NOT(P_Q&gt;0)),0,U27)+IF(OR(REGEXMATCH(FORMULATEXT(V27),""HMOD""),NOT(P_W&gt;0)),0,V27)+IF(OR(REGEXMATCH(FORMULATEXT(W27),""HMOD""),NOT(P_E&gt;0)),0,W27)+IF(OR(REGEXMATCH(FORMULATEXT(X27),""HMOD""),NOT(P_R&gt;0)),0,X27)+IF("&amp;"REGEXMATCH(FORMULATEXT(Y27),""HMOD""),0,Y27)+Self_Proc_item+Self_Proc_Summ+Self_Proc_Rune+3*Self_DPS"),0)</f>
        <v>0</v>
      </c>
      <c r="AH27" s="282">
        <f t="shared" si="8"/>
        <v>0</v>
      </c>
      <c r="AI27" s="282" t="b">
        <f t="shared" si="88"/>
        <v>0</v>
      </c>
      <c r="AJ27" s="283" t="b">
        <f t="shared" ref="AJ27:AJ36" si="90">FALSE</f>
        <v>0</v>
      </c>
    </row>
    <row r="28" spans="1:36">
      <c r="A28" s="267" t="s">
        <v>213</v>
      </c>
      <c r="B28" s="287">
        <f>655</f>
        <v>655</v>
      </c>
      <c r="C28" s="287">
        <f>99</f>
        <v>99</v>
      </c>
      <c r="D28" s="288">
        <f>9</f>
        <v>9</v>
      </c>
      <c r="E28" s="289">
        <f>0.9</f>
        <v>0.9</v>
      </c>
      <c r="F28" s="288">
        <f>280</f>
        <v>280</v>
      </c>
      <c r="G28" s="288">
        <f>70</f>
        <v>70</v>
      </c>
      <c r="H28" s="288">
        <f>7</f>
        <v>7</v>
      </c>
      <c r="I28" s="289">
        <f t="shared" ref="I28:I29" si="91">0.8</f>
        <v>0.8</v>
      </c>
      <c r="J28" s="290">
        <f>58</f>
        <v>58</v>
      </c>
      <c r="K28" s="288">
        <f t="shared" ref="K28:K30" si="92">3</f>
        <v>3</v>
      </c>
      <c r="L28" s="291">
        <f>0.688</f>
        <v>0.68799999999999994</v>
      </c>
      <c r="M28" s="291">
        <f>0.625</f>
        <v>0.625</v>
      </c>
      <c r="N28" s="292">
        <f>3.3%</f>
        <v>3.3000000000000002E-2</v>
      </c>
      <c r="O28" s="287">
        <f>32</f>
        <v>32</v>
      </c>
      <c r="P28" s="287">
        <f>4.2</f>
        <v>4.2</v>
      </c>
      <c r="Q28" s="288">
        <f>32</f>
        <v>32</v>
      </c>
      <c r="R28" s="289">
        <f>2.05</f>
        <v>2.0499999999999998</v>
      </c>
      <c r="S28" s="293">
        <f>340</f>
        <v>340</v>
      </c>
      <c r="T28" s="294">
        <f>125</f>
        <v>125</v>
      </c>
      <c r="U28" s="295" t="e">
        <f ca="1">(60+40*P_Q+0.9*Self_AP)*MOD_Magic</f>
        <v>#NAME?</v>
      </c>
      <c r="V28" s="296" t="e">
        <f ca="1">(60+20*P_W+1.5*Self_AP)*MOD_Magic</f>
        <v>#NAME?</v>
      </c>
      <c r="W28" s="296" t="e">
        <f ca="1">(25+25*P_E+0.4*Self_AP)*MOD_Magic</f>
        <v>#NAME?</v>
      </c>
      <c r="X28" s="296" t="e">
        <f ca="1">(150 * P_R + 1.75 * Self_AP + 50)*MOD_Magic</f>
        <v>#NAME?</v>
      </c>
      <c r="Y28" s="297" t="e">
        <f ca="1">(20 + 10 * Self_Level - MAX(5 * (Self_Level - 6), 0) + 0.9 * Self_AP) * MOD_Magic</f>
        <v>#NAME?</v>
      </c>
      <c r="Z28" s="281">
        <f>9.5-0.5*P_Q</f>
        <v>9.5</v>
      </c>
      <c r="AA28" s="282">
        <f>24-2*P_W</f>
        <v>24</v>
      </c>
      <c r="AB28" s="282">
        <f>9.5-0.5*P_E</f>
        <v>9.5</v>
      </c>
      <c r="AC28" s="282">
        <f>140-30*P_R</f>
        <v>140</v>
      </c>
      <c r="AD28" s="283">
        <f>5</f>
        <v>5</v>
      </c>
      <c r="AE28" s="284" t="b">
        <f>TRUE</f>
        <v>1</v>
      </c>
      <c r="AF28" s="285" t="e">
        <f ca="1">_xludf.Image("https://ddragon.leagueoflegends.com/cdn/11.19.1/img/champion/Ekko.png")</f>
        <v>#NAME?</v>
      </c>
      <c r="AG28" s="282">
        <f ca="1">IFERROR(__xludf.DUMMYFUNCTION("IF(OR(REGEXMATCH(FORMULATEXT(U28),""HMOD""),NOT(P_Q&gt;0)),0,U28)+IF(OR(REGEXMATCH(FORMULATEXT(V28),""HMOD""),NOT(P_W&gt;0)),0,V28)+IF(OR(REGEXMATCH(FORMULATEXT(W28),""HMOD""),NOT(P_E&gt;0)),0,W28)+IF(OR(REGEXMATCH(FORMULATEXT(X28),""HMOD""),NOT(P_R&gt;0)),0,X28)+IF("&amp;"REGEXMATCH(FORMULATEXT(Y28),""HMOD""),0,Y28)+Self_Proc_item+Self_Proc_Summ+Self_Proc_Rune+3*Self_DPS"),30)</f>
        <v>30</v>
      </c>
      <c r="AH28" s="282">
        <f t="shared" si="8"/>
        <v>0</v>
      </c>
      <c r="AI28" s="282" t="b">
        <f t="shared" si="88"/>
        <v>0</v>
      </c>
      <c r="AJ28" s="283" t="b">
        <f t="shared" si="90"/>
        <v>0</v>
      </c>
    </row>
    <row r="29" spans="1:36">
      <c r="A29" s="267" t="s">
        <v>214</v>
      </c>
      <c r="B29" s="287">
        <f>650</f>
        <v>650</v>
      </c>
      <c r="C29" s="287">
        <f>109</f>
        <v>109</v>
      </c>
      <c r="D29" s="288">
        <f>5.5</f>
        <v>5.5</v>
      </c>
      <c r="E29" s="289">
        <f>0.6</f>
        <v>0.6</v>
      </c>
      <c r="F29" s="288">
        <f>324</f>
        <v>324</v>
      </c>
      <c r="G29" s="288">
        <f>50</f>
        <v>50</v>
      </c>
      <c r="H29" s="288">
        <f>6</f>
        <v>6</v>
      </c>
      <c r="I29" s="289">
        <f t="shared" si="91"/>
        <v>0.8</v>
      </c>
      <c r="J29" s="290">
        <f>55</f>
        <v>55</v>
      </c>
      <c r="K29" s="288">
        <f t="shared" si="92"/>
        <v>3</v>
      </c>
      <c r="L29" s="291">
        <f t="shared" ref="L29:M29" si="93">0.625</f>
        <v>0.625</v>
      </c>
      <c r="M29" s="291">
        <f t="shared" si="93"/>
        <v>0.625</v>
      </c>
      <c r="N29" s="292">
        <f>1.75%</f>
        <v>1.7500000000000002E-2</v>
      </c>
      <c r="O29" s="287">
        <f>30</f>
        <v>30</v>
      </c>
      <c r="P29" s="287">
        <f>5.2</f>
        <v>5.2</v>
      </c>
      <c r="Q29" s="288">
        <f>30</f>
        <v>30</v>
      </c>
      <c r="R29" s="289">
        <f>1.3</f>
        <v>1.3</v>
      </c>
      <c r="S29" s="293">
        <f>IF(Steroid_Form,355,330)</f>
        <v>330</v>
      </c>
      <c r="T29" s="294">
        <f>550</f>
        <v>550</v>
      </c>
      <c r="U29" s="298" t="e">
        <f ca="1">IF(Steroid_Form,(30+30*P_Q+(0.08+0.0003*Self_AP)*E_MisHPV)*MOD_Magic+OH_Phys+OH_Magic,(5+35*P_Q+(0.04+0.0003*Self_AP)*E_CHPV)*MOD_Magic)</f>
        <v>#NAME?</v>
      </c>
      <c r="V29" s="299" t="e">
        <f ca="1">IF(Steroid_Form, 0, 15 + 45 * P_W + 0.95 * Self_AP) * MOD_Magic</f>
        <v>#NAME?</v>
      </c>
      <c r="W29" s="299">
        <f t="shared" ref="W29:X29" si="94">0</f>
        <v>0</v>
      </c>
      <c r="X29" s="299">
        <f t="shared" si="94"/>
        <v>0</v>
      </c>
      <c r="Y29" s="300" t="e">
        <f ca="1">IF(Steroid_Form, 0.2 * Self_AP + 10 + 10 * P_R, 0) * MOD_Magic</f>
        <v>#NAME?</v>
      </c>
      <c r="Z29" s="281">
        <f>6</f>
        <v>6</v>
      </c>
      <c r="AA29" s="282">
        <f>10</f>
        <v>10</v>
      </c>
      <c r="AB29" s="282">
        <f>IF(Steroid_Form,23-1*P_E,12.5-0.5*P_E)</f>
        <v>12.5</v>
      </c>
      <c r="AC29" s="282">
        <f>4</f>
        <v>4</v>
      </c>
      <c r="AD29" s="283">
        <f t="shared" ref="AD29:AD34" si="95">1</f>
        <v>1</v>
      </c>
      <c r="AE29" s="284" t="b">
        <f>IF(Steroid_Form,TRUE,FALSE)</f>
        <v>0</v>
      </c>
      <c r="AF29" s="285" t="e">
        <f ca="1">_xludf.Image("https://ddragon.leagueoflegends.com/cdn/11.19.1/img/champion/Elise.png")</f>
        <v>#NAME?</v>
      </c>
      <c r="AG29" s="282">
        <f ca="1">IFERROR(__xludf.DUMMYFUNCTION("IF(OR(REGEXMATCH(FORMULATEXT(U29),""HMOD""),NOT(P_Q&gt;0)),0,U29)+IF(OR(REGEXMATCH(FORMULATEXT(V29),""HMOD""),NOT(P_W&gt;0)),0,V29)+IF(OR(REGEXMATCH(FORMULATEXT(W29),""HMOD""),NOT(P_E&gt;0)),0,W29)+IF(OR(REGEXMATCH(FORMULATEXT(X29),""HMOD""),NOT(P_R&gt;0)),0,X29)+IF("&amp;"REGEXMATCH(FORMULATEXT(Y29),""HMOD""),0,Y29)+Self_Proc_item+Self_Proc_Summ+Self_Proc_Rune+3*Self_DPS"),0)</f>
        <v>0</v>
      </c>
      <c r="AH29" s="282">
        <f t="shared" si="8"/>
        <v>0</v>
      </c>
      <c r="AI29" s="282" t="b">
        <f t="shared" si="88"/>
        <v>0</v>
      </c>
      <c r="AJ29" s="283" t="b">
        <f t="shared" si="90"/>
        <v>0</v>
      </c>
    </row>
    <row r="30" spans="1:36">
      <c r="A30" s="267" t="s">
        <v>215</v>
      </c>
      <c r="B30" s="287">
        <f>642</f>
        <v>642</v>
      </c>
      <c r="C30" s="287">
        <f>98</f>
        <v>98</v>
      </c>
      <c r="D30" s="288">
        <f>8.5</f>
        <v>8.5</v>
      </c>
      <c r="E30" s="289">
        <f>0.75</f>
        <v>0.75</v>
      </c>
      <c r="F30" s="288">
        <f>316</f>
        <v>316</v>
      </c>
      <c r="G30" s="288">
        <f>42</f>
        <v>42</v>
      </c>
      <c r="H30" s="288">
        <f>8.1</f>
        <v>8.1</v>
      </c>
      <c r="I30" s="289">
        <f>0.6</f>
        <v>0.6</v>
      </c>
      <c r="J30" s="290">
        <f>61</f>
        <v>61</v>
      </c>
      <c r="K30" s="288">
        <f t="shared" si="92"/>
        <v>3</v>
      </c>
      <c r="L30" s="291">
        <f t="shared" ref="L30:M30" si="96">0.667</f>
        <v>0.66700000000000004</v>
      </c>
      <c r="M30" s="291">
        <f t="shared" si="96"/>
        <v>0.66700000000000004</v>
      </c>
      <c r="N30" s="292">
        <f>2.1%</f>
        <v>2.1000000000000001E-2</v>
      </c>
      <c r="O30" s="287">
        <f>37</f>
        <v>37</v>
      </c>
      <c r="P30" s="287">
        <f t="shared" ref="P30:P33" si="97">4.7</f>
        <v>4.7</v>
      </c>
      <c r="Q30" s="288">
        <f>32</f>
        <v>32</v>
      </c>
      <c r="R30" s="289">
        <f>2.05</f>
        <v>2.0499999999999998</v>
      </c>
      <c r="S30" s="293">
        <f>335</f>
        <v>335</v>
      </c>
      <c r="T30" s="294">
        <f>125</f>
        <v>125</v>
      </c>
      <c r="U30" s="295" t="e">
        <f ca="1">(90+50*P_Q+1.95*Self_AP)*MOD_Magic</f>
        <v>#NAME?</v>
      </c>
      <c r="V30" s="296">
        <f>0</f>
        <v>0</v>
      </c>
      <c r="W30" s="296" t="e">
        <f ca="1">IF(Steroid_E,(50+25*P_E+(0.04+0.00025*Self_AP)*E_MHP),(40+15*P_E+(0.03+0.00015*Self_AP)*E_MHP))*MOD_Magic</f>
        <v>#NAME?</v>
      </c>
      <c r="X30" s="296" t="e">
        <f ca="1">(125*P_R+0.75*Self_AP)*MOD_Magic*IF(E_CHP&lt;=30,2.4,1)</f>
        <v>#NAME?</v>
      </c>
      <c r="Y30" s="297">
        <f>230 + 20 * Self_Level + 2.5 * Self_AP</f>
        <v>250</v>
      </c>
      <c r="Z30" s="281">
        <f>4</f>
        <v>4</v>
      </c>
      <c r="AA30" s="282">
        <f>15-P_W</f>
        <v>15</v>
      </c>
      <c r="AB30" s="282">
        <f>8</f>
        <v>8</v>
      </c>
      <c r="AC30" s="282">
        <f>140 - 20 * P_R</f>
        <v>140</v>
      </c>
      <c r="AD30" s="283">
        <f t="shared" si="95"/>
        <v>1</v>
      </c>
      <c r="AE30" s="284" t="b">
        <f>TRUE</f>
        <v>1</v>
      </c>
      <c r="AF30" s="285" t="e">
        <f ca="1">_xludf.Image("https://ddragon.leagueoflegends.com/cdn/11.19.1/img/champion/Evelynn.png")</f>
        <v>#NAME?</v>
      </c>
      <c r="AG30" s="282">
        <f ca="1">IFERROR(__xludf.DUMMYFUNCTION("IF(OR(REGEXMATCH(FORMULATEXT(U30),""HMOD""),NOT(P_Q&gt;0)),0,U30)+IF(OR(REGEXMATCH(FORMULATEXT(V30),""HMOD""),NOT(P_W&gt;0)),0,V30)+IF(OR(REGEXMATCH(FORMULATEXT(W30),""HMOD""),NOT(P_E&gt;0)),0,W30)+IF(OR(REGEXMATCH(FORMULATEXT(X30),""HMOD""),NOT(P_R&gt;0)),0,X30)+IF("&amp;"REGEXMATCH(FORMULATEXT(Y30),""HMOD""),0,Y30)+Self_Proc_item+Self_Proc_Summ+Self_Proc_Rune+3*Self_DPS"),250)</f>
        <v>250</v>
      </c>
      <c r="AH30" s="282">
        <f t="shared" si="8"/>
        <v>0</v>
      </c>
      <c r="AI30" s="282" t="b">
        <f t="shared" si="88"/>
        <v>0</v>
      </c>
      <c r="AJ30" s="283" t="b">
        <f t="shared" si="90"/>
        <v>0</v>
      </c>
    </row>
    <row r="31" spans="1:36">
      <c r="A31" s="267" t="s">
        <v>216</v>
      </c>
      <c r="B31" s="287">
        <f>600</f>
        <v>600</v>
      </c>
      <c r="C31" s="287">
        <f>102</f>
        <v>102</v>
      </c>
      <c r="D31" s="288">
        <f>4</f>
        <v>4</v>
      </c>
      <c r="E31" s="289">
        <f>0.65</f>
        <v>0.65</v>
      </c>
      <c r="F31" s="288">
        <f>375</f>
        <v>375</v>
      </c>
      <c r="G31" s="288">
        <f>70</f>
        <v>70</v>
      </c>
      <c r="H31" s="288">
        <f>8.5</f>
        <v>8.5</v>
      </c>
      <c r="I31" s="289">
        <f>1</f>
        <v>1</v>
      </c>
      <c r="J31" s="290">
        <f>62</f>
        <v>62</v>
      </c>
      <c r="K31" s="288">
        <f>2.5</f>
        <v>2.5</v>
      </c>
      <c r="L31" s="291">
        <f t="shared" ref="L31:M31" si="98">0.625</f>
        <v>0.625</v>
      </c>
      <c r="M31" s="291">
        <f t="shared" si="98"/>
        <v>0.625</v>
      </c>
      <c r="N31" s="292">
        <f>2.5%</f>
        <v>2.5000000000000001E-2</v>
      </c>
      <c r="O31" s="287">
        <f>24</f>
        <v>24</v>
      </c>
      <c r="P31" s="287">
        <f t="shared" si="97"/>
        <v>4.7</v>
      </c>
      <c r="Q31" s="288">
        <f t="shared" ref="Q31:Q32" si="99">30</f>
        <v>30</v>
      </c>
      <c r="R31" s="289">
        <f t="shared" ref="R31:R32" si="100">1.3</f>
        <v>1.3</v>
      </c>
      <c r="S31" s="293">
        <f>325</f>
        <v>325</v>
      </c>
      <c r="T31" s="294">
        <f>550</f>
        <v>550</v>
      </c>
      <c r="U31" s="298" t="e">
        <f ca="1">(-5+25*P_Q+0.15*Self_AP+1.3*Self_AD)*MOD_Phys+OH_Phys+OH_Magic+Calc!O32</f>
        <v>#NAME?</v>
      </c>
      <c r="V31" s="299" t="e">
        <f ca="1">(25+55*P_W+(0.65+0.05*P_W)*Self_AP+0.6*Self_BoAD)*MOD_Magic</f>
        <v>#NAME?</v>
      </c>
      <c r="W31" s="299" t="e">
        <f ca="1">(30+50*P_E+0.75*Self_AP+0.5*Self_BoAD)*MOD_Magic</f>
        <v>#NAME?</v>
      </c>
      <c r="X31" s="299" t="e">
        <f ca="1">(200+150*P_R+Self_BoAD+0.9*Self_AP)*MOD_Magic</f>
        <v>#NAME?</v>
      </c>
      <c r="Y31" s="300">
        <f t="shared" ref="Y31:Y32" si="101">0</f>
        <v>0</v>
      </c>
      <c r="Z31" s="281">
        <f>5.75-0.25*P_Q</f>
        <v>5.75</v>
      </c>
      <c r="AA31" s="282">
        <f>12</f>
        <v>12</v>
      </c>
      <c r="AB31" s="282">
        <f>29-3*P_E</f>
        <v>29</v>
      </c>
      <c r="AC31" s="282">
        <f>135-15*P_R</f>
        <v>135</v>
      </c>
      <c r="AD31" s="283">
        <f t="shared" si="95"/>
        <v>1</v>
      </c>
      <c r="AE31" s="284" t="b">
        <f t="shared" ref="AE31:AE32" si="102">FALSE</f>
        <v>0</v>
      </c>
      <c r="AF31" s="285" t="e">
        <f ca="1">_xludf.Image("https://ddragon.leagueoflegends.com/cdn/11.19.1/img/champion/Ezreal.png")</f>
        <v>#NAME?</v>
      </c>
      <c r="AG31" s="282">
        <f ca="1">IFERROR(__xludf.DUMMYFUNCTION("IF(OR(REGEXMATCH(FORMULATEXT(U31),""HMOD""),NOT(P_Q&gt;0)),0,U31)+IF(OR(REGEXMATCH(FORMULATEXT(V31),""HMOD""),NOT(P_W&gt;0)),0,V31)+IF(OR(REGEXMATCH(FORMULATEXT(W31),""HMOD""),NOT(P_E&gt;0)),0,W31)+IF(OR(REGEXMATCH(FORMULATEXT(X31),""HMOD""),NOT(P_R&gt;0)),0,X31)+IF("&amp;"REGEXMATCH(FORMULATEXT(Y31),""HMOD""),0,Y31)+Self_Proc_item+Self_Proc_Summ+Self_Proc_Rune+3*Self_DPS"),0)</f>
        <v>0</v>
      </c>
      <c r="AH31" s="282">
        <f t="shared" si="8"/>
        <v>0</v>
      </c>
      <c r="AI31" s="282" t="b">
        <f t="shared" si="88"/>
        <v>0</v>
      </c>
      <c r="AJ31" s="283" t="b">
        <f t="shared" si="90"/>
        <v>0</v>
      </c>
    </row>
    <row r="32" spans="1:36">
      <c r="A32" s="267" t="s">
        <v>217</v>
      </c>
      <c r="B32" s="287">
        <f>650</f>
        <v>650</v>
      </c>
      <c r="C32" s="287">
        <f>106</f>
        <v>106</v>
      </c>
      <c r="D32" s="288">
        <f>5.5</f>
        <v>5.5</v>
      </c>
      <c r="E32" s="289">
        <f>0.6</f>
        <v>0.6</v>
      </c>
      <c r="F32" s="288">
        <f>500</f>
        <v>500</v>
      </c>
      <c r="G32" s="288">
        <f>28</f>
        <v>28</v>
      </c>
      <c r="H32" s="288">
        <f t="shared" ref="H32:H33" si="103">8</f>
        <v>8</v>
      </c>
      <c r="I32" s="289">
        <f>0.8</f>
        <v>0.8</v>
      </c>
      <c r="J32" s="290">
        <f>55</f>
        <v>55</v>
      </c>
      <c r="K32" s="288">
        <f>2.63</f>
        <v>2.63</v>
      </c>
      <c r="L32" s="291">
        <f t="shared" ref="L32:M32" si="104">0.625</f>
        <v>0.625</v>
      </c>
      <c r="M32" s="291">
        <f t="shared" si="104"/>
        <v>0.625</v>
      </c>
      <c r="N32" s="292">
        <f>2.11%</f>
        <v>2.1099999999999997E-2</v>
      </c>
      <c r="O32" s="287">
        <f>34</f>
        <v>34</v>
      </c>
      <c r="P32" s="287">
        <f t="shared" si="97"/>
        <v>4.7</v>
      </c>
      <c r="Q32" s="288">
        <f t="shared" si="99"/>
        <v>30</v>
      </c>
      <c r="R32" s="289">
        <f t="shared" si="100"/>
        <v>1.3</v>
      </c>
      <c r="S32" s="293">
        <f>335</f>
        <v>335</v>
      </c>
      <c r="T32" s="294">
        <f>480</f>
        <v>480</v>
      </c>
      <c r="U32" s="295" t="e">
        <f ca="1">((0.05+0.01*P_Q+0.0002*Self_AP)*IF(Steroid_Q,2,1)*E_CHPV)*MOD_Magic</f>
        <v>#NAME?</v>
      </c>
      <c r="V32" s="296" t="e">
        <f ca="1">(40+60*P_W+0.7*Self_AP+(0.11+0.01*P_W)*E_MisHPV)*MOD_Magic</f>
        <v>#NAME?</v>
      </c>
      <c r="W32" s="296" t="e">
        <f ca="1">(35+35*P_E+0.5*Self_AP)*MOD_Magic</f>
        <v>#NAME?</v>
      </c>
      <c r="X32" s="296" t="e">
        <f ca="1">(250+500*P_R+2.5*Self_AP)*MOD_Magic</f>
        <v>#NAME?</v>
      </c>
      <c r="Y32" s="297">
        <f t="shared" si="101"/>
        <v>0</v>
      </c>
      <c r="Z32" s="281">
        <f>15.5-0.5*P_Q</f>
        <v>15.5</v>
      </c>
      <c r="AA32" s="282">
        <f>10.5-0.5*P_W</f>
        <v>10.5</v>
      </c>
      <c r="AB32" s="282">
        <f>11-P_E</f>
        <v>11</v>
      </c>
      <c r="AC32" s="282">
        <f>170-30*P_R</f>
        <v>170</v>
      </c>
      <c r="AD32" s="283">
        <f t="shared" si="95"/>
        <v>1</v>
      </c>
      <c r="AE32" s="284" t="b">
        <f t="shared" si="102"/>
        <v>0</v>
      </c>
      <c r="AF32" s="285" t="e">
        <f ca="1">_xludf.Image("https://ddragon.leagueoflegends.com/cdn/11.19.1/img/champion/Fiddlesticks.png")</f>
        <v>#NAME?</v>
      </c>
      <c r="AG32" s="282">
        <f ca="1">IFERROR(__xludf.DUMMYFUNCTION("IF(OR(REGEXMATCH(FORMULATEXT(U32),""HMOD""),NOT(P_Q&gt;0)),0,U32)+IF(OR(REGEXMATCH(FORMULATEXT(V32),""HMOD""),NOT(P_W&gt;0)),0,V32)+IF(OR(REGEXMATCH(FORMULATEXT(W32),""HMOD""),NOT(P_E&gt;0)),0,W32)+IF(OR(REGEXMATCH(FORMULATEXT(X32),""HMOD""),NOT(P_R&gt;0)),0,X32)+IF("&amp;"REGEXMATCH(FORMULATEXT(Y32),""HMOD""),0,Y32)+Self_Proc_item+Self_Proc_Summ+Self_Proc_Rune+3*Self_DPS"),0)</f>
        <v>0</v>
      </c>
      <c r="AH32" s="282">
        <f t="shared" si="8"/>
        <v>0</v>
      </c>
      <c r="AI32" s="282" t="b">
        <f t="shared" si="88"/>
        <v>0</v>
      </c>
      <c r="AJ32" s="283" t="b">
        <f t="shared" si="90"/>
        <v>0</v>
      </c>
    </row>
    <row r="33" spans="1:36">
      <c r="A33" s="267" t="s">
        <v>218</v>
      </c>
      <c r="B33" s="287">
        <f>620</f>
        <v>620</v>
      </c>
      <c r="C33" s="287">
        <f>99</f>
        <v>99</v>
      </c>
      <c r="D33" s="288">
        <f>8.5</f>
        <v>8.5</v>
      </c>
      <c r="E33" s="289">
        <f>0.55</f>
        <v>0.55000000000000004</v>
      </c>
      <c r="F33" s="288">
        <f>300</f>
        <v>300</v>
      </c>
      <c r="G33" s="288">
        <f>60</f>
        <v>60</v>
      </c>
      <c r="H33" s="288">
        <f t="shared" si="103"/>
        <v>8</v>
      </c>
      <c r="I33" s="289">
        <f>0.7</f>
        <v>0.7</v>
      </c>
      <c r="J33" s="290">
        <f>68</f>
        <v>68</v>
      </c>
      <c r="K33" s="288">
        <f>3.3</f>
        <v>3.3</v>
      </c>
      <c r="L33" s="291">
        <f t="shared" ref="L33:M33" si="105">0.69</f>
        <v>0.69</v>
      </c>
      <c r="M33" s="291">
        <f t="shared" si="105"/>
        <v>0.69</v>
      </c>
      <c r="N33" s="292">
        <f>3.2%</f>
        <v>3.2000000000000001E-2</v>
      </c>
      <c r="O33" s="287">
        <f>33</f>
        <v>33</v>
      </c>
      <c r="P33" s="287">
        <f t="shared" si="97"/>
        <v>4.7</v>
      </c>
      <c r="Q33" s="288">
        <f t="shared" ref="Q33:Q37" si="106">32</f>
        <v>32</v>
      </c>
      <c r="R33" s="289">
        <f t="shared" ref="R33:R36" si="107">2.05</f>
        <v>2.0499999999999998</v>
      </c>
      <c r="S33" s="293">
        <f>345</f>
        <v>345</v>
      </c>
      <c r="T33" s="294">
        <f>150</f>
        <v>150</v>
      </c>
      <c r="U33" s="298" t="e">
        <f ca="1">(60+10*P_Q+(0.85+0.05*P_Q)*Self_BoAD)*MOD_Phys</f>
        <v>#NAME?</v>
      </c>
      <c r="V33" s="299" t="e">
        <f ca="1">(70+40*P_W+Self_AP)*MOD_Magic</f>
        <v>#NAME?</v>
      </c>
      <c r="W33" s="299" t="e">
        <f ca="1">(1.5+0.1*P_E)*Self_AD*MOD_Phys</f>
        <v>#NAME?</v>
      </c>
      <c r="X33" s="299">
        <f>250+125*P_R+3*Self_BoAD</f>
        <v>250</v>
      </c>
      <c r="Y33" s="300">
        <f>(0.03+0.0004*Self_BoAD)*E_MHP*Calc!O10</f>
        <v>0</v>
      </c>
      <c r="Z33" s="281">
        <f>14.75-1.75*P_Q</f>
        <v>14.75</v>
      </c>
      <c r="AA33" s="282">
        <f>26-2*P_W</f>
        <v>26</v>
      </c>
      <c r="AB33" s="282">
        <f>12 - P_E</f>
        <v>12</v>
      </c>
      <c r="AC33" s="282">
        <f>130-20*P_R</f>
        <v>130</v>
      </c>
      <c r="AD33" s="283">
        <f t="shared" si="95"/>
        <v>1</v>
      </c>
      <c r="AE33" s="284" t="b">
        <f t="shared" ref="AE33:AE37" si="108">TRUE</f>
        <v>1</v>
      </c>
      <c r="AF33" s="285" t="e">
        <f ca="1">_xludf.Image("https://ddragon.leagueoflegends.com/cdn/11.19.1/img/champion/Fiora.png")</f>
        <v>#NAME?</v>
      </c>
      <c r="AG33" s="282">
        <f ca="1">IFERROR(__xludf.DUMMYFUNCTION("IF(OR(REGEXMATCH(FORMULATEXT(U33),""HMOD""),NOT(P_Q&gt;0)),0,U33)+IF(OR(REGEXMATCH(FORMULATEXT(V33),""HMOD""),NOT(P_W&gt;0)),0,V33)+IF(OR(REGEXMATCH(FORMULATEXT(W33),""HMOD""),NOT(P_E&gt;0)),0,W33)+IF(OR(REGEXMATCH(FORMULATEXT(X33),""HMOD""),NOT(P_R&gt;0)),0,X33)+IF("&amp;"REGEXMATCH(FORMULATEXT(Y33),""HMOD""),0,Y33)+Self_Proc_item+Self_Proc_Summ+Self_Proc_Rune+3*Self_DPS"),0)</f>
        <v>0</v>
      </c>
      <c r="AH33" s="282">
        <f t="shared" si="8"/>
        <v>0</v>
      </c>
      <c r="AI33" s="282" t="b">
        <f t="shared" si="88"/>
        <v>0</v>
      </c>
      <c r="AJ33" s="283" t="b">
        <f t="shared" si="90"/>
        <v>0</v>
      </c>
    </row>
    <row r="34" spans="1:36">
      <c r="A34" s="267" t="s">
        <v>219</v>
      </c>
      <c r="B34" s="287">
        <f>640</f>
        <v>640</v>
      </c>
      <c r="C34" s="287">
        <f>106</f>
        <v>106</v>
      </c>
      <c r="D34" s="288">
        <f t="shared" ref="D34:D35" si="109">8</f>
        <v>8</v>
      </c>
      <c r="E34" s="289">
        <f>0.7</f>
        <v>0.7</v>
      </c>
      <c r="F34" s="288">
        <f>317</f>
        <v>317</v>
      </c>
      <c r="G34" s="288">
        <f>52</f>
        <v>52</v>
      </c>
      <c r="H34" s="288">
        <f>6</f>
        <v>6</v>
      </c>
      <c r="I34" s="289">
        <f>0.8</f>
        <v>0.8</v>
      </c>
      <c r="J34" s="290">
        <f>58</f>
        <v>58</v>
      </c>
      <c r="K34" s="288">
        <f>3</f>
        <v>3</v>
      </c>
      <c r="L34" s="291">
        <f t="shared" ref="L34:M34" si="110">0.658</f>
        <v>0.65800000000000003</v>
      </c>
      <c r="M34" s="291">
        <f t="shared" si="110"/>
        <v>0.65800000000000003</v>
      </c>
      <c r="N34" s="292">
        <f>3.1%</f>
        <v>3.1E-2</v>
      </c>
      <c r="O34" s="287">
        <f>22</f>
        <v>22</v>
      </c>
      <c r="P34" s="287">
        <f>4.6</f>
        <v>4.5999999999999996</v>
      </c>
      <c r="Q34" s="288">
        <f t="shared" si="106"/>
        <v>32</v>
      </c>
      <c r="R34" s="289">
        <f t="shared" si="107"/>
        <v>2.0499999999999998</v>
      </c>
      <c r="S34" s="293">
        <f t="shared" ref="S34:S35" si="111">335</f>
        <v>335</v>
      </c>
      <c r="T34" s="294">
        <f>175</f>
        <v>175</v>
      </c>
      <c r="U34" s="295" t="e">
        <f ca="1">(Self_AD+15*P_Q-5+0.55*Self_AP)*MOD_Magic</f>
        <v>#NAME?</v>
      </c>
      <c r="V34" s="296" t="e">
        <f ca="1">(40 + 30 * P_W + 0.9 * Self_AP) * MOD_Magic</f>
        <v>#NAME?</v>
      </c>
      <c r="W34" s="296" t="e">
        <f ca="1">(30 + 50 * P_E + 0.9 * Self_AP) * MOD_Magic</f>
        <v>#NAME?</v>
      </c>
      <c r="X34" s="296" t="e">
        <f ca="1">(50 + 100 * P_R + 0.8 * Self_AP + IF(Steroid_R, 150 + 0.4 * Self_AP)) * MOD_Magic</f>
        <v>#NAME?</v>
      </c>
      <c r="Y34" s="297">
        <f>4 + 0.01 * Self_AP</f>
        <v>4</v>
      </c>
      <c r="Z34" s="281">
        <f>8.5-0.5*P_Q</f>
        <v>8.5</v>
      </c>
      <c r="AA34" s="282">
        <f>7.5-0.5*P_W</f>
        <v>7.5</v>
      </c>
      <c r="AB34" s="282">
        <f>18-2*P_E</f>
        <v>18</v>
      </c>
      <c r="AC34" s="282">
        <f>115-15*P_R</f>
        <v>115</v>
      </c>
      <c r="AD34" s="283">
        <f t="shared" si="95"/>
        <v>1</v>
      </c>
      <c r="AE34" s="284" t="b">
        <f t="shared" si="108"/>
        <v>1</v>
      </c>
      <c r="AF34" s="285" t="e">
        <f ca="1">_xludf.Image("https://ddragon.leagueoflegends.com/cdn/11.19.1/img/champion/Fizz.png")</f>
        <v>#NAME?</v>
      </c>
      <c r="AG34" s="282">
        <f ca="1">IFERROR(__xludf.DUMMYFUNCTION("IF(OR(REGEXMATCH(FORMULATEXT(U34),""HMOD""),NOT(P_Q&gt;0)),0,U34)+IF(OR(REGEXMATCH(FORMULATEXT(V34),""HMOD""),NOT(P_W&gt;0)),0,V34)+IF(OR(REGEXMATCH(FORMULATEXT(W34),""HMOD""),NOT(P_E&gt;0)),0,W34)+IF(OR(REGEXMATCH(FORMULATEXT(X34),""HMOD""),NOT(P_R&gt;0)),0,X34)+IF("&amp;"REGEXMATCH(FORMULATEXT(Y34),""HMOD""),0,Y34)+Self_Proc_item+Self_Proc_Summ+Self_Proc_Rune+3*Self_DPS"),4)</f>
        <v>4</v>
      </c>
      <c r="AH34" s="282">
        <f t="shared" si="8"/>
        <v>0</v>
      </c>
      <c r="AI34" s="282" t="b">
        <f t="shared" si="88"/>
        <v>0</v>
      </c>
      <c r="AJ34" s="283" t="b">
        <f t="shared" si="90"/>
        <v>0</v>
      </c>
    </row>
    <row r="35" spans="1:36">
      <c r="A35" s="267" t="s">
        <v>220</v>
      </c>
      <c r="B35" s="287">
        <f>632</f>
        <v>632</v>
      </c>
      <c r="C35" s="287">
        <f>126</f>
        <v>126</v>
      </c>
      <c r="D35" s="288">
        <f t="shared" si="109"/>
        <v>8</v>
      </c>
      <c r="E35" s="289">
        <f>0.8</f>
        <v>0.8</v>
      </c>
      <c r="F35" s="288">
        <f>400</f>
        <v>400</v>
      </c>
      <c r="G35" s="288">
        <f>40</f>
        <v>40</v>
      </c>
      <c r="H35" s="288">
        <f>9.5</f>
        <v>9.5</v>
      </c>
      <c r="I35" s="289">
        <f t="shared" ref="I35:I36" si="112">0.7</f>
        <v>0.7</v>
      </c>
      <c r="J35" s="290">
        <f>59</f>
        <v>59</v>
      </c>
      <c r="K35" s="288">
        <f>3.5</f>
        <v>3.5</v>
      </c>
      <c r="L35" s="291">
        <f t="shared" ref="L35:M35" si="113">0.625</f>
        <v>0.625</v>
      </c>
      <c r="M35" s="291">
        <f t="shared" si="113"/>
        <v>0.625</v>
      </c>
      <c r="N35" s="292">
        <f>1.5%</f>
        <v>1.4999999999999999E-2</v>
      </c>
      <c r="O35" s="287">
        <f>24</f>
        <v>24</v>
      </c>
      <c r="P35" s="287">
        <f>4.7</f>
        <v>4.7</v>
      </c>
      <c r="Q35" s="288">
        <f t="shared" si="106"/>
        <v>32</v>
      </c>
      <c r="R35" s="289">
        <f t="shared" si="107"/>
        <v>2.0499999999999998</v>
      </c>
      <c r="S35" s="293">
        <f t="shared" si="111"/>
        <v>335</v>
      </c>
      <c r="T35" s="294">
        <f>150</f>
        <v>150</v>
      </c>
      <c r="U35" s="298" t="e">
        <f ca="1">(35+35*P_Q+0.75*Self_AP+(0.1+0.0004*Self_AP)*E_MHP)*MOD_Magic</f>
        <v>#NAME?</v>
      </c>
      <c r="V35" s="299" t="e">
        <f ca="1">(5+15*P_W+0.3*Self_AP)*MOD_Magic*IF(Steroid_W,3,1)</f>
        <v>#NAME?</v>
      </c>
      <c r="W35" s="299" t="e">
        <f ca="1">(50+40*P_E+0.9*Self_AP)*MOD_Magic</f>
        <v>#NAME?</v>
      </c>
      <c r="X35" s="299" t="e">
        <f ca="1">(50+100*P_R+0.7*Self_AP)*MOD_Magic</f>
        <v>#NAME?</v>
      </c>
      <c r="Y35" s="300" t="e">
        <f ca="1">(15 + 185 * Sc_Lin + Self_AD + 0.5 * Self_AP + 0.6 * Self_BoMR) * MOD_Magic</f>
        <v>#NAME?</v>
      </c>
      <c r="Z35" s="281">
        <f>12.5-0.5*P_Q</f>
        <v>12.5</v>
      </c>
      <c r="AA35" s="282">
        <f>18.5 - 0.5 * P_W</f>
        <v>18.5</v>
      </c>
      <c r="AB35" s="282">
        <f>12 - P_E</f>
        <v>12</v>
      </c>
      <c r="AC35" s="282">
        <f>220-20*P_R</f>
        <v>220</v>
      </c>
      <c r="AD35" s="283">
        <f>5</f>
        <v>5</v>
      </c>
      <c r="AE35" s="284" t="b">
        <f t="shared" si="108"/>
        <v>1</v>
      </c>
      <c r="AF35" s="285" t="e">
        <f ca="1">_xludf.Image("https://ddragon.leagueoflegends.com/cdn/11.19.1/img/champion/Galio.png")</f>
        <v>#NAME?</v>
      </c>
      <c r="AG35" s="282">
        <f ca="1">IFERROR(__xludf.DUMMYFUNCTION("IF(OR(REGEXMATCH(FORMULATEXT(U35),""HMOD""),NOT(P_Q&gt;0)),0,U35)+IF(OR(REGEXMATCH(FORMULATEXT(V35),""HMOD""),NOT(P_W&gt;0)),0,V35)+IF(OR(REGEXMATCH(FORMULATEXT(W35),""HMOD""),NOT(P_E&gt;0)),0,W35)+IF(OR(REGEXMATCH(FORMULATEXT(X35),""HMOD""),NOT(P_R&gt;0)),0,X35)+IF("&amp;"REGEXMATCH(FORMULATEXT(Y35),""HMOD""),0,Y35)+Self_Proc_item+Self_Proc_Summ+Self_Proc_Rune+3*Self_DPS"),15)</f>
        <v>15</v>
      </c>
      <c r="AH35" s="282">
        <f t="shared" si="8"/>
        <v>0</v>
      </c>
      <c r="AI35" s="282" t="b">
        <f t="shared" si="88"/>
        <v>0</v>
      </c>
      <c r="AJ35" s="283" t="b">
        <f t="shared" si="90"/>
        <v>0</v>
      </c>
    </row>
    <row r="36" spans="1:36">
      <c r="A36" s="267" t="s">
        <v>221</v>
      </c>
      <c r="B36" s="287">
        <f>600</f>
        <v>600</v>
      </c>
      <c r="C36" s="287">
        <f>114</f>
        <v>114</v>
      </c>
      <c r="D36" s="288">
        <f>6</f>
        <v>6</v>
      </c>
      <c r="E36" s="289">
        <f>0.6</f>
        <v>0.6</v>
      </c>
      <c r="F36" s="288">
        <f>282</f>
        <v>282</v>
      </c>
      <c r="G36" s="288">
        <f>60</f>
        <v>60</v>
      </c>
      <c r="H36" s="288">
        <f>7.5</f>
        <v>7.5</v>
      </c>
      <c r="I36" s="289">
        <f t="shared" si="112"/>
        <v>0.7</v>
      </c>
      <c r="J36" s="290">
        <f>64</f>
        <v>64</v>
      </c>
      <c r="K36" s="288">
        <f>4</f>
        <v>4</v>
      </c>
      <c r="L36" s="291">
        <f>0.658</f>
        <v>0.65800000000000003</v>
      </c>
      <c r="M36" s="291">
        <f>0.69</f>
        <v>0.69</v>
      </c>
      <c r="N36" s="292">
        <f>3.2%</f>
        <v>3.2000000000000001E-2</v>
      </c>
      <c r="O36" s="287">
        <f>31</f>
        <v>31</v>
      </c>
      <c r="P36" s="287">
        <f>3.7</f>
        <v>3.7</v>
      </c>
      <c r="Q36" s="288">
        <f t="shared" si="106"/>
        <v>32</v>
      </c>
      <c r="R36" s="289">
        <f t="shared" si="107"/>
        <v>2.0499999999999998</v>
      </c>
      <c r="S36" s="293">
        <f>345</f>
        <v>345</v>
      </c>
      <c r="T36" s="294">
        <f>125</f>
        <v>125</v>
      </c>
      <c r="U36" s="295" t="e">
        <f ca="1">(-20 + 30 * P_Q + Self_AD) * IF(Steroid_Q, Self_CritDMG, 1) * MOD_Phys + IT_Proc_Phys</f>
        <v>#NAME?</v>
      </c>
      <c r="V36" s="296">
        <f>(20 + 25*P_W + 0.9 * Self_AP + Self_MisHPV * 0.13) * MOD_SelfHeal</f>
        <v>20</v>
      </c>
      <c r="W36" s="296" t="e">
        <f ca="1">(45 + 30 * P_E + (-20 + 30 * P_Q + Self_AD) * IF(Steroid_E, Self_CritDMG * 1.05, 1) + IT_Proc_Phys) * Calc!I32</f>
        <v>#NAME?</v>
      </c>
      <c r="X36" s="296" t="e">
        <f ca="1">(120 + 360 * P_R + 1.2 * Self_AP) * MOD_Magic * IF(Steroid_R, 1.5, 1) + IF(Steroid_R, 120 + 0.3 * Self_AP)</f>
        <v>#NAME?</v>
      </c>
      <c r="Y36" s="297">
        <f>(50 + 200 * Sc_Lin + Self_BoAD + 2 * Self_Crit) * Calc!O10</f>
        <v>50</v>
      </c>
      <c r="Z36" s="281">
        <f>4.5</f>
        <v>4.5</v>
      </c>
      <c r="AA36" s="282">
        <f>24-2*P_W</f>
        <v>24</v>
      </c>
      <c r="AB36" s="282">
        <f>19-P_E</f>
        <v>19</v>
      </c>
      <c r="AC36" s="282">
        <f>200-20*P_R</f>
        <v>200</v>
      </c>
      <c r="AD36" s="283">
        <f>15</f>
        <v>15</v>
      </c>
      <c r="AE36" s="284" t="b">
        <f t="shared" si="108"/>
        <v>1</v>
      </c>
      <c r="AF36" s="285" t="e">
        <f ca="1">_xludf.Image("https://ddragon.leagueoflegends.com/cdn/11.19.1/img/champion/Gangplank.png")</f>
        <v>#NAME?</v>
      </c>
      <c r="AG36" s="282">
        <f ca="1">IFERROR(__xludf.DUMMYFUNCTION("IF(OR(REGEXMATCH(FORMULATEXT(U36),""HMOD""),NOT(P_Q&gt;0)),0,U36)+IF(OR(REGEXMATCH(FORMULATEXT(V36),""HMOD""),NOT(P_W&gt;0)),0,V36)+IF(OR(REGEXMATCH(FORMULATEXT(W36),""HMOD""),NOT(P_E&gt;0)),0,W36)+IF(OR(REGEXMATCH(FORMULATEXT(X36),""HMOD""),NOT(P_R&gt;0)),0,X36)+IF("&amp;"REGEXMATCH(FORMULATEXT(Y36),""HMOD""),0,Y36)+Self_Proc_item+Self_Proc_Summ+Self_Proc_Rune+3*Self_DPS"),50)</f>
        <v>50</v>
      </c>
      <c r="AH36" s="282">
        <f t="shared" si="8"/>
        <v>0</v>
      </c>
      <c r="AI36" s="282" t="b">
        <f t="shared" si="88"/>
        <v>0</v>
      </c>
      <c r="AJ36" s="283" t="b">
        <f t="shared" si="90"/>
        <v>0</v>
      </c>
    </row>
    <row r="37" spans="1:36">
      <c r="A37" s="267" t="s">
        <v>222</v>
      </c>
      <c r="B37" s="287">
        <f>690</f>
        <v>690</v>
      </c>
      <c r="C37" s="287">
        <f>98</f>
        <v>98</v>
      </c>
      <c r="D37" s="288">
        <f>8</f>
        <v>8</v>
      </c>
      <c r="E37" s="289">
        <f>0.5</f>
        <v>0.5</v>
      </c>
      <c r="F37" s="288">
        <f t="shared" ref="F37:I37" si="114">0</f>
        <v>0</v>
      </c>
      <c r="G37" s="288">
        <f t="shared" si="114"/>
        <v>0</v>
      </c>
      <c r="H37" s="288">
        <f t="shared" si="114"/>
        <v>0</v>
      </c>
      <c r="I37" s="289">
        <f t="shared" si="114"/>
        <v>0</v>
      </c>
      <c r="J37" s="290">
        <f>69</f>
        <v>69</v>
      </c>
      <c r="K37" s="288">
        <f>4.5</f>
        <v>4.5</v>
      </c>
      <c r="L37" s="291">
        <f t="shared" ref="L37:M37" si="115">0.625</f>
        <v>0.625</v>
      </c>
      <c r="M37" s="291">
        <f t="shared" si="115"/>
        <v>0.625</v>
      </c>
      <c r="N37" s="292">
        <f>3.65%</f>
        <v>3.6499999999999998E-2</v>
      </c>
      <c r="O37" s="287">
        <f>38</f>
        <v>38</v>
      </c>
      <c r="P37" s="287">
        <f>4.2</f>
        <v>4.2</v>
      </c>
      <c r="Q37" s="288">
        <f t="shared" si="106"/>
        <v>32</v>
      </c>
      <c r="R37" s="289">
        <f>1.55</f>
        <v>1.55</v>
      </c>
      <c r="S37" s="293">
        <f>340</f>
        <v>340</v>
      </c>
      <c r="T37" s="294">
        <f>175</f>
        <v>175</v>
      </c>
      <c r="U37" s="298" t="e">
        <f ca="1">(30*P_Q+0.5*Self_AD)*MOD_Phys</f>
        <v>#NAME?</v>
      </c>
      <c r="V37" s="299">
        <f>(0.18*Self_BoHP+20*P_W+45)*MOD_SelfHeal</f>
        <v>45</v>
      </c>
      <c r="W37" s="299">
        <v>0</v>
      </c>
      <c r="X37" s="299">
        <f>((150*P_R+(0.2+0.05*P_R)*E_MisHPV))*Calc!O10</f>
        <v>0</v>
      </c>
      <c r="Y37" s="300">
        <f>(0.015 + Sc_Lin * 0.086) * Self_MHP</f>
        <v>0</v>
      </c>
      <c r="Z37" s="281">
        <f>8</f>
        <v>8</v>
      </c>
      <c r="AA37" s="282">
        <f>25-2*P_W</f>
        <v>25</v>
      </c>
      <c r="AB37" s="282">
        <f>9</f>
        <v>9</v>
      </c>
      <c r="AC37" s="282">
        <f>140 - 20 * P_R</f>
        <v>140</v>
      </c>
      <c r="AD37" s="283">
        <f t="shared" ref="AD37:AD38" si="116">1</f>
        <v>1</v>
      </c>
      <c r="AE37" s="284" t="b">
        <f t="shared" si="108"/>
        <v>1</v>
      </c>
      <c r="AF37" s="285" t="e">
        <f ca="1">_xludf.Image("https://ddragon.leagueoflegends.com/cdn/11.19.1/img/champion/Garen.png")</f>
        <v>#NAME?</v>
      </c>
      <c r="AG37" s="282">
        <f ca="1">IFERROR(__xludf.DUMMYFUNCTION("IF(OR(REGEXMATCH(FORMULATEXT(U37),""HMOD""),NOT(P_Q&gt;0)),0,U37)+IF(OR(REGEXMATCH(FORMULATEXT(V37),""HMOD""),NOT(P_W&gt;0)),0,V37)+IF(OR(REGEXMATCH(FORMULATEXT(W37),""HMOD""),NOT(P_E&gt;0)),0,W37)+IF(OR(REGEXMATCH(FORMULATEXT(X37),""HMOD""),NOT(P_R&gt;0)),0,X37)+IF("&amp;"REGEXMATCH(FORMULATEXT(Y37),""HMOD""),0,Y37)+Self_Proc_item+Self_Proc_Summ+Self_Proc_Rune+3*Self_DPS"),0)</f>
        <v>0</v>
      </c>
      <c r="AH37" s="282">
        <f t="shared" si="8"/>
        <v>0</v>
      </c>
      <c r="AI37" s="282" t="b">
        <f t="shared" si="88"/>
        <v>0</v>
      </c>
      <c r="AJ37" s="283" t="b">
        <f t="shared" ref="AJ37:AJ38" si="117">TRUE</f>
        <v>1</v>
      </c>
    </row>
    <row r="38" spans="1:36">
      <c r="A38" s="267" t="s">
        <v>223</v>
      </c>
      <c r="B38" s="287">
        <f>IF(Steroid_Form,640,540)</f>
        <v>540</v>
      </c>
      <c r="C38" s="287">
        <f>IF(Steroid_Form,122,79)</f>
        <v>79</v>
      </c>
      <c r="D38" s="288">
        <f>4.5</f>
        <v>4.5</v>
      </c>
      <c r="E38" s="289">
        <f>1.25</f>
        <v>1.25</v>
      </c>
      <c r="F38" s="288">
        <f>100</f>
        <v>100</v>
      </c>
      <c r="G38" s="288">
        <f t="shared" ref="G38:I38" si="118">0</f>
        <v>0</v>
      </c>
      <c r="H38" s="288">
        <f t="shared" si="118"/>
        <v>0</v>
      </c>
      <c r="I38" s="289">
        <f t="shared" si="118"/>
        <v>0</v>
      </c>
      <c r="J38" s="290">
        <f>IF(Steroid_Form,63,57)</f>
        <v>57</v>
      </c>
      <c r="K38" s="288">
        <f>IF(Steroid_Form,5.5,3)</f>
        <v>3</v>
      </c>
      <c r="L38" s="291">
        <f t="shared" ref="L38:M38" si="119">0.625</f>
        <v>0.625</v>
      </c>
      <c r="M38" s="291">
        <f t="shared" si="119"/>
        <v>0.625</v>
      </c>
      <c r="N38" s="292">
        <f>IF(Steroid_Form,0.005,0.06)</f>
        <v>0.06</v>
      </c>
      <c r="O38" s="287">
        <f>IF(Steroid_Form,36,32)</f>
        <v>32</v>
      </c>
      <c r="P38" s="287">
        <f>IF(Steroid_Form,6.7,3.7)</f>
        <v>3.7</v>
      </c>
      <c r="Q38" s="288">
        <f>IF(Steroid_Form,33.5,30)</f>
        <v>30</v>
      </c>
      <c r="R38" s="289">
        <f>IF(Steroid_Form,4.8,1.3)</f>
        <v>1.3</v>
      </c>
      <c r="S38" s="293">
        <f>335</f>
        <v>335</v>
      </c>
      <c r="T38" s="294">
        <f>IF(Steroid_Form,175,400+(100/17)*(Self_Level-1))</f>
        <v>400</v>
      </c>
      <c r="U38" s="295" t="e">
        <f ca="1">IF(Steroid_Form,45 * P_Q - 20 + 1.4 * Self_AD, 40 * P_Q - 35 + 1.15 * Self_AD) * MOD_Phys</f>
        <v>#NAME?</v>
      </c>
      <c r="V38" s="296" t="e">
        <f ca="1">IF(Steroid_Form,(30*P_W-5+Self_AD)*MOD_Phys,(-10+10*P_W+Self_AP+(0.04+0.02*P_W)*E_MHP)*MOD_Magic)</f>
        <v>#NAME?</v>
      </c>
      <c r="W38" s="296" t="e">
        <f ca="1">(0.06 * E_MHP + 35 * P_E + IF(Steroid_Form, 45, 15)) * MOD_Phys</f>
        <v>#NAME?</v>
      </c>
      <c r="X38" s="296" t="e">
        <f ca="1">IF(Steroid_Form,100 + 100 * P_R + 0.5 * Self_BoAD + Self_AP, 0)*MOD_Phys</f>
        <v>#NAME?</v>
      </c>
      <c r="Y38" s="297">
        <f>0</f>
        <v>0</v>
      </c>
      <c r="Z38" s="281">
        <f>22.5-2.5*P_Q</f>
        <v>22.5</v>
      </c>
      <c r="AA38" s="282">
        <f>IF(Steroid_Form,7,3/IF(Self_AS&gt;0,Self_AS,0.6))</f>
        <v>5</v>
      </c>
      <c r="AB38" s="282">
        <f>24.5-2.5*P_E</f>
        <v>24.5</v>
      </c>
      <c r="AC38" s="282">
        <f>120-30*P_R</f>
        <v>120</v>
      </c>
      <c r="AD38" s="283">
        <f t="shared" si="116"/>
        <v>1</v>
      </c>
      <c r="AE38" s="284" t="b">
        <f>IF(Steroid_Form,TRUE,FALSE)</f>
        <v>0</v>
      </c>
      <c r="AF38" s="285" t="e">
        <f ca="1">_xludf.Image("https://ddragon.leagueoflegends.com/cdn/11.19.1/img/champion/Gnar.png")</f>
        <v>#NAME?</v>
      </c>
      <c r="AG38" s="282">
        <f ca="1">IFERROR(__xludf.DUMMYFUNCTION("IF(OR(REGEXMATCH(FORMULATEXT(U38),""HMOD""),NOT(P_Q&gt;0)),0,U38)+IF(OR(REGEXMATCH(FORMULATEXT(V38),""HMOD""),NOT(P_W&gt;0)),0,V38)+IF(OR(REGEXMATCH(FORMULATEXT(W38),""HMOD""),NOT(P_E&gt;0)),0,W38)+IF(OR(REGEXMATCH(FORMULATEXT(X38),""HMOD""),NOT(P_R&gt;0)),0,X38)+IF("&amp;"REGEXMATCH(FORMULATEXT(Y38),""HMOD""),0,Y38)+Self_Proc_item+Self_Proc_Summ+Self_Proc_Rune+3*Self_DPS"),0)</f>
        <v>0</v>
      </c>
      <c r="AH38" s="282">
        <f t="shared" si="8"/>
        <v>0</v>
      </c>
      <c r="AI38" s="282" t="b">
        <f t="shared" si="88"/>
        <v>0</v>
      </c>
      <c r="AJ38" s="283" t="b">
        <f t="shared" si="117"/>
        <v>1</v>
      </c>
    </row>
    <row r="39" spans="1:36">
      <c r="A39" s="267" t="s">
        <v>224</v>
      </c>
      <c r="B39" s="287">
        <f>670</f>
        <v>670</v>
      </c>
      <c r="C39" s="287">
        <f>109</f>
        <v>109</v>
      </c>
      <c r="D39" s="288">
        <f>5.5</f>
        <v>5.5</v>
      </c>
      <c r="E39" s="289">
        <f>0.5</f>
        <v>0.5</v>
      </c>
      <c r="F39" s="288">
        <f>400</f>
        <v>400</v>
      </c>
      <c r="G39" s="288">
        <f>47</f>
        <v>47</v>
      </c>
      <c r="H39" s="288">
        <f>6</f>
        <v>6</v>
      </c>
      <c r="I39" s="289">
        <f>0.8</f>
        <v>0.8</v>
      </c>
      <c r="J39" s="290">
        <f>64</f>
        <v>64</v>
      </c>
      <c r="K39" s="288">
        <f>3.5</f>
        <v>3.5</v>
      </c>
      <c r="L39" s="291">
        <f>0.675</f>
        <v>0.67500000000000004</v>
      </c>
      <c r="M39" s="291">
        <f>0.625</f>
        <v>0.625</v>
      </c>
      <c r="N39" s="292">
        <f>2.05%</f>
        <v>2.0499999999999997E-2</v>
      </c>
      <c r="O39" s="287">
        <f>38</f>
        <v>38</v>
      </c>
      <c r="P39" s="287">
        <f>4.8</f>
        <v>4.8</v>
      </c>
      <c r="Q39" s="288">
        <f t="shared" ref="Q39:Q42" si="120">32</f>
        <v>32</v>
      </c>
      <c r="R39" s="289">
        <f t="shared" ref="R39:R42" si="121">2.05</f>
        <v>2.0499999999999998</v>
      </c>
      <c r="S39" s="293">
        <f>330</f>
        <v>330</v>
      </c>
      <c r="T39" s="294">
        <f>125</f>
        <v>125</v>
      </c>
      <c r="U39" s="298" t="e">
        <f ca="1">(40+40*P_Q+0.8*Self_AP)*MOD_Magic*IF(Steroid_Q,1.5,1)</f>
        <v>#NAME?</v>
      </c>
      <c r="V39" s="299" t="e">
        <f ca="1">(-10 + 30 * P_W + 0.7 * Self_AP + 0.07 * E_MHP) * MOD_Magic</f>
        <v>#NAME?</v>
      </c>
      <c r="W39" s="299" t="e">
        <f ca="1">(35 + 45 * P_E + 0.6 * Self_AP) * MOD_Magic</f>
        <v>#NAME?</v>
      </c>
      <c r="X39" s="299" t="e">
        <f ca="1">(100+100*P_R+0.8*Self_AP)*MOD_Magic</f>
        <v>#NAME?</v>
      </c>
      <c r="Y39" s="300">
        <f>(0.065 * Self_MHP) * MOD_SelfHeal</f>
        <v>0</v>
      </c>
      <c r="Z39" s="281">
        <f>11-P_Q</f>
        <v>11</v>
      </c>
      <c r="AA39" s="282">
        <f>5</f>
        <v>5</v>
      </c>
      <c r="AB39" s="282">
        <f>14.5 - 0.5 * P_E</f>
        <v>14.5</v>
      </c>
      <c r="AC39" s="282">
        <f>140 - 20 * P_R</f>
        <v>140</v>
      </c>
      <c r="AD39" s="283">
        <f>12</f>
        <v>12</v>
      </c>
      <c r="AE39" s="284" t="b">
        <f>TRUE</f>
        <v>1</v>
      </c>
      <c r="AF39" s="285" t="e">
        <f ca="1">_xludf.Image("https://ddragon.leagueoflegends.com/cdn/11.19.1/img/champion/Gragas.png")</f>
        <v>#NAME?</v>
      </c>
      <c r="AG39" s="282">
        <f ca="1">IFERROR(__xludf.DUMMYFUNCTION("IF(OR(REGEXMATCH(FORMULATEXT(U39),""HMOD""),NOT(P_Q&gt;0)),0,U39)+IF(OR(REGEXMATCH(FORMULATEXT(V39),""HMOD""),NOT(P_W&gt;0)),0,V39)+IF(OR(REGEXMATCH(FORMULATEXT(W39),""HMOD""),NOT(P_E&gt;0)),0,W39)+IF(OR(REGEXMATCH(FORMULATEXT(X39),""HMOD""),NOT(P_R&gt;0)),0,X39)+IF("&amp;"REGEXMATCH(FORMULATEXT(Y39),""HMOD""),0,Y39)+Self_Proc_item+Self_Proc_Summ+Self_Proc_Rune+3*Self_DPS"),0)</f>
        <v>0</v>
      </c>
      <c r="AH39" s="282">
        <f t="shared" si="8"/>
        <v>0</v>
      </c>
      <c r="AI39" s="282" t="b">
        <f t="shared" si="88"/>
        <v>0</v>
      </c>
      <c r="AJ39" s="283" t="b">
        <f t="shared" ref="AJ39:AJ57" si="122">FALSE</f>
        <v>0</v>
      </c>
    </row>
    <row r="40" spans="1:36">
      <c r="A40" s="267" t="s">
        <v>225</v>
      </c>
      <c r="B40" s="287">
        <f>625</f>
        <v>625</v>
      </c>
      <c r="C40" s="287">
        <f>106</f>
        <v>106</v>
      </c>
      <c r="D40" s="288">
        <f>8</f>
        <v>8</v>
      </c>
      <c r="E40" s="289">
        <f>0.7</f>
        <v>0.7</v>
      </c>
      <c r="F40" s="288">
        <f>325</f>
        <v>325</v>
      </c>
      <c r="G40" s="288">
        <f t="shared" ref="G40:G41" si="123">40</f>
        <v>40</v>
      </c>
      <c r="H40" s="288">
        <f>8</f>
        <v>8</v>
      </c>
      <c r="I40" s="289">
        <f t="shared" ref="I40:I41" si="124">0.7</f>
        <v>0.7</v>
      </c>
      <c r="J40" s="290">
        <f>68</f>
        <v>68</v>
      </c>
      <c r="K40" s="288">
        <f>4</f>
        <v>4</v>
      </c>
      <c r="L40" s="291">
        <f>0.475</f>
        <v>0.47499999999999998</v>
      </c>
      <c r="M40" s="291">
        <f>0.49</f>
        <v>0.49</v>
      </c>
      <c r="N40" s="292">
        <f>2.6%</f>
        <v>2.6000000000000002E-2</v>
      </c>
      <c r="O40" s="287">
        <f>33</f>
        <v>33</v>
      </c>
      <c r="P40" s="287">
        <f>4.6</f>
        <v>4.5999999999999996</v>
      </c>
      <c r="Q40" s="288">
        <f t="shared" si="120"/>
        <v>32</v>
      </c>
      <c r="R40" s="289">
        <f t="shared" si="121"/>
        <v>2.0499999999999998</v>
      </c>
      <c r="S40" s="293">
        <f t="shared" ref="S40:S41" si="125">340</f>
        <v>340</v>
      </c>
      <c r="T40" s="294">
        <f>425</f>
        <v>425</v>
      </c>
      <c r="U40" s="295" t="e">
        <f ca="1">(80+50*P_Q+(0.9+0.3*P_Q)*Self_BoAD)*MOD_Phys</f>
        <v>#NAME?</v>
      </c>
      <c r="V40" s="296" t="e">
        <f ca="1">(10+50*P_W+0.6*Self_AP)*MOD_Magic</f>
        <v>#NAME?</v>
      </c>
      <c r="W40" s="296">
        <f>0</f>
        <v>0</v>
      </c>
      <c r="X40" s="296" t="e">
        <f ca="1">(125+150*P_R+1.5*Self_BoAD)*MOD_Phys</f>
        <v>#NAME?</v>
      </c>
      <c r="Y40" s="297">
        <f>Calc!M10*Self_AD</f>
        <v>0</v>
      </c>
      <c r="Z40" s="281">
        <f>14.5- 1.5 * P_Q</f>
        <v>14.5</v>
      </c>
      <c r="AA40" s="282">
        <f>28-2*P_W</f>
        <v>28</v>
      </c>
      <c r="AB40" s="282">
        <f>17 - P_E</f>
        <v>17</v>
      </c>
      <c r="AC40" s="282">
        <f>120-20*P_R</f>
        <v>120</v>
      </c>
      <c r="AD40" s="283">
        <f t="shared" ref="AD40:AD43" si="126">1</f>
        <v>1</v>
      </c>
      <c r="AE40" s="284" t="b">
        <f>FALSE</f>
        <v>0</v>
      </c>
      <c r="AF40" s="285" t="e">
        <f ca="1">_xludf.Image("https://ddragon.leagueoflegends.com/cdn/11.19.1/img/champion/Graves.png")</f>
        <v>#NAME?</v>
      </c>
      <c r="AG40" s="282">
        <f ca="1">IFERROR(__xludf.DUMMYFUNCTION("IF(OR(REGEXMATCH(FORMULATEXT(U40),""HMOD""),NOT(P_Q&gt;0)),0,U40)+IF(OR(REGEXMATCH(FORMULATEXT(V40),""HMOD""),NOT(P_W&gt;0)),0,V40)+IF(OR(REGEXMATCH(FORMULATEXT(W40),""HMOD""),NOT(P_E&gt;0)),0,W40)+IF(OR(REGEXMATCH(FORMULATEXT(X40),""HMOD""),NOT(P_R&gt;0)),0,X40)+IF("&amp;"REGEXMATCH(FORMULATEXT(Y40),""HMOD""),0,Y40)+Self_Proc_item+Self_Proc_Summ+Self_Proc_Rune+3*Self_DPS"),0)</f>
        <v>0</v>
      </c>
      <c r="AH40" s="282">
        <f t="shared" si="8"/>
        <v>0</v>
      </c>
      <c r="AI40" s="282" t="b">
        <f t="shared" si="88"/>
        <v>0</v>
      </c>
      <c r="AJ40" s="283" t="b">
        <f t="shared" si="122"/>
        <v>0</v>
      </c>
    </row>
    <row r="41" spans="1:36">
      <c r="A41" s="267" t="s">
        <v>226</v>
      </c>
      <c r="B41" s="287">
        <f>620</f>
        <v>620</v>
      </c>
      <c r="C41" s="287">
        <f>109</f>
        <v>109</v>
      </c>
      <c r="D41" s="288">
        <f>8.5</f>
        <v>8.5</v>
      </c>
      <c r="E41" s="289">
        <f>0.95</f>
        <v>0.95</v>
      </c>
      <c r="F41" s="288">
        <f>330</f>
        <v>330</v>
      </c>
      <c r="G41" s="288">
        <f t="shared" si="123"/>
        <v>40</v>
      </c>
      <c r="H41" s="288">
        <f>7</f>
        <v>7</v>
      </c>
      <c r="I41" s="289">
        <f t="shared" si="124"/>
        <v>0.7</v>
      </c>
      <c r="J41" s="290">
        <f>63</f>
        <v>63</v>
      </c>
      <c r="K41" s="288">
        <f>3</f>
        <v>3</v>
      </c>
      <c r="L41" s="291">
        <f>0.69</f>
        <v>0.69</v>
      </c>
      <c r="M41" s="291">
        <f>0.625</f>
        <v>0.625</v>
      </c>
      <c r="N41" s="292">
        <f>0.0225</f>
        <v>2.2499999999999999E-2</v>
      </c>
      <c r="O41" s="287">
        <f>39</f>
        <v>39</v>
      </c>
      <c r="P41" s="287">
        <f>5.2</f>
        <v>5.2</v>
      </c>
      <c r="Q41" s="288">
        <f t="shared" si="120"/>
        <v>32</v>
      </c>
      <c r="R41" s="289">
        <f t="shared" si="121"/>
        <v>2.0499999999999998</v>
      </c>
      <c r="S41" s="293">
        <f t="shared" si="125"/>
        <v>340</v>
      </c>
      <c r="T41" s="294">
        <f>150 + IF(Steroid_E, 75, 0)</f>
        <v>150</v>
      </c>
      <c r="U41" s="298" t="e">
        <f ca="1">((25 * P_Q + 35 + 0.35 * Self_AP) + (5 * P_Q + 5 + 0.05 * Self_AP) * IF(Steroid_Q, 5, 1)) * IF(Steroid_Q, Calc!O10 * 0.5 + MOD_Magic * 0.5,MOD_Magic) + IF(Steroid_Q, 5 * Y41, 0)</f>
        <v>#NAME?</v>
      </c>
      <c r="V41" s="299">
        <f t="shared" ref="V41:W41" si="127">0</f>
        <v>0</v>
      </c>
      <c r="W41" s="299">
        <f t="shared" si="127"/>
        <v>0</v>
      </c>
      <c r="X41" s="299" t="e">
        <f ca="1">((30 * P_R + 5 + 0.1 * Self_AP) * MOD_Magic + Y41) * IF(Steroid_R,9,1)</f>
        <v>#NAME?</v>
      </c>
      <c r="Y41" s="300" t="e">
        <f ca="1">(0.01+0.00008*Self_AP)*E_MHP*MOD_Magic</f>
        <v>#NAME?</v>
      </c>
      <c r="Z41" s="281">
        <f>7.25-0.75*P_Q</f>
        <v>7.25</v>
      </c>
      <c r="AA41" s="282">
        <f>24-2*P_W</f>
        <v>24</v>
      </c>
      <c r="AB41" s="282">
        <f>13.5 - 0.5 * P_E</f>
        <v>13.5</v>
      </c>
      <c r="AC41" s="282">
        <f>140 - 20 * P_R</f>
        <v>140</v>
      </c>
      <c r="AD41" s="283">
        <f t="shared" si="126"/>
        <v>1</v>
      </c>
      <c r="AE41" s="284" t="b">
        <f t="shared" ref="AE41:AE42" si="128">TRUE</f>
        <v>1</v>
      </c>
      <c r="AF41" s="285" t="e">
        <f ca="1">_xludf.Image("https://ddragon.leagueoflegends.com/cdn/11.19.1/img/champion/Gwen.png")</f>
        <v>#NAME?</v>
      </c>
      <c r="AG41" s="282">
        <f ca="1">IFERROR(__xludf.DUMMYFUNCTION("IF(OR(REGEXMATCH(FORMULATEXT(U41),""HMOD""),NOT(P_Q&gt;0)),0,U41)+IF(OR(REGEXMATCH(FORMULATEXT(V41),""HMOD""),NOT(P_W&gt;0)),0,V41)+IF(OR(REGEXMATCH(FORMULATEXT(W41),""HMOD""),NOT(P_E&gt;0)),0,W41)+IF(OR(REGEXMATCH(FORMULATEXT(X41),""HMOD""),NOT(P_R&gt;0)),0,X41)+IF("&amp;"REGEXMATCH(FORMULATEXT(Y41),""HMOD""),0,Y41)+Self_Proc_item+Self_Proc_Summ+Self_Proc_Rune+3*Self_DPS"),0)</f>
        <v>0</v>
      </c>
      <c r="AH41" s="282">
        <f t="shared" si="8"/>
        <v>0</v>
      </c>
      <c r="AI41" s="282" t="b">
        <f t="shared" si="88"/>
        <v>0</v>
      </c>
      <c r="AJ41" s="283" t="b">
        <f t="shared" si="122"/>
        <v>0</v>
      </c>
    </row>
    <row r="42" spans="1:36">
      <c r="A42" s="267" t="s">
        <v>227</v>
      </c>
      <c r="B42" s="287">
        <f>625</f>
        <v>625</v>
      </c>
      <c r="C42" s="287">
        <f>99</f>
        <v>99</v>
      </c>
      <c r="D42" s="288">
        <f t="shared" ref="D42:D43" si="129">7</f>
        <v>7</v>
      </c>
      <c r="E42" s="289">
        <f>0.75</f>
        <v>0.75</v>
      </c>
      <c r="F42" s="288">
        <f>277</f>
        <v>277</v>
      </c>
      <c r="G42" s="288">
        <f>60</f>
        <v>60</v>
      </c>
      <c r="H42" s="288">
        <f>6.5</f>
        <v>6.5</v>
      </c>
      <c r="I42" s="289">
        <f>0.6</f>
        <v>0.6</v>
      </c>
      <c r="J42" s="290">
        <f>66</f>
        <v>66</v>
      </c>
      <c r="K42" s="288">
        <f>3.2</f>
        <v>3.2</v>
      </c>
      <c r="L42" s="291">
        <f t="shared" ref="L42:M42" si="130">0.67</f>
        <v>0.67</v>
      </c>
      <c r="M42" s="291">
        <f t="shared" si="130"/>
        <v>0.67</v>
      </c>
      <c r="N42" s="292">
        <f>2.5%</f>
        <v>2.5000000000000001E-2</v>
      </c>
      <c r="O42" s="287">
        <f>32</f>
        <v>32</v>
      </c>
      <c r="P42" s="287">
        <f>5.45</f>
        <v>5.45</v>
      </c>
      <c r="Q42" s="288">
        <f t="shared" si="120"/>
        <v>32</v>
      </c>
      <c r="R42" s="289">
        <f t="shared" si="121"/>
        <v>2.0499999999999998</v>
      </c>
      <c r="S42" s="293">
        <f>345</f>
        <v>345</v>
      </c>
      <c r="T42" s="294">
        <f>175</f>
        <v>175</v>
      </c>
      <c r="U42" s="295" t="e">
        <f ca="1">(35 + 25 * P_Q + 0.9 * Self_BoAD) * MOD_Phys * IF(Steroid_Q, 1.09 + 0.0012 * Self_BoAD, 1)</f>
        <v>#NAME?</v>
      </c>
      <c r="V42" s="296" t="e">
        <f ca="1">(40+40*P_W+0.8*Self_AP)*MOD_Magic</f>
        <v>#NAME?</v>
      </c>
      <c r="W42" s="296" t="e">
        <f ca="1">(15 + 15 * P_E + 0.5 * Self_BoAD) * MOD_Phys * IF(Steroid_E, 2, 1)</f>
        <v>#NAME?</v>
      </c>
      <c r="X42" s="296" t="e">
        <f ca="1">(50+100*P_R+Self_AP)*MOD_Magic</f>
        <v>#NAME?</v>
      </c>
      <c r="Y42" s="297">
        <v>0.15</v>
      </c>
      <c r="Z42" s="281">
        <f>4</f>
        <v>4</v>
      </c>
      <c r="AA42" s="282">
        <f>16.5 - 0.5 * P_W</f>
        <v>16.5</v>
      </c>
      <c r="AB42" s="282">
        <f>18</f>
        <v>18</v>
      </c>
      <c r="AC42" s="282">
        <f>160 - 20 * P_R</f>
        <v>160</v>
      </c>
      <c r="AD42" s="283">
        <f t="shared" si="126"/>
        <v>1</v>
      </c>
      <c r="AE42" s="284" t="b">
        <f t="shared" si="128"/>
        <v>1</v>
      </c>
      <c r="AF42" s="285" t="e">
        <f ca="1">_xludf.Image("https://ddragon.leagueoflegends.com/cdn/11.19.1/img/champion/Hecarim.png")</f>
        <v>#NAME?</v>
      </c>
      <c r="AG42" s="282">
        <f ca="1">IFERROR(__xludf.DUMMYFUNCTION("IF(OR(REGEXMATCH(FORMULATEXT(U42),""HMOD""),NOT(P_Q&gt;0)),0,U42)+IF(OR(REGEXMATCH(FORMULATEXT(V42),""HMOD""),NOT(P_W&gt;0)),0,V42)+IF(OR(REGEXMATCH(FORMULATEXT(W42),""HMOD""),NOT(P_E&gt;0)),0,W42)+IF(OR(REGEXMATCH(FORMULATEXT(X42),""HMOD""),NOT(P_R&gt;0)),0,X42)+IF("&amp;"REGEXMATCH(FORMULATEXT(Y42),""HMOD""),0,Y42)+Self_Proc_item+Self_Proc_Summ+Self_Proc_Rune+3*Self_DPS"),0.15)</f>
        <v>0.15</v>
      </c>
      <c r="AH42" s="282">
        <f t="shared" si="8"/>
        <v>0</v>
      </c>
      <c r="AI42" s="282" t="b">
        <f t="shared" si="88"/>
        <v>0</v>
      </c>
      <c r="AJ42" s="283" t="b">
        <f t="shared" si="122"/>
        <v>0</v>
      </c>
    </row>
    <row r="43" spans="1:36">
      <c r="A43" s="267" t="s">
        <v>228</v>
      </c>
      <c r="B43" s="287">
        <f>558</f>
        <v>558</v>
      </c>
      <c r="C43" s="287">
        <f>101</f>
        <v>101</v>
      </c>
      <c r="D43" s="288">
        <f t="shared" si="129"/>
        <v>7</v>
      </c>
      <c r="E43" s="289">
        <f>0.55</f>
        <v>0.55000000000000004</v>
      </c>
      <c r="F43" s="288">
        <f>385</f>
        <v>385</v>
      </c>
      <c r="G43" s="288">
        <f>20</f>
        <v>20</v>
      </c>
      <c r="H43" s="288">
        <f>8</f>
        <v>8</v>
      </c>
      <c r="I43" s="289">
        <f>0.8</f>
        <v>0.8</v>
      </c>
      <c r="J43" s="290">
        <f>56</f>
        <v>56</v>
      </c>
      <c r="K43" s="288">
        <f>2.7</f>
        <v>2.7</v>
      </c>
      <c r="L43" s="291">
        <f t="shared" ref="L43:M43" si="131">0.625</f>
        <v>0.625</v>
      </c>
      <c r="M43" s="291">
        <f t="shared" si="131"/>
        <v>0.625</v>
      </c>
      <c r="N43" s="292">
        <f>1.36%</f>
        <v>1.3600000000000001E-2</v>
      </c>
      <c r="O43" s="287">
        <f>19</f>
        <v>19</v>
      </c>
      <c r="P43" s="287">
        <f>4.2</f>
        <v>4.2</v>
      </c>
      <c r="Q43" s="288">
        <f>30</f>
        <v>30</v>
      </c>
      <c r="R43" s="289">
        <f>1.3</f>
        <v>1.3</v>
      </c>
      <c r="S43" s="293">
        <f>340</f>
        <v>340</v>
      </c>
      <c r="T43" s="294">
        <f>550</f>
        <v>550</v>
      </c>
      <c r="U43" s="298" t="e">
        <f ca="1">(0.35 * Self_AP + IF(Steroid_Q, 60 + 20 * P_Q, 3 + 4 * P_Q)) * MOD_Magic</f>
        <v>#NAME?</v>
      </c>
      <c r="V43" s="299" t="e">
        <f ca="1">IF(Steroid_W, (45 * P_R + 90) + 4 * (13 * P_R + 19) + 15 * (6.5 * P_R + 9.5) + (0.45 * Self_AP) + (4 * 0.12 + 15 * 0.06) * Self_AP,(15 + 25 * P_W) * 1.8 + (0.55 * Self_AP) * 2.05) * MOD_Magic</f>
        <v>#NAME?</v>
      </c>
      <c r="W43" s="299" t="e">
        <f ca="1">(0.6 * Self_AP + IF(Steroid_E, 100 * P_R, 20 + 40 * P_E)) * MOD_Magic</f>
        <v>#NAME?</v>
      </c>
      <c r="X43" s="299">
        <f t="shared" ref="X43:Y43" si="132">0</f>
        <v>0</v>
      </c>
      <c r="Y43" s="300">
        <f t="shared" si="132"/>
        <v>0</v>
      </c>
      <c r="Z43" s="281">
        <f>20</f>
        <v>20</v>
      </c>
      <c r="AA43" s="282">
        <f>12-P_W</f>
        <v>12</v>
      </c>
      <c r="AB43" s="282">
        <f>11</f>
        <v>11</v>
      </c>
      <c r="AC43" s="282">
        <f>115-15*P_R</f>
        <v>115</v>
      </c>
      <c r="AD43" s="283">
        <f t="shared" si="126"/>
        <v>1</v>
      </c>
      <c r="AE43" s="284" t="b">
        <f>FALSE</f>
        <v>0</v>
      </c>
      <c r="AF43" s="285" t="e">
        <f ca="1">_xludf.Image("https://ddragon.leagueoflegends.com/cdn/11.19.1/img/champion/Heimerdinger.png")</f>
        <v>#NAME?</v>
      </c>
      <c r="AG43" s="282">
        <f ca="1">IFERROR(__xludf.DUMMYFUNCTION("IF(OR(REGEXMATCH(FORMULATEXT(U43),""HMOD""),NOT(P_Q&gt;0)),0,U43)+IF(OR(REGEXMATCH(FORMULATEXT(V43),""HMOD""),NOT(P_W&gt;0)),0,V43)+IF(OR(REGEXMATCH(FORMULATEXT(W43),""HMOD""),NOT(P_E&gt;0)),0,W43)+IF(OR(REGEXMATCH(FORMULATEXT(X43),""HMOD""),NOT(P_R&gt;0)),0,X43)+IF("&amp;"REGEXMATCH(FORMULATEXT(Y43),""HMOD""),0,Y43)+Self_Proc_item+Self_Proc_Summ+Self_Proc_Rune+3*Self_DPS"),0)</f>
        <v>0</v>
      </c>
      <c r="AH43" s="282">
        <f t="shared" si="8"/>
        <v>0</v>
      </c>
      <c r="AI43" s="282" t="b">
        <f t="shared" si="88"/>
        <v>0</v>
      </c>
      <c r="AJ43" s="283" t="b">
        <f t="shared" si="122"/>
        <v>0</v>
      </c>
    </row>
    <row r="44" spans="1:36">
      <c r="A44" s="267" t="s">
        <v>229</v>
      </c>
      <c r="B44" s="287">
        <f>656</f>
        <v>656</v>
      </c>
      <c r="C44" s="287">
        <f>109</f>
        <v>109</v>
      </c>
      <c r="D44" s="288">
        <f>9.5</f>
        <v>9.5</v>
      </c>
      <c r="E44" s="289">
        <f>0.8</f>
        <v>0.8</v>
      </c>
      <c r="F44" s="288">
        <f>300</f>
        <v>300</v>
      </c>
      <c r="G44" s="288">
        <f t="shared" ref="G44:G45" si="133">50</f>
        <v>50</v>
      </c>
      <c r="H44" s="288">
        <f>7.5</f>
        <v>7.5</v>
      </c>
      <c r="I44" s="289">
        <f>0.75</f>
        <v>0.75</v>
      </c>
      <c r="J44" s="290">
        <f>68</f>
        <v>68</v>
      </c>
      <c r="K44" s="288">
        <f>5</f>
        <v>5</v>
      </c>
      <c r="L44" s="291">
        <f t="shared" ref="L44:M44" si="134">0.625</f>
        <v>0.625</v>
      </c>
      <c r="M44" s="291">
        <f t="shared" si="134"/>
        <v>0.625</v>
      </c>
      <c r="N44" s="292">
        <f t="shared" ref="N44:N45" si="135">2.5%</f>
        <v>2.5000000000000001E-2</v>
      </c>
      <c r="O44" s="287">
        <f>35</f>
        <v>35</v>
      </c>
      <c r="P44" s="287">
        <f>5</f>
        <v>5</v>
      </c>
      <c r="Q44" s="288">
        <f>32</f>
        <v>32</v>
      </c>
      <c r="R44" s="289">
        <f t="shared" ref="R44:R46" si="136">2.05</f>
        <v>2.0499999999999998</v>
      </c>
      <c r="S44" s="293">
        <f>350</f>
        <v>350</v>
      </c>
      <c r="T44" s="294">
        <f>125</f>
        <v>125</v>
      </c>
      <c r="U44" s="295" t="e">
        <f ca="1">(1.05+0.05*P_Q)*(10*Self_Level+1.2*Self_AD)*MOD_Phys</f>
        <v>#NAME?</v>
      </c>
      <c r="V44" s="296" t="e">
        <f ca="1">(0.025+0.005*P_W+0.0004*Self_AD)*E_MHP*MOD_Phys</f>
        <v>#NAME?</v>
      </c>
      <c r="W44" s="296">
        <f>(0.2+0.05*P_E+0.0008*Self_AD)</f>
        <v>0.2</v>
      </c>
      <c r="X44" s="296" t="e">
        <f ca="1">(50+100*P_R+0.5*Self_BoAD)*MOD_Phys</f>
        <v>#NAME?</v>
      </c>
      <c r="Y44" s="297" t="e">
        <f ca="1">(10*Self_Level+1.2*Self_AD+0.4*Self_AP)*MOD_Phys</f>
        <v>#NAME?</v>
      </c>
      <c r="Z44" s="281">
        <f>11-P_Q</f>
        <v>11</v>
      </c>
      <c r="AA44" s="282">
        <f>4</f>
        <v>4</v>
      </c>
      <c r="AB44" s="282">
        <f>17-1*P_E</f>
        <v>17</v>
      </c>
      <c r="AC44" s="282">
        <f>145-25*P_R</f>
        <v>145</v>
      </c>
      <c r="AD44" s="283">
        <f>20.75-0.75*Self_Level</f>
        <v>20</v>
      </c>
      <c r="AE44" s="284" t="b">
        <f t="shared" ref="AE44:AE45" si="137">TRUE</f>
        <v>1</v>
      </c>
      <c r="AF44" s="285" t="e">
        <f ca="1">_xludf.Image("https://ddragon.leagueoflegends.com/cdn/11.19.1/img/champion/Illaoi.png")</f>
        <v>#NAME?</v>
      </c>
      <c r="AG44" s="282">
        <f ca="1">IFERROR(__xludf.DUMMYFUNCTION("IF(OR(REGEXMATCH(FORMULATEXT(U44),""HMOD""),NOT(P_Q&gt;0)),0,U44)+IF(OR(REGEXMATCH(FORMULATEXT(V44),""HMOD""),NOT(P_W&gt;0)),0,V44)+IF(OR(REGEXMATCH(FORMULATEXT(W44),""HMOD""),NOT(P_E&gt;0)),0,W44)+IF(OR(REGEXMATCH(FORMULATEXT(X44),""HMOD""),NOT(P_R&gt;0)),0,X44)+IF("&amp;"REGEXMATCH(FORMULATEXT(Y44),""HMOD""),0,Y44)+Self_Proc_item+Self_Proc_Summ+Self_Proc_Rune+3*Self_DPS"),10)</f>
        <v>10</v>
      </c>
      <c r="AH44" s="282">
        <f t="shared" si="8"/>
        <v>0</v>
      </c>
      <c r="AI44" s="282" t="b">
        <f t="shared" si="88"/>
        <v>0</v>
      </c>
      <c r="AJ44" s="283" t="b">
        <f t="shared" si="122"/>
        <v>0</v>
      </c>
    </row>
    <row r="45" spans="1:36">
      <c r="A45" s="267" t="s">
        <v>230</v>
      </c>
      <c r="B45" s="287">
        <f>590</f>
        <v>590</v>
      </c>
      <c r="C45" s="287">
        <f>124</f>
        <v>124</v>
      </c>
      <c r="D45" s="288">
        <f>8.5</f>
        <v>8.5</v>
      </c>
      <c r="E45" s="289">
        <f t="shared" ref="E45:E46" si="138">0.85</f>
        <v>0.85</v>
      </c>
      <c r="F45" s="288">
        <f>350</f>
        <v>350</v>
      </c>
      <c r="G45" s="288">
        <f t="shared" si="133"/>
        <v>50</v>
      </c>
      <c r="H45" s="288">
        <f>8</f>
        <v>8</v>
      </c>
      <c r="I45" s="289">
        <f>0.8</f>
        <v>0.8</v>
      </c>
      <c r="J45" s="290">
        <f>63</f>
        <v>63</v>
      </c>
      <c r="K45" s="288">
        <f>4</f>
        <v>4</v>
      </c>
      <c r="L45" s="291">
        <f t="shared" ref="L45:M45" si="139">0.625</f>
        <v>0.625</v>
      </c>
      <c r="M45" s="291">
        <f t="shared" si="139"/>
        <v>0.625</v>
      </c>
      <c r="N45" s="292">
        <f t="shared" si="135"/>
        <v>2.5000000000000001E-2</v>
      </c>
      <c r="O45" s="287">
        <f>36</f>
        <v>36</v>
      </c>
      <c r="P45" s="287">
        <f t="shared" ref="P45:P46" si="140">4.7</f>
        <v>4.7</v>
      </c>
      <c r="Q45" s="288">
        <f>30</f>
        <v>30</v>
      </c>
      <c r="R45" s="289">
        <f t="shared" si="136"/>
        <v>2.0499999999999998</v>
      </c>
      <c r="S45" s="293">
        <f>335</f>
        <v>335</v>
      </c>
      <c r="T45" s="294">
        <f>200</f>
        <v>200</v>
      </c>
      <c r="U45" s="298" t="e">
        <f ca="1">(-15+20*P_Q+0.6*Self_AD)*MOD_Phys + OH_Phys + OH_Magic + OH_True + Calc!O32</f>
        <v>#NAME?</v>
      </c>
      <c r="V45" s="299" t="e">
        <f ca="1">MAX(IF(Steroid_W, 3, 1) * (-5 + 15 * P_W + 0.4 * Self_AP + 0.4 * Self_AD),10 + 10 * P_W) * MOD_Phys</f>
        <v>#NAME?</v>
      </c>
      <c r="W45" s="299" t="e">
        <f ca="1">(35+45*P_E+0.8*Self_AP)*MOD_Magic</f>
        <v>#NAME?</v>
      </c>
      <c r="X45" s="299" t="e">
        <f ca="1">(125*P_R+0.7*Self_AP)*MOD_Magic</f>
        <v>#NAME?</v>
      </c>
      <c r="Y45" s="300">
        <f t="shared" ref="Y45:Y47" si="141">0</f>
        <v>0</v>
      </c>
      <c r="Z45" s="281">
        <f>12-1*P_Q</f>
        <v>12</v>
      </c>
      <c r="AA45" s="282">
        <f>22 - 2 * P_W</f>
        <v>22</v>
      </c>
      <c r="AB45" s="282">
        <f>17 - P_E</f>
        <v>17</v>
      </c>
      <c r="AC45" s="282">
        <f>160 - 20 * P_R</f>
        <v>160</v>
      </c>
      <c r="AD45" s="283">
        <f t="shared" ref="AD45:AD47" si="142">1</f>
        <v>1</v>
      </c>
      <c r="AE45" s="284" t="b">
        <f t="shared" si="137"/>
        <v>1</v>
      </c>
      <c r="AF45" s="285" t="e">
        <f ca="1">_xludf.Image("https://ddragon.leagueoflegends.com/cdn/11.19.1/img/champion/Irelia.png")</f>
        <v>#NAME?</v>
      </c>
      <c r="AG45" s="282">
        <f ca="1">IFERROR(__xludf.DUMMYFUNCTION("IF(OR(REGEXMATCH(FORMULATEXT(U45),""HMOD""),NOT(P_Q&gt;0)),0,U45)+IF(OR(REGEXMATCH(FORMULATEXT(V45),""HMOD""),NOT(P_W&gt;0)),0,V45)+IF(OR(REGEXMATCH(FORMULATEXT(W45),""HMOD""),NOT(P_E&gt;0)),0,W45)+IF(OR(REGEXMATCH(FORMULATEXT(X45),""HMOD""),NOT(P_R&gt;0)),0,X45)+IF("&amp;"REGEXMATCH(FORMULATEXT(Y45),""HMOD""),0,Y45)+Self_Proc_item+Self_Proc_Summ+Self_Proc_Rune+3*Self_DPS"),0)</f>
        <v>0</v>
      </c>
      <c r="AH45" s="282">
        <f t="shared" si="8"/>
        <v>0</v>
      </c>
      <c r="AI45" s="282" t="b">
        <f t="shared" si="88"/>
        <v>0</v>
      </c>
      <c r="AJ45" s="283" t="b">
        <f t="shared" si="122"/>
        <v>0</v>
      </c>
    </row>
    <row r="46" spans="1:36">
      <c r="A46" s="267" t="s">
        <v>231</v>
      </c>
      <c r="B46" s="287">
        <f>655</f>
        <v>655</v>
      </c>
      <c r="C46" s="287">
        <f>99</f>
        <v>99</v>
      </c>
      <c r="D46" s="288">
        <f>7</f>
        <v>7</v>
      </c>
      <c r="E46" s="289">
        <f t="shared" si="138"/>
        <v>0.85</v>
      </c>
      <c r="F46" s="288">
        <f>450</f>
        <v>450</v>
      </c>
      <c r="G46" s="288">
        <f>60</f>
        <v>60</v>
      </c>
      <c r="H46" s="288">
        <f>6</f>
        <v>6</v>
      </c>
      <c r="I46" s="289">
        <f>0.75</f>
        <v>0.75</v>
      </c>
      <c r="J46" s="290">
        <f>50</f>
        <v>50</v>
      </c>
      <c r="K46" s="288">
        <f t="shared" ref="K46:K48" si="143">3</f>
        <v>3</v>
      </c>
      <c r="L46" s="291">
        <f t="shared" ref="L46:M46" si="144">0.644</f>
        <v>0.64400000000000002</v>
      </c>
      <c r="M46" s="291">
        <f t="shared" si="144"/>
        <v>0.64400000000000002</v>
      </c>
      <c r="N46" s="292">
        <f>3.4%</f>
        <v>3.4000000000000002E-2</v>
      </c>
      <c r="O46" s="287">
        <f>27</f>
        <v>27</v>
      </c>
      <c r="P46" s="287">
        <f t="shared" si="140"/>
        <v>4.7</v>
      </c>
      <c r="Q46" s="288">
        <f>32</f>
        <v>32</v>
      </c>
      <c r="R46" s="289">
        <f t="shared" si="136"/>
        <v>2.0499999999999998</v>
      </c>
      <c r="S46" s="293">
        <f t="shared" ref="S46:S47" si="145">330</f>
        <v>330</v>
      </c>
      <c r="T46" s="294">
        <f>475</f>
        <v>475</v>
      </c>
      <c r="U46" s="295" t="e">
        <f ca="1">(35+45*P_Q+0.7*Self_AP)*MOD_Magic</f>
        <v>#NAME?</v>
      </c>
      <c r="V46" s="296" t="e">
        <f ca="1">(22.5+7.5*P_W+Self_AP*0.3)*MOD_Magic</f>
        <v>#NAME?</v>
      </c>
      <c r="W46" s="296" t="e">
        <f ca="1">(50+20*P_E+0.8*Self_AP)*MOD_Magic</f>
        <v>#NAME?</v>
      </c>
      <c r="X46" s="296">
        <v>40</v>
      </c>
      <c r="Y46" s="297">
        <f t="shared" si="141"/>
        <v>0</v>
      </c>
      <c r="Z46" s="281">
        <f>13-P_Q</f>
        <v>13</v>
      </c>
      <c r="AA46" s="282">
        <f>44-4*P_W</f>
        <v>44</v>
      </c>
      <c r="AB46" s="282">
        <f>12 - P_E</f>
        <v>12</v>
      </c>
      <c r="AC46" s="282">
        <f>150-P_R*10</f>
        <v>150</v>
      </c>
      <c r="AD46" s="283">
        <f t="shared" si="142"/>
        <v>1</v>
      </c>
      <c r="AE46" s="284" t="b">
        <f t="shared" ref="AE46:AE47" si="146">FALSE</f>
        <v>0</v>
      </c>
      <c r="AF46" s="285" t="e">
        <f ca="1">_xludf.Image("https://ddragon.leagueoflegends.com/cdn/11.19.1/img/champion/Ivern.png")</f>
        <v>#NAME?</v>
      </c>
      <c r="AG46" s="282">
        <f ca="1">IFERROR(__xludf.DUMMYFUNCTION("IF(OR(REGEXMATCH(FORMULATEXT(U46),""HMOD""),NOT(P_Q&gt;0)),0,U46)+IF(OR(REGEXMATCH(FORMULATEXT(V46),""HMOD""),NOT(P_W&gt;0)),0,V46)+IF(OR(REGEXMATCH(FORMULATEXT(W46),""HMOD""),NOT(P_E&gt;0)),0,W46)+IF(OR(REGEXMATCH(FORMULATEXT(X46),""HMOD""),NOT(P_R&gt;0)),0,X46)+IF("&amp;"REGEXMATCH(FORMULATEXT(Y46),""HMOD""),0,Y46)+Self_Proc_item+Self_Proc_Summ+Self_Proc_Rune+3*Self_DPS"),0)</f>
        <v>0</v>
      </c>
      <c r="AH46" s="282">
        <f t="shared" si="8"/>
        <v>0</v>
      </c>
      <c r="AI46" s="282" t="b">
        <f t="shared" si="88"/>
        <v>0</v>
      </c>
      <c r="AJ46" s="283" t="b">
        <f t="shared" si="122"/>
        <v>0</v>
      </c>
    </row>
    <row r="47" spans="1:36">
      <c r="A47" s="267" t="s">
        <v>232</v>
      </c>
      <c r="B47" s="287">
        <f>570</f>
        <v>570</v>
      </c>
      <c r="C47" s="287">
        <f>84</f>
        <v>84</v>
      </c>
      <c r="D47" s="288">
        <f>5.5</f>
        <v>5.5</v>
      </c>
      <c r="E47" s="289">
        <f>0.55</f>
        <v>0.55000000000000004</v>
      </c>
      <c r="F47" s="288">
        <f>350</f>
        <v>350</v>
      </c>
      <c r="G47" s="288">
        <f>64</f>
        <v>64</v>
      </c>
      <c r="H47" s="288">
        <f>11.5</f>
        <v>11.5</v>
      </c>
      <c r="I47" s="289">
        <f>0.4</f>
        <v>0.4</v>
      </c>
      <c r="J47" s="290">
        <f>52</f>
        <v>52</v>
      </c>
      <c r="K47" s="288">
        <f t="shared" si="143"/>
        <v>3</v>
      </c>
      <c r="L47" s="291">
        <f t="shared" ref="L47:M47" si="147">0.625</f>
        <v>0.625</v>
      </c>
      <c r="M47" s="291">
        <f t="shared" si="147"/>
        <v>0.625</v>
      </c>
      <c r="N47" s="292">
        <f>2.95%</f>
        <v>2.9500000000000002E-2</v>
      </c>
      <c r="O47" s="287">
        <f>28</f>
        <v>28</v>
      </c>
      <c r="P47" s="287">
        <f>5</f>
        <v>5</v>
      </c>
      <c r="Q47" s="288">
        <f>30</f>
        <v>30</v>
      </c>
      <c r="R47" s="289">
        <f>1.3</f>
        <v>1.3</v>
      </c>
      <c r="S47" s="293">
        <f t="shared" si="145"/>
        <v>330</v>
      </c>
      <c r="T47" s="294">
        <f>500</f>
        <v>500</v>
      </c>
      <c r="U47" s="298" t="e">
        <f ca="1">(35+25*P_Q+0.35*Self_AP+IF(Steroid_Q,0.3*Self_AP+30+15*P_Q,0))*MOD_Magic</f>
        <v>#NAME?</v>
      </c>
      <c r="V47" s="299" t="e">
        <f ca="1">(50 + 30 * P_W + 0.6 * Self_AP) * MOD_Magic</f>
        <v>#NAME?</v>
      </c>
      <c r="W47" s="299">
        <f>(50 + 25 * P_E + 0.55 * Self_AP) * MOD_Heal</f>
        <v>50</v>
      </c>
      <c r="X47" s="299">
        <f>(50 + 50 * P_R + 0.5 * Self_AP) * 3 * MOD_Heal</f>
        <v>150</v>
      </c>
      <c r="Y47" s="300">
        <f t="shared" si="141"/>
        <v>0</v>
      </c>
      <c r="Z47" s="281">
        <f t="shared" ref="Z47:AA47" si="148">12</f>
        <v>12</v>
      </c>
      <c r="AA47" s="282">
        <f t="shared" si="148"/>
        <v>12</v>
      </c>
      <c r="AB47" s="282">
        <f>16.5 - 1.5 * P_E</f>
        <v>16.5</v>
      </c>
      <c r="AC47" s="282">
        <f>165-15*P_R</f>
        <v>165</v>
      </c>
      <c r="AD47" s="283">
        <f t="shared" si="142"/>
        <v>1</v>
      </c>
      <c r="AE47" s="284" t="b">
        <f t="shared" si="146"/>
        <v>0</v>
      </c>
      <c r="AF47" s="285" t="e">
        <f ca="1">_xludf.Image("https://ddragon.leagueoflegends.com/cdn/11.19.1/img/champion/Janna.png")</f>
        <v>#NAME?</v>
      </c>
      <c r="AG47" s="282">
        <f ca="1">IFERROR(__xludf.DUMMYFUNCTION("IF(OR(REGEXMATCH(FORMULATEXT(U47),""HMOD""),NOT(P_Q&gt;0)),0,U47)+IF(OR(REGEXMATCH(FORMULATEXT(V47),""HMOD""),NOT(P_W&gt;0)),0,V47)+IF(OR(REGEXMATCH(FORMULATEXT(W47),""HMOD""),NOT(P_E&gt;0)),0,W47)+IF(OR(REGEXMATCH(FORMULATEXT(X47),""HMOD""),NOT(P_R&gt;0)),0,X47)+IF("&amp;"REGEXMATCH(FORMULATEXT(Y47),""HMOD""),0,Y47)+Self_Proc_item+Self_Proc_Summ+Self_Proc_Rune+3*Self_DPS"),0)</f>
        <v>0</v>
      </c>
      <c r="AH47" s="282">
        <f t="shared" si="8"/>
        <v>0</v>
      </c>
      <c r="AI47" s="282" t="b">
        <f t="shared" si="88"/>
        <v>0</v>
      </c>
      <c r="AJ47" s="283" t="b">
        <f t="shared" si="122"/>
        <v>0</v>
      </c>
    </row>
    <row r="48" spans="1:36">
      <c r="A48" s="267" t="s">
        <v>233</v>
      </c>
      <c r="B48" s="287">
        <f>640</f>
        <v>640</v>
      </c>
      <c r="C48" s="287">
        <f>104</f>
        <v>104</v>
      </c>
      <c r="D48" s="288">
        <f>8</f>
        <v>8</v>
      </c>
      <c r="E48" s="289">
        <f>0.7</f>
        <v>0.7</v>
      </c>
      <c r="F48" s="288">
        <f>300</f>
        <v>300</v>
      </c>
      <c r="G48" s="288">
        <f>55</f>
        <v>55</v>
      </c>
      <c r="H48" s="288">
        <f>6.5</f>
        <v>6.5</v>
      </c>
      <c r="I48" s="289">
        <f>0.45</f>
        <v>0.45</v>
      </c>
      <c r="J48" s="290">
        <f>64</f>
        <v>64</v>
      </c>
      <c r="K48" s="288">
        <f t="shared" si="143"/>
        <v>3</v>
      </c>
      <c r="L48" s="291">
        <f t="shared" ref="L48:M48" si="149">0.658</f>
        <v>0.65800000000000003</v>
      </c>
      <c r="M48" s="291">
        <f t="shared" si="149"/>
        <v>0.65800000000000003</v>
      </c>
      <c r="N48" s="292">
        <f>2.5%</f>
        <v>2.5000000000000001E-2</v>
      </c>
      <c r="O48" s="287">
        <f t="shared" ref="O48:O49" si="150">36</f>
        <v>36</v>
      </c>
      <c r="P48" s="287">
        <f>4.8</f>
        <v>4.8</v>
      </c>
      <c r="Q48" s="288">
        <f t="shared" ref="Q48:Q49" si="151">32</f>
        <v>32</v>
      </c>
      <c r="R48" s="289">
        <f t="shared" ref="R48:R49" si="152">2.05</f>
        <v>2.0499999999999998</v>
      </c>
      <c r="S48" s="293">
        <f>340</f>
        <v>340</v>
      </c>
      <c r="T48" s="294">
        <f>175</f>
        <v>175</v>
      </c>
      <c r="U48" s="295" t="e">
        <f ca="1">(40 + 40 * P_Q + 1.4 * Self_BoAD) * MOD_Phys</f>
        <v>#NAME?</v>
      </c>
      <c r="V48" s="296">
        <f>(40 + 20 * P_W + (0.013 * Self_MHP) * IF(Steroid_Form,5,1) + 0.7 * Self_BoAD) * MOD_SelfHeal</f>
        <v>40</v>
      </c>
      <c r="W48" s="296" t="e">
        <f ca="1">(40+40*P_E+0.8*Self_AP)*MOD_Magic</f>
        <v>#NAME?</v>
      </c>
      <c r="X48" s="296" t="e">
        <f ca="1">(75 + 125 * P_R + 1.8 * Self_BoAD) * MOD_Phys</f>
        <v>#NAME?</v>
      </c>
      <c r="Y48" s="297" t="e">
        <f ca="1">IF(0.08 * E_CHPV &lt; 20, 20, 0.08 * E_CHPV) * MOD_Phys</f>
        <v>#NAME?</v>
      </c>
      <c r="Z48" s="281">
        <f>11-P_Q</f>
        <v>11</v>
      </c>
      <c r="AA48" s="282">
        <f>9</f>
        <v>9</v>
      </c>
      <c r="AB48" s="282">
        <f>12.5-0.5*P_E</f>
        <v>12.5</v>
      </c>
      <c r="AC48" s="282">
        <f>135-15*P_R</f>
        <v>135</v>
      </c>
      <c r="AD48" s="283">
        <v>6</v>
      </c>
      <c r="AE48" s="284" t="b">
        <f t="shared" ref="AE48:AE49" si="153">TRUE</f>
        <v>1</v>
      </c>
      <c r="AF48" s="285" t="e">
        <f ca="1">_xludf.Image("https://ddragon.leagueoflegends.com/cdn/11.19.1/img/champion/JarvanIV.png")</f>
        <v>#NAME?</v>
      </c>
      <c r="AG48" s="282">
        <f ca="1">IFERROR(__xludf.DUMMYFUNCTION("IF(OR(REGEXMATCH(FORMULATEXT(U48),""HMOD""),NOT(P_Q&gt;0)),0,U48)+IF(OR(REGEXMATCH(FORMULATEXT(V48),""HMOD""),NOT(P_W&gt;0)),0,V48)+IF(OR(REGEXMATCH(FORMULATEXT(W48),""HMOD""),NOT(P_E&gt;0)),0,W48)+IF(OR(REGEXMATCH(FORMULATEXT(X48),""HMOD""),NOT(P_R&gt;0)),0,X48)+IF("&amp;"REGEXMATCH(FORMULATEXT(Y48),""HMOD""),0,Y48)+Self_Proc_item+Self_Proc_Summ+Self_Proc_Rune+3*Self_DPS"),20)</f>
        <v>20</v>
      </c>
      <c r="AH48" s="282">
        <f t="shared" si="8"/>
        <v>0</v>
      </c>
      <c r="AI48" s="282" t="b">
        <f t="shared" si="88"/>
        <v>0</v>
      </c>
      <c r="AJ48" s="283" t="b">
        <f t="shared" si="122"/>
        <v>0</v>
      </c>
    </row>
    <row r="49" spans="1:36">
      <c r="A49" s="267" t="s">
        <v>234</v>
      </c>
      <c r="B49" s="287">
        <f>665</f>
        <v>665</v>
      </c>
      <c r="C49" s="287">
        <f>100</f>
        <v>100</v>
      </c>
      <c r="D49" s="288">
        <f>8.5</f>
        <v>8.5</v>
      </c>
      <c r="E49" s="289">
        <f>0.55</f>
        <v>0.55000000000000004</v>
      </c>
      <c r="F49" s="288">
        <f>339</f>
        <v>339</v>
      </c>
      <c r="G49" s="288">
        <f>52</f>
        <v>52</v>
      </c>
      <c r="H49" s="288">
        <f>7.6</f>
        <v>7.6</v>
      </c>
      <c r="I49" s="289">
        <f>0.7</f>
        <v>0.7</v>
      </c>
      <c r="J49" s="290">
        <f>68</f>
        <v>68</v>
      </c>
      <c r="K49" s="288">
        <f t="shared" ref="K49:K50" si="154">4.25</f>
        <v>4.25</v>
      </c>
      <c r="L49" s="291">
        <f t="shared" ref="L49:M49" si="155">0.638</f>
        <v>0.63800000000000001</v>
      </c>
      <c r="M49" s="291">
        <f t="shared" si="155"/>
        <v>0.63800000000000001</v>
      </c>
      <c r="N49" s="292">
        <f>3.4%</f>
        <v>3.4000000000000002E-2</v>
      </c>
      <c r="O49" s="287">
        <f t="shared" si="150"/>
        <v>36</v>
      </c>
      <c r="P49" s="287">
        <f>4.2</f>
        <v>4.2</v>
      </c>
      <c r="Q49" s="288">
        <f t="shared" si="151"/>
        <v>32</v>
      </c>
      <c r="R49" s="289">
        <f t="shared" si="152"/>
        <v>2.0499999999999998</v>
      </c>
      <c r="S49" s="293">
        <f>350</f>
        <v>350</v>
      </c>
      <c r="T49" s="294">
        <f>125</f>
        <v>125</v>
      </c>
      <c r="U49" s="298" t="e">
        <f ca="1">(25+40*P_Q+Self_BoAD)*MOD_Phys</f>
        <v>#NAME?</v>
      </c>
      <c r="V49" s="299" t="e">
        <f ca="1">(25+25*P_W+0.6*Self_AP)*MOD_Magic</f>
        <v>#NAME?</v>
      </c>
      <c r="W49" s="299" t="e">
        <f ca="1">(25 + 30 * P_E + 0.04 * E_MHP + 0.7 * Self_AP) * MOD_Magic * IF(Steroid_E, 2, 1)</f>
        <v>#NAME?</v>
      </c>
      <c r="X49" s="299" t="e">
        <f ca="1">(50+100*P_R+Self_AP)*MOD_Magic</f>
        <v>#NAME?</v>
      </c>
      <c r="Y49" s="300">
        <f t="shared" ref="Y49:Y52" si="156">0</f>
        <v>0</v>
      </c>
      <c r="Z49" s="281">
        <f>8.5-0.5*P_Q</f>
        <v>8.5</v>
      </c>
      <c r="AA49" s="282">
        <f>8-P_W</f>
        <v>8</v>
      </c>
      <c r="AB49" s="282">
        <f>15.5-1.5*P_E</f>
        <v>15.5</v>
      </c>
      <c r="AC49" s="282">
        <f>110 - 10 * P_R</f>
        <v>110</v>
      </c>
      <c r="AD49" s="283">
        <f t="shared" ref="AD49:AD52" si="157">1</f>
        <v>1</v>
      </c>
      <c r="AE49" s="284" t="b">
        <f t="shared" si="153"/>
        <v>1</v>
      </c>
      <c r="AF49" s="285" t="e">
        <f ca="1">_xludf.Image("https://ddragon.leagueoflegends.com/cdn/11.19.1/img/champion/Jax.png")</f>
        <v>#NAME?</v>
      </c>
      <c r="AG49" s="282">
        <f ca="1">IFERROR(__xludf.DUMMYFUNCTION("IF(OR(REGEXMATCH(FORMULATEXT(U49),""HMOD""),NOT(P_Q&gt;0)),0,U49)+IF(OR(REGEXMATCH(FORMULATEXT(V49),""HMOD""),NOT(P_W&gt;0)),0,V49)+IF(OR(REGEXMATCH(FORMULATEXT(W49),""HMOD""),NOT(P_E&gt;0)),0,W49)+IF(OR(REGEXMATCH(FORMULATEXT(X49),""HMOD""),NOT(P_R&gt;0)),0,X49)+IF("&amp;"REGEXMATCH(FORMULATEXT(Y49),""HMOD""),0,Y49)+Self_Proc_item+Self_Proc_Summ+Self_Proc_Rune+3*Self_DPS"),0)</f>
        <v>0</v>
      </c>
      <c r="AH49" s="282">
        <f t="shared" si="8"/>
        <v>0</v>
      </c>
      <c r="AI49" s="282" t="b">
        <f t="shared" si="88"/>
        <v>0</v>
      </c>
      <c r="AJ49" s="283" t="b">
        <f t="shared" si="122"/>
        <v>0</v>
      </c>
    </row>
    <row r="50" spans="1:36">
      <c r="A50" s="267" t="s">
        <v>235</v>
      </c>
      <c r="B50" s="287">
        <f>590</f>
        <v>590</v>
      </c>
      <c r="C50" s="287">
        <f>109</f>
        <v>109</v>
      </c>
      <c r="D50" s="288">
        <f>6</f>
        <v>6</v>
      </c>
      <c r="E50" s="289">
        <f>0.6</f>
        <v>0.6</v>
      </c>
      <c r="F50" s="288">
        <f>375</f>
        <v>375</v>
      </c>
      <c r="G50" s="288">
        <f>45</f>
        <v>45</v>
      </c>
      <c r="H50" s="288">
        <f t="shared" ref="H50:H51" si="158">6</f>
        <v>6</v>
      </c>
      <c r="I50" s="289">
        <f t="shared" ref="I50:I51" si="159">0.8</f>
        <v>0.8</v>
      </c>
      <c r="J50" s="290">
        <f>57</f>
        <v>57</v>
      </c>
      <c r="K50" s="288">
        <f t="shared" si="154"/>
        <v>4.25</v>
      </c>
      <c r="L50" s="291">
        <f t="shared" ref="L50:M50" si="160">0.658</f>
        <v>0.65800000000000003</v>
      </c>
      <c r="M50" s="291">
        <f t="shared" si="160"/>
        <v>0.65800000000000003</v>
      </c>
      <c r="N50" s="292">
        <f t="shared" ref="N50:N51" si="161">3%</f>
        <v>0.03</v>
      </c>
      <c r="O50" s="287">
        <f>22</f>
        <v>22</v>
      </c>
      <c r="P50" s="287">
        <f>5</f>
        <v>5</v>
      </c>
      <c r="Q50" s="288">
        <f t="shared" ref="Q50:Q57" si="162">30</f>
        <v>30</v>
      </c>
      <c r="R50" s="289">
        <f t="shared" ref="R50:R57" si="163">1.3</f>
        <v>1.3</v>
      </c>
      <c r="S50" s="293">
        <f>335</f>
        <v>335</v>
      </c>
      <c r="T50" s="294">
        <f>IF(Steroid_Form,500,125)</f>
        <v>125</v>
      </c>
      <c r="U50" s="295" t="e">
        <f ca="1">IF(Steroid_Form, 10 + 50 * P_Q + 1.2 * Self_BoAD, 55 * P_Q + 1.2 * Self_BoAD) * MOD_Phys</f>
        <v>#NAME?</v>
      </c>
      <c r="V50" s="296" t="e">
        <f ca="1">IF(Steroid_Form, (80 + 60 * P_W + Self_AP) * MOD_Magic, (0.62 + 0.08 * P_W) * Self_AD * MOD_Phys * 3)</f>
        <v>#NAME?</v>
      </c>
      <c r="W50" s="296" t="e">
        <f ca="1">IF(Steroid_Form,(0.052 + 0.028 * P_E) * E_MHP + Self_BoAD, 0) * MOD_Magic</f>
        <v>#NAME?</v>
      </c>
      <c r="X50" s="296">
        <v>25</v>
      </c>
      <c r="Y50" s="297">
        <f t="shared" si="156"/>
        <v>0</v>
      </c>
      <c r="Z50" s="281">
        <f>IF(Steroid_Form,18-2*P_Q,8)</f>
        <v>8</v>
      </c>
      <c r="AA50" s="282">
        <f>IF(Steroid_Form,10,14.6-1.6*P_W)</f>
        <v>14.6</v>
      </c>
      <c r="AB50" s="282">
        <f>IF(Steroid_Form,22-2*P_E,16)</f>
        <v>16</v>
      </c>
      <c r="AC50" s="282">
        <f>6</f>
        <v>6</v>
      </c>
      <c r="AD50" s="283">
        <f t="shared" si="157"/>
        <v>1</v>
      </c>
      <c r="AE50" s="284" t="b">
        <f>IF(Steroid_Form,TRUE,FALSE)</f>
        <v>0</v>
      </c>
      <c r="AF50" s="285" t="e">
        <f ca="1">_xludf.Image("https://ddragon.leagueoflegends.com/cdn/11.19.1/img/champion/Jayce.png")</f>
        <v>#NAME?</v>
      </c>
      <c r="AG50" s="282">
        <f ca="1">IFERROR(__xludf.DUMMYFUNCTION("IF(OR(REGEXMATCH(FORMULATEXT(U50),""HMOD""),NOT(P_Q&gt;0)),0,U50)+IF(OR(REGEXMATCH(FORMULATEXT(V50),""HMOD""),NOT(P_W&gt;0)),0,V50)+IF(OR(REGEXMATCH(FORMULATEXT(W50),""HMOD""),NOT(P_E&gt;0)),0,W50)+IF(OR(REGEXMATCH(FORMULATEXT(X50),""HMOD""),NOT(P_R&gt;0)),0,X50)+IF("&amp;"REGEXMATCH(FORMULATEXT(Y50),""HMOD""),0,Y50)+Self_Proc_item+Self_Proc_Summ+Self_Proc_Rune+3*Self_DPS"),0)</f>
        <v>0</v>
      </c>
      <c r="AH50" s="282">
        <f t="shared" si="8"/>
        <v>0</v>
      </c>
      <c r="AI50" s="282" t="b">
        <f t="shared" si="88"/>
        <v>0</v>
      </c>
      <c r="AJ50" s="283" t="b">
        <f t="shared" si="122"/>
        <v>0</v>
      </c>
    </row>
    <row r="51" spans="1:36">
      <c r="A51" s="301" t="s">
        <v>236</v>
      </c>
      <c r="B51" s="282">
        <f>655</f>
        <v>655</v>
      </c>
      <c r="C51" s="282">
        <f>107</f>
        <v>107</v>
      </c>
      <c r="D51" s="282">
        <f>3.75</f>
        <v>3.75</v>
      </c>
      <c r="E51" s="302">
        <f>0.55</f>
        <v>0.55000000000000004</v>
      </c>
      <c r="F51" s="282">
        <f>300</f>
        <v>300</v>
      </c>
      <c r="G51" s="282">
        <f t="shared" ref="G51:G52" si="164">50</f>
        <v>50</v>
      </c>
      <c r="H51" s="282">
        <f t="shared" si="158"/>
        <v>6</v>
      </c>
      <c r="I51" s="302">
        <f t="shared" si="159"/>
        <v>0.8</v>
      </c>
      <c r="J51" s="303">
        <f t="shared" ref="J51:J53" si="165">59</f>
        <v>59</v>
      </c>
      <c r="K51" s="282">
        <f>4.7</f>
        <v>4.7</v>
      </c>
      <c r="L51" s="304">
        <f t="shared" ref="L51:L52" si="166">0.625</f>
        <v>0.625</v>
      </c>
      <c r="M51" s="304">
        <f>0</f>
        <v>0</v>
      </c>
      <c r="N51" s="305">
        <f t="shared" si="161"/>
        <v>0.03</v>
      </c>
      <c r="O51" s="282">
        <f>24</f>
        <v>24</v>
      </c>
      <c r="P51" s="282">
        <f t="shared" ref="P51:P52" si="167">4.7</f>
        <v>4.7</v>
      </c>
      <c r="Q51" s="282">
        <f t="shared" si="162"/>
        <v>30</v>
      </c>
      <c r="R51" s="302">
        <f t="shared" si="163"/>
        <v>1.3</v>
      </c>
      <c r="S51" s="285">
        <f>330</f>
        <v>330</v>
      </c>
      <c r="T51" s="286">
        <f>550</f>
        <v>550</v>
      </c>
      <c r="U51" s="298" t="e">
        <f ca="1">(20+25*P_Q+0.6*Self_AP+(0.275+0.075*P_Q)*Self_AD)*MOD_Phys*IF(Steroid_Q,2.460375,1)</f>
        <v>#NAME?</v>
      </c>
      <c r="V51" s="299" t="e">
        <f ca="1">(25 + 35 * P_W + 0.5 * Self_AD) * MOD_Phys</f>
        <v>#NAME?</v>
      </c>
      <c r="W51" s="299" t="e">
        <f ca="1">(-40+60*P_E+1.2*Self_AD+Self_AP)*MOD_Magic</f>
        <v>#NAME?</v>
      </c>
      <c r="X51" s="299" t="e">
        <f ca="1">(-25 + 75 * P_R + 0.25 * Self_AD) * MOD_Phys * (1 + (3 * (1 - E_CHP/100))) * IF(Steroid_R, 2 + IT_CDMG, 1)</f>
        <v>#NAME?</v>
      </c>
      <c r="Y51" s="300">
        <f t="shared" si="156"/>
        <v>0</v>
      </c>
      <c r="Z51" s="284">
        <f>7.5-0.5*P_Q</f>
        <v>7.5</v>
      </c>
      <c r="AA51" s="285">
        <f>12</f>
        <v>12</v>
      </c>
      <c r="AB51" s="285">
        <f>26.5-2.5*P_E</f>
        <v>26.5</v>
      </c>
      <c r="AC51" s="285">
        <f>135-15*P_R</f>
        <v>135</v>
      </c>
      <c r="AD51" s="306">
        <f t="shared" si="157"/>
        <v>1</v>
      </c>
      <c r="AE51" s="284" t="b">
        <f t="shared" ref="AE51:AE56" si="168">FALSE</f>
        <v>0</v>
      </c>
      <c r="AF51" s="285" t="e">
        <f ca="1">_xludf.Image("https://ddragon.leagueoflegends.com/cdn/11.19.1/img/champion/Jhin.png")</f>
        <v>#NAME?</v>
      </c>
      <c r="AG51" s="282">
        <f ca="1">IFERROR(__xludf.DUMMYFUNCTION("IF(OR(REGEXMATCH(FORMULATEXT(U51),""HMOD""),NOT(P_Q&gt;0)),0,U51)+IF(OR(REGEXMATCH(FORMULATEXT(V51),""HMOD""),NOT(P_W&gt;0)),0,V51)+IF(OR(REGEXMATCH(FORMULATEXT(W51),""HMOD""),NOT(P_E&gt;0)),0,W51)+IF(OR(REGEXMATCH(FORMULATEXT(X51),""HMOD""),NOT(P_R&gt;0)),0,X51)+IF("&amp;"REGEXMATCH(FORMULATEXT(Y51),""HMOD""),0,Y51)+Self_Proc_item+Self_Proc_Summ+Self_Proc_Rune+3*Self_DPS"),0)</f>
        <v>0</v>
      </c>
      <c r="AH51" s="282">
        <f t="shared" si="8"/>
        <v>0</v>
      </c>
      <c r="AI51" s="282" t="b">
        <f t="shared" si="88"/>
        <v>0</v>
      </c>
      <c r="AJ51" s="283" t="b">
        <f t="shared" si="122"/>
        <v>0</v>
      </c>
    </row>
    <row r="52" spans="1:36">
      <c r="A52" s="267" t="s">
        <v>237</v>
      </c>
      <c r="B52" s="287">
        <f>630</f>
        <v>630</v>
      </c>
      <c r="C52" s="287">
        <f>100</f>
        <v>100</v>
      </c>
      <c r="D52" s="288">
        <f t="shared" ref="D52:D53" si="169">3.5</f>
        <v>3.5</v>
      </c>
      <c r="E52" s="289">
        <f>0.5</f>
        <v>0.5</v>
      </c>
      <c r="F52" s="288">
        <f>260</f>
        <v>260</v>
      </c>
      <c r="G52" s="288">
        <f t="shared" si="164"/>
        <v>50</v>
      </c>
      <c r="H52" s="288">
        <f>6.7</f>
        <v>6.7</v>
      </c>
      <c r="I52" s="289">
        <f>1</f>
        <v>1</v>
      </c>
      <c r="J52" s="290">
        <f t="shared" si="165"/>
        <v>59</v>
      </c>
      <c r="K52" s="288">
        <f>3.15</f>
        <v>3.15</v>
      </c>
      <c r="L52" s="291">
        <f t="shared" si="166"/>
        <v>0.625</v>
      </c>
      <c r="M52" s="291">
        <f>0.625</f>
        <v>0.625</v>
      </c>
      <c r="N52" s="292">
        <f>1%</f>
        <v>0.01</v>
      </c>
      <c r="O52" s="287">
        <f>26</f>
        <v>26</v>
      </c>
      <c r="P52" s="287">
        <f t="shared" si="167"/>
        <v>4.7</v>
      </c>
      <c r="Q52" s="288">
        <f t="shared" si="162"/>
        <v>30</v>
      </c>
      <c r="R52" s="289">
        <f t="shared" si="163"/>
        <v>1.3</v>
      </c>
      <c r="S52" s="293">
        <f>325</f>
        <v>325</v>
      </c>
      <c r="T52" s="294">
        <f>525+IF(AND(P_Q&gt;0,Steroid_Q),50+30*P_Q,0)</f>
        <v>525</v>
      </c>
      <c r="U52" s="295" t="e">
        <f ca="1">(1.1*Self_AD)*MOD_Phys</f>
        <v>#NAME?</v>
      </c>
      <c r="V52" s="296" t="e">
        <f ca="1">(-40+50*P_W+1.4*Self_AD)*MOD_Phys</f>
        <v>#NAME?</v>
      </c>
      <c r="W52" s="296" t="e">
        <f ca="1">(20+50*P_E+Self_AP)*MOD_Magic</f>
        <v>#NAME?</v>
      </c>
      <c r="X52" s="296" t="e">
        <f ca="1">(200 + 100 * P_R + 1.5 * Self_BoAD + (0.2 + 0.05 * P_R) * E_MisHPV) * MOD_Phys</f>
        <v>#NAME?</v>
      </c>
      <c r="Y52" s="297">
        <f t="shared" si="156"/>
        <v>0</v>
      </c>
      <c r="Z52" s="281">
        <f>0.9</f>
        <v>0.9</v>
      </c>
      <c r="AA52" s="282">
        <f>9-P_W</f>
        <v>9</v>
      </c>
      <c r="AB52" s="282">
        <f>27.5-3.5*P_E</f>
        <v>27.5</v>
      </c>
      <c r="AC52" s="282">
        <f>85 - 10 * P_R</f>
        <v>85</v>
      </c>
      <c r="AD52" s="283">
        <f t="shared" si="157"/>
        <v>1</v>
      </c>
      <c r="AE52" s="284" t="b">
        <f t="shared" si="168"/>
        <v>0</v>
      </c>
      <c r="AF52" s="285" t="e">
        <f ca="1">_xludf.Image("https://ddragon.leagueoflegends.com/cdn/11.19.1/img/champion/Jinx.png")</f>
        <v>#NAME?</v>
      </c>
      <c r="AG52" s="282">
        <f ca="1">IFERROR(__xludf.DUMMYFUNCTION("IF(OR(REGEXMATCH(FORMULATEXT(U52),""HMOD""),NOT(P_Q&gt;0)),0,U52)+IF(OR(REGEXMATCH(FORMULATEXT(V52),""HMOD""),NOT(P_W&gt;0)),0,V52)+IF(OR(REGEXMATCH(FORMULATEXT(W52),""HMOD""),NOT(P_E&gt;0)),0,W52)+IF(OR(REGEXMATCH(FORMULATEXT(X52),""HMOD""),NOT(P_R&gt;0)),0,X52)+IF("&amp;"REGEXMATCH(FORMULATEXT(Y52),""HMOD""),0,Y52)+Self_Proc_item+Self_Proc_Summ+Self_Proc_Rune+3*Self_DPS"),0)</f>
        <v>0</v>
      </c>
      <c r="AH52" s="282">
        <f t="shared" si="8"/>
        <v>0</v>
      </c>
      <c r="AI52" s="282" t="b">
        <f t="shared" si="88"/>
        <v>0</v>
      </c>
      <c r="AJ52" s="283" t="b">
        <f t="shared" si="122"/>
        <v>0</v>
      </c>
    </row>
    <row r="53" spans="1:36">
      <c r="A53" s="267" t="s">
        <v>238</v>
      </c>
      <c r="B53" s="287">
        <f>670</f>
        <v>670</v>
      </c>
      <c r="C53" s="287">
        <f>102</f>
        <v>102</v>
      </c>
      <c r="D53" s="288">
        <f t="shared" si="169"/>
        <v>3.5</v>
      </c>
      <c r="E53" s="289">
        <f>0.55</f>
        <v>0.55000000000000004</v>
      </c>
      <c r="F53" s="288">
        <f>345</f>
        <v>345</v>
      </c>
      <c r="G53" s="288">
        <f>40</f>
        <v>40</v>
      </c>
      <c r="H53" s="288">
        <f>8.2</f>
        <v>8.1999999999999993</v>
      </c>
      <c r="I53" s="289">
        <f>0.7</f>
        <v>0.7</v>
      </c>
      <c r="J53" s="290">
        <f t="shared" si="165"/>
        <v>59</v>
      </c>
      <c r="K53" s="288">
        <f>2.6</f>
        <v>2.6</v>
      </c>
      <c r="L53" s="291">
        <f t="shared" ref="L53:M53" si="170">0.644</f>
        <v>0.64400000000000002</v>
      </c>
      <c r="M53" s="291">
        <f t="shared" si="170"/>
        <v>0.64400000000000002</v>
      </c>
      <c r="N53" s="292">
        <f>1.8%</f>
        <v>1.8000000000000002E-2</v>
      </c>
      <c r="O53" s="287">
        <f>28</f>
        <v>28</v>
      </c>
      <c r="P53" s="287">
        <f>4.2</f>
        <v>4.2</v>
      </c>
      <c r="Q53" s="288">
        <f t="shared" si="162"/>
        <v>30</v>
      </c>
      <c r="R53" s="289">
        <f t="shared" si="163"/>
        <v>1.3</v>
      </c>
      <c r="S53" s="293">
        <f>335</f>
        <v>335</v>
      </c>
      <c r="T53" s="294">
        <f t="shared" ref="T53:T55" si="171">525</f>
        <v>525</v>
      </c>
      <c r="U53" s="298" t="e">
        <f ca="1">IF(AND(Steroid_Q, (Self_BoAD - Calc!C4 + Self_BaAD - Calc!C5) &gt;= 100), 3.75, IF(Steroid_Q, 2.25, 1)) * (15 * P_Q+  25 + 0.5 * Self_BoAD + 0.3 * Self_AP) * MOD_Phys</f>
        <v>#NAME?</v>
      </c>
      <c r="V53" s="299" t="e">
        <f ca="1">(25*P_W+5+1.3*Self_AD+0.45*Self_AP)*MOD_Magic</f>
        <v>#NAME?</v>
      </c>
      <c r="W53" s="299">
        <f>0</f>
        <v>0</v>
      </c>
      <c r="X53" s="299">
        <f>(50 + 20 * P_R + (0.5 + 0.4 * P_R) * Self_AD + 1.2 * Self_AP) * MOD_SelfHeal</f>
        <v>50</v>
      </c>
      <c r="Y53" s="300" t="e">
        <f ca="1">IF(Steroid_P, 1, 0.5) * ((0.15 + 0.0006 * Self_AP) * E_MisHPV) * MOD_Magic</f>
        <v>#NAME?</v>
      </c>
      <c r="Z53" s="281">
        <f>11-P_Q</f>
        <v>11</v>
      </c>
      <c r="AA53" s="282">
        <f>24-2*P_W</f>
        <v>24</v>
      </c>
      <c r="AB53" s="282">
        <f>17.5-1.5*P_E</f>
        <v>17.5</v>
      </c>
      <c r="AC53" s="282">
        <f>160-30*P_R</f>
        <v>160</v>
      </c>
      <c r="AD53" s="283">
        <f>IF(Self_AS&gt;0,IF(Calc!C49,4,5)/Self_AS,1)</f>
        <v>1</v>
      </c>
      <c r="AE53" s="284" t="b">
        <f t="shared" si="168"/>
        <v>0</v>
      </c>
      <c r="AF53" s="285" t="e">
        <f ca="1">_xludf.Image("https://ddragon.leagueoflegends.com/cdn/11.19.1/img/champion/Kaisa.png")</f>
        <v>#NAME?</v>
      </c>
      <c r="AG53" s="282">
        <f ca="1">IFERROR(__xludf.DUMMYFUNCTION("IF(OR(REGEXMATCH(FORMULATEXT(U53),""HMOD""),NOT(P_Q&gt;0)),0,U53)+IF(OR(REGEXMATCH(FORMULATEXT(V53),""HMOD""),NOT(P_W&gt;0)),0,V53)+IF(OR(REGEXMATCH(FORMULATEXT(W53),""HMOD""),NOT(P_E&gt;0)),0,W53)+IF(OR(REGEXMATCH(FORMULATEXT(X53),""HMOD""),NOT(P_R&gt;0)),0,X53)+IF("&amp;"REGEXMATCH(FORMULATEXT(Y53),""HMOD""),0,Y53)+Self_Proc_item+Self_Proc_Summ+Self_Proc_Rune+3*Self_DPS"),0)</f>
        <v>0</v>
      </c>
      <c r="AH53" s="282">
        <f t="shared" si="8"/>
        <v>0</v>
      </c>
      <c r="AI53" s="282" t="b">
        <f t="shared" si="88"/>
        <v>0</v>
      </c>
      <c r="AJ53" s="283" t="b">
        <f t="shared" si="122"/>
        <v>0</v>
      </c>
    </row>
    <row r="54" spans="1:36">
      <c r="A54" s="267" t="s">
        <v>239</v>
      </c>
      <c r="B54" s="287">
        <f>600</f>
        <v>600</v>
      </c>
      <c r="C54" s="287">
        <f>114</f>
        <v>114</v>
      </c>
      <c r="D54" s="288">
        <f>4</f>
        <v>4</v>
      </c>
      <c r="E54" s="289">
        <f>0.75</f>
        <v>0.75</v>
      </c>
      <c r="F54" s="288">
        <f>300</f>
        <v>300</v>
      </c>
      <c r="G54" s="288">
        <f>45</f>
        <v>45</v>
      </c>
      <c r="H54" s="288">
        <f>6.3</f>
        <v>6.3</v>
      </c>
      <c r="I54" s="289">
        <f>0.4</f>
        <v>0.4</v>
      </c>
      <c r="J54" s="290">
        <f>61</f>
        <v>61</v>
      </c>
      <c r="K54" s="288">
        <f>3.25</f>
        <v>3.25</v>
      </c>
      <c r="L54" s="291">
        <f t="shared" ref="L54:M54" si="172">0.694</f>
        <v>0.69399999999999995</v>
      </c>
      <c r="M54" s="291">
        <f t="shared" si="172"/>
        <v>0.69399999999999995</v>
      </c>
      <c r="N54" s="292">
        <f>4.5%</f>
        <v>4.4999999999999998E-2</v>
      </c>
      <c r="O54" s="287">
        <f>24</f>
        <v>24</v>
      </c>
      <c r="P54" s="287">
        <f>5.2</f>
        <v>5.2</v>
      </c>
      <c r="Q54" s="288">
        <f t="shared" si="162"/>
        <v>30</v>
      </c>
      <c r="R54" s="289">
        <f t="shared" si="163"/>
        <v>1.3</v>
      </c>
      <c r="S54" s="293">
        <f>330</f>
        <v>330</v>
      </c>
      <c r="T54" s="294">
        <f t="shared" si="171"/>
        <v>525</v>
      </c>
      <c r="U54" s="295" t="e">
        <f ca="1">(-45 + 65 * P_Q + 1.05 * Self_AD) * MOD_Phys</f>
        <v>#NAME?</v>
      </c>
      <c r="V54" s="296" t="e">
        <f ca="1">((0.13+0.01*P_W)*E_MHP)*MOD_Magic</f>
        <v>#NAME?</v>
      </c>
      <c r="W54" s="296" t="e">
        <f ca="1">(10 + 10 * P_E + 0.7 * Self_AD + 0.2 * Self_AP + IF(Steroid_E, 10 * (4 + 4 * P_E + (0.2 + 0.05 * P_E) * Self_AD) + 0.2 * Self_AP, 0)) * MOD_Phys</f>
        <v>#NAME?</v>
      </c>
      <c r="X54" s="296">
        <f t="shared" ref="X54:X55" si="173">0</f>
        <v>0</v>
      </c>
      <c r="Y54" s="297" t="e">
        <f ca="1">(0.9*Self_AD)*MOD_Phys</f>
        <v>#NAME?</v>
      </c>
      <c r="Z54" s="281">
        <f>8</f>
        <v>8</v>
      </c>
      <c r="AA54" s="282">
        <f>100-10*P_W</f>
        <v>100</v>
      </c>
      <c r="AB54" s="282">
        <f>16.5-2.5*P_E</f>
        <v>16.5</v>
      </c>
      <c r="AC54" s="282">
        <f>180-30*P_R</f>
        <v>180</v>
      </c>
      <c r="AD54" s="283">
        <f t="shared" ref="AD54:AD62" si="174">1</f>
        <v>1</v>
      </c>
      <c r="AE54" s="284" t="b">
        <f t="shared" si="168"/>
        <v>0</v>
      </c>
      <c r="AF54" s="285" t="e">
        <f ca="1">_xludf.Image("https://ddragon.leagueoflegends.com/cdn/11.19.1/img/champion/Kalista.png")</f>
        <v>#NAME?</v>
      </c>
      <c r="AG54" s="282">
        <f ca="1">IFERROR(__xludf.DUMMYFUNCTION("IF(OR(REGEXMATCH(FORMULATEXT(U54),""HMOD""),NOT(P_Q&gt;0)),0,U54)+IF(OR(REGEXMATCH(FORMULATEXT(V54),""HMOD""),NOT(P_W&gt;0)),0,V54)+IF(OR(REGEXMATCH(FORMULATEXT(W54),""HMOD""),NOT(P_E&gt;0)),0,W54)+IF(OR(REGEXMATCH(FORMULATEXT(X54),""HMOD""),NOT(P_R&gt;0)),0,X54)+IF("&amp;"REGEXMATCH(FORMULATEXT(Y54),""HMOD""),0,Y54)+Self_Proc_item+Self_Proc_Summ+Self_Proc_Rune+3*Self_DPS"),0)</f>
        <v>0</v>
      </c>
      <c r="AH54" s="282">
        <f t="shared" si="8"/>
        <v>0</v>
      </c>
      <c r="AI54" s="282" t="b">
        <f t="shared" si="88"/>
        <v>0</v>
      </c>
      <c r="AJ54" s="283" t="b">
        <f t="shared" si="122"/>
        <v>0</v>
      </c>
    </row>
    <row r="55" spans="1:36">
      <c r="A55" s="267" t="s">
        <v>240</v>
      </c>
      <c r="B55" s="287">
        <f>604</f>
        <v>604</v>
      </c>
      <c r="C55" s="287">
        <f>109</f>
        <v>109</v>
      </c>
      <c r="D55" s="288">
        <f>5.5</f>
        <v>5.5</v>
      </c>
      <c r="E55" s="289">
        <f t="shared" ref="E55:E56" si="175">0.55</f>
        <v>0.55000000000000004</v>
      </c>
      <c r="F55" s="288">
        <f>374</f>
        <v>374</v>
      </c>
      <c r="G55" s="288">
        <f>50</f>
        <v>50</v>
      </c>
      <c r="H55" s="288">
        <f>13</f>
        <v>13</v>
      </c>
      <c r="I55" s="289">
        <f>0.5</f>
        <v>0.5</v>
      </c>
      <c r="J55" s="290">
        <f>51</f>
        <v>51</v>
      </c>
      <c r="K55" s="288">
        <f>3.3</f>
        <v>3.3</v>
      </c>
      <c r="L55" s="291">
        <f t="shared" ref="L55:M55" si="176">0.625</f>
        <v>0.625</v>
      </c>
      <c r="M55" s="291">
        <f t="shared" si="176"/>
        <v>0.625</v>
      </c>
      <c r="N55" s="292">
        <f>2.3%</f>
        <v>2.3E-2</v>
      </c>
      <c r="O55" s="287">
        <f>28</f>
        <v>28</v>
      </c>
      <c r="P55" s="287">
        <f>5</f>
        <v>5</v>
      </c>
      <c r="Q55" s="288">
        <f t="shared" si="162"/>
        <v>30</v>
      </c>
      <c r="R55" s="289">
        <f t="shared" si="163"/>
        <v>1.3</v>
      </c>
      <c r="S55" s="293">
        <f t="shared" ref="S55:S59" si="177">335</f>
        <v>335</v>
      </c>
      <c r="T55" s="294">
        <f t="shared" si="171"/>
        <v>525</v>
      </c>
      <c r="U55" s="298" t="e">
        <f ca="1">(20 + 50 * P_Q + 0.4 * Self_AP + IF(Steroid_Q, 165 * (P_R + 1) - 90 + 0.9 * Self_AP,0))*MOD_Magic</f>
        <v>#NAME?</v>
      </c>
      <c r="V55" s="299" t="e">
        <f ca="1">(20+50*P_W+0.9*Self_AP)*MOD_Magic</f>
        <v>#NAME?</v>
      </c>
      <c r="W55" s="299">
        <f>(40 + 40 * P_E + 0.45 * Self_AP + IF(Steroid_E, 50 * (P_R + 1) - 30 + 0.45 * Self_AP, 0)) * MOD_Heal</f>
        <v>40</v>
      </c>
      <c r="X55" s="299">
        <f t="shared" si="173"/>
        <v>0</v>
      </c>
      <c r="Y55" s="300">
        <f t="shared" ref="Y55:Y57" si="178">0</f>
        <v>0</v>
      </c>
      <c r="Z55" s="281">
        <f>8.5-0.5*P_Q</f>
        <v>8.5</v>
      </c>
      <c r="AA55" s="282">
        <f>12</f>
        <v>12</v>
      </c>
      <c r="AB55" s="282">
        <f>10.5-0.5*P_E</f>
        <v>10.5</v>
      </c>
      <c r="AC55" s="282">
        <f>42-2*P_R</f>
        <v>42</v>
      </c>
      <c r="AD55" s="283">
        <f t="shared" si="174"/>
        <v>1</v>
      </c>
      <c r="AE55" s="284" t="b">
        <f t="shared" si="168"/>
        <v>0</v>
      </c>
      <c r="AF55" s="285" t="e">
        <f ca="1">_xludf.Image("https://ddragon.leagueoflegends.com/cdn/11.19.1/img/champion/Karma.png")</f>
        <v>#NAME?</v>
      </c>
      <c r="AG55" s="282">
        <f ca="1">IFERROR(__xludf.DUMMYFUNCTION("IF(OR(REGEXMATCH(FORMULATEXT(U55),""HMOD""),NOT(P_Q&gt;0)),0,U55)+IF(OR(REGEXMATCH(FORMULATEXT(V55),""HMOD""),NOT(P_W&gt;0)),0,V55)+IF(OR(REGEXMATCH(FORMULATEXT(W55),""HMOD""),NOT(P_E&gt;0)),0,W55)+IF(OR(REGEXMATCH(FORMULATEXT(X55),""HMOD""),NOT(P_R&gt;0)),0,X55)+IF("&amp;"REGEXMATCH(FORMULATEXT(Y55),""HMOD""),0,Y55)+Self_Proc_item+Self_Proc_Summ+Self_Proc_Rune+3*Self_DPS"),0)</f>
        <v>0</v>
      </c>
      <c r="AH55" s="282">
        <f t="shared" si="8"/>
        <v>0</v>
      </c>
      <c r="AI55" s="282" t="b">
        <f t="shared" si="88"/>
        <v>0</v>
      </c>
      <c r="AJ55" s="283" t="b">
        <f t="shared" si="122"/>
        <v>0</v>
      </c>
    </row>
    <row r="56" spans="1:36">
      <c r="A56" s="267" t="s">
        <v>241</v>
      </c>
      <c r="B56" s="287">
        <f>620</f>
        <v>620</v>
      </c>
      <c r="C56" s="287">
        <f>110</f>
        <v>110</v>
      </c>
      <c r="D56" s="288">
        <f>6.5</f>
        <v>6.5</v>
      </c>
      <c r="E56" s="289">
        <f t="shared" si="175"/>
        <v>0.55000000000000004</v>
      </c>
      <c r="F56" s="288">
        <f>467</f>
        <v>467</v>
      </c>
      <c r="G56" s="288">
        <f>30.5</f>
        <v>30.5</v>
      </c>
      <c r="H56" s="288">
        <f>8</f>
        <v>8</v>
      </c>
      <c r="I56" s="289">
        <f t="shared" ref="I56:I57" si="179">0.8</f>
        <v>0.8</v>
      </c>
      <c r="J56" s="290">
        <f>46</f>
        <v>46</v>
      </c>
      <c r="K56" s="288">
        <f>3.25</f>
        <v>3.25</v>
      </c>
      <c r="L56" s="291">
        <f t="shared" ref="L56:M56" si="180">0.625</f>
        <v>0.625</v>
      </c>
      <c r="M56" s="291">
        <f t="shared" si="180"/>
        <v>0.625</v>
      </c>
      <c r="N56" s="292">
        <f>2.11%</f>
        <v>2.1099999999999997E-2</v>
      </c>
      <c r="O56" s="287">
        <f>21</f>
        <v>21</v>
      </c>
      <c r="P56" s="287">
        <f>4.7</f>
        <v>4.7</v>
      </c>
      <c r="Q56" s="288">
        <f t="shared" si="162"/>
        <v>30</v>
      </c>
      <c r="R56" s="289">
        <f t="shared" si="163"/>
        <v>1.3</v>
      </c>
      <c r="S56" s="293">
        <f t="shared" si="177"/>
        <v>335</v>
      </c>
      <c r="T56" s="294">
        <f>450</f>
        <v>450</v>
      </c>
      <c r="U56" s="295" t="e">
        <f ca="1">IF(Steroid_Q,2,1)*(27.5+17.5*P_Q+0.35*Self_AP)*MOD_Magic</f>
        <v>#NAME?</v>
      </c>
      <c r="V56" s="296">
        <f>0</f>
        <v>0</v>
      </c>
      <c r="W56" s="296" t="e">
        <f ca="1">(10+20*P_E+0.2*Self_AP)*MOD_Magic</f>
        <v>#NAME?</v>
      </c>
      <c r="X56" s="296" t="e">
        <f ca="1">(50+150*P_R+0.75*Self_AP)*MOD_Magic</f>
        <v>#NAME?</v>
      </c>
      <c r="Y56" s="297">
        <f t="shared" si="178"/>
        <v>0</v>
      </c>
      <c r="Z56" s="281">
        <f>1</f>
        <v>1</v>
      </c>
      <c r="AA56" s="282">
        <f>15</f>
        <v>15</v>
      </c>
      <c r="AB56" s="282">
        <f>1</f>
        <v>1</v>
      </c>
      <c r="AC56" s="282">
        <f>220-20*P_R</f>
        <v>220</v>
      </c>
      <c r="AD56" s="283">
        <f t="shared" si="174"/>
        <v>1</v>
      </c>
      <c r="AE56" s="284" t="b">
        <f t="shared" si="168"/>
        <v>0</v>
      </c>
      <c r="AF56" s="285" t="e">
        <f ca="1">_xludf.Image("https://ddragon.leagueoflegends.com/cdn/11.19.1/img/champion/Karthus.png")</f>
        <v>#NAME?</v>
      </c>
      <c r="AG56" s="282">
        <f ca="1">IFERROR(__xludf.DUMMYFUNCTION("IF(OR(REGEXMATCH(FORMULATEXT(U56),""HMOD""),NOT(P_Q&gt;0)),0,U56)+IF(OR(REGEXMATCH(FORMULATEXT(V56),""HMOD""),NOT(P_W&gt;0)),0,V56)+IF(OR(REGEXMATCH(FORMULATEXT(W56),""HMOD""),NOT(P_E&gt;0)),0,W56)+IF(OR(REGEXMATCH(FORMULATEXT(X56),""HMOD""),NOT(P_R&gt;0)),0,X56)+IF("&amp;"REGEXMATCH(FORMULATEXT(Y56),""HMOD""),0,Y56)+Self_Proc_item+Self_Proc_Summ+Self_Proc_Rune+3*Self_DPS"),0)</f>
        <v>0</v>
      </c>
      <c r="AH56" s="282">
        <f t="shared" si="8"/>
        <v>0</v>
      </c>
      <c r="AI56" s="282" t="b">
        <f t="shared" si="88"/>
        <v>0</v>
      </c>
      <c r="AJ56" s="283" t="b">
        <f t="shared" si="122"/>
        <v>0</v>
      </c>
    </row>
    <row r="57" spans="1:36">
      <c r="A57" s="267" t="s">
        <v>242</v>
      </c>
      <c r="B57" s="287">
        <f>646</f>
        <v>646</v>
      </c>
      <c r="C57" s="287">
        <f>119</f>
        <v>119</v>
      </c>
      <c r="D57" s="288">
        <f>6</f>
        <v>6</v>
      </c>
      <c r="E57" s="289">
        <f>0.5</f>
        <v>0.5</v>
      </c>
      <c r="F57" s="288">
        <f>398</f>
        <v>398</v>
      </c>
      <c r="G57" s="288">
        <f>87</f>
        <v>87</v>
      </c>
      <c r="H57" s="288">
        <f>6</f>
        <v>6</v>
      </c>
      <c r="I57" s="289">
        <f t="shared" si="179"/>
        <v>0.8</v>
      </c>
      <c r="J57" s="290">
        <f>59</f>
        <v>59</v>
      </c>
      <c r="K57" s="288">
        <f>3.9</f>
        <v>3.9</v>
      </c>
      <c r="L57" s="291">
        <f t="shared" ref="L57:M57" si="181">0.64</f>
        <v>0.64</v>
      </c>
      <c r="M57" s="291">
        <f t="shared" si="181"/>
        <v>0.64</v>
      </c>
      <c r="N57" s="292">
        <f>3.7%</f>
        <v>3.7000000000000005E-2</v>
      </c>
      <c r="O57" s="287">
        <f>19</f>
        <v>19</v>
      </c>
      <c r="P57" s="287">
        <f>4</f>
        <v>4</v>
      </c>
      <c r="Q57" s="288">
        <f t="shared" si="162"/>
        <v>30</v>
      </c>
      <c r="R57" s="289">
        <f t="shared" si="163"/>
        <v>1.3</v>
      </c>
      <c r="S57" s="293">
        <f t="shared" si="177"/>
        <v>335</v>
      </c>
      <c r="T57" s="294">
        <f>150</f>
        <v>150</v>
      </c>
      <c r="U57" s="298" t="e">
        <f ca="1">(35+30*P_Q+0.7*Self_AP)*MOD_Magic</f>
        <v>#NAME?</v>
      </c>
      <c r="V57" s="299" t="e">
        <f ca="1">(25 + 25 * P_W + 0.8 * Self_AP) * MOD_Magic</f>
        <v>#NAME?</v>
      </c>
      <c r="W57" s="299" t="e">
        <f ca="1">(30 + 30 * P_E + 0.85 * Self_AP) * MOD_Magic</f>
        <v>#NAME?</v>
      </c>
      <c r="X57" s="299" t="e">
        <f ca="1">(50 + 20 * P_R + 0.4 * Self_AP + 0.02 * Self_MP) * MOD_Magic</f>
        <v>#NAME?</v>
      </c>
      <c r="Y57" s="300">
        <f t="shared" si="178"/>
        <v>0</v>
      </c>
      <c r="Z57" s="281">
        <f>10.5-0.5*P_Q</f>
        <v>10.5</v>
      </c>
      <c r="AA57" s="282">
        <f>7</f>
        <v>7</v>
      </c>
      <c r="AB57" s="282">
        <f>22 - 1 * P_E</f>
        <v>22</v>
      </c>
      <c r="AC57" s="282">
        <f>6.5-1.5*P_R</f>
        <v>6.5</v>
      </c>
      <c r="AD57" s="283">
        <f t="shared" si="174"/>
        <v>1</v>
      </c>
      <c r="AE57" s="284" t="b">
        <f t="shared" ref="AE57:AE58" si="182">TRUE</f>
        <v>1</v>
      </c>
      <c r="AF57" s="285" t="e">
        <f ca="1">_xludf.Image("https://ddragon.leagueoflegends.com/cdn/11.19.1/img/champion/Kassadin.png")</f>
        <v>#NAME?</v>
      </c>
      <c r="AG57" s="282">
        <f ca="1">IFERROR(__xludf.DUMMYFUNCTION("IF(OR(REGEXMATCH(FORMULATEXT(U57),""HMOD""),NOT(P_Q&gt;0)),0,U57)+IF(OR(REGEXMATCH(FORMULATEXT(V57),""HMOD""),NOT(P_W&gt;0)),0,V57)+IF(OR(REGEXMATCH(FORMULATEXT(W57),""HMOD""),NOT(P_E&gt;0)),0,W57)+IF(OR(REGEXMATCH(FORMULATEXT(X57),""HMOD""),NOT(P_R&gt;0)),0,X57)+IF("&amp;"REGEXMATCH(FORMULATEXT(Y57),""HMOD""),0,Y57)+Self_Proc_item+Self_Proc_Summ+Self_Proc_Rune+3*Self_DPS"),0)</f>
        <v>0</v>
      </c>
      <c r="AH57" s="282">
        <f t="shared" si="8"/>
        <v>0</v>
      </c>
      <c r="AI57" s="282" t="b">
        <f t="shared" si="88"/>
        <v>0</v>
      </c>
      <c r="AJ57" s="283" t="b">
        <f t="shared" si="122"/>
        <v>0</v>
      </c>
    </row>
    <row r="58" spans="1:36">
      <c r="A58" s="267" t="s">
        <v>243</v>
      </c>
      <c r="B58" s="287">
        <f>672</f>
        <v>672</v>
      </c>
      <c r="C58" s="287">
        <f>108</f>
        <v>108</v>
      </c>
      <c r="D58" s="288">
        <f>7.5</f>
        <v>7.5</v>
      </c>
      <c r="E58" s="289">
        <f>0.7</f>
        <v>0.7</v>
      </c>
      <c r="F58" s="288">
        <f t="shared" ref="F58:I58" si="183">0</f>
        <v>0</v>
      </c>
      <c r="G58" s="288">
        <f t="shared" si="183"/>
        <v>0</v>
      </c>
      <c r="H58" s="288">
        <f t="shared" si="183"/>
        <v>0</v>
      </c>
      <c r="I58" s="289">
        <f t="shared" si="183"/>
        <v>0</v>
      </c>
      <c r="J58" s="290">
        <f>58</f>
        <v>58</v>
      </c>
      <c r="K58" s="288">
        <f>3.2</f>
        <v>3.2</v>
      </c>
      <c r="L58" s="291">
        <f t="shared" ref="L58:M58" si="184">0.658</f>
        <v>0.65800000000000003</v>
      </c>
      <c r="M58" s="291">
        <f t="shared" si="184"/>
        <v>0.65800000000000003</v>
      </c>
      <c r="N58" s="292">
        <f>2.74%</f>
        <v>2.7400000000000001E-2</v>
      </c>
      <c r="O58" s="287">
        <f>28</f>
        <v>28</v>
      </c>
      <c r="P58" s="287">
        <f>4.7</f>
        <v>4.7</v>
      </c>
      <c r="Q58" s="288">
        <f>32</f>
        <v>32</v>
      </c>
      <c r="R58" s="289">
        <f>2.05</f>
        <v>2.0499999999999998</v>
      </c>
      <c r="S58" s="293">
        <f t="shared" si="177"/>
        <v>335</v>
      </c>
      <c r="T58" s="294">
        <f>125</f>
        <v>125</v>
      </c>
      <c r="U58" s="295" t="e">
        <f ca="1">(50 + 30 * P_Q + 0.35 * Self_AP) * MOD_Magic</f>
        <v>#NAME?</v>
      </c>
      <c r="V58" s="296">
        <f>0</f>
        <v>0</v>
      </c>
      <c r="W58" s="296" t="e">
        <f ca="1">(5 + 15 * P_E + 0.25 * Self_AP + 0.4 * Self_AD) * MOD_Magic + OH_Magic + OH_Phys</f>
        <v>#NAME?</v>
      </c>
      <c r="X58" s="296" t="e">
        <f ca="1">((12.5 + 12.5 * P_R + 0.19 * Self_AP) * MOD_Magic + ((0.16 + 0.5 * Self_BoAS) * Self_BoAD) * MOD_Phys + (OH_Magic + OH_Phys) * (P_R * 0.05 + 0.25)) * 15 + 5 * 0.25 * Calc!O34</f>
        <v>#NAME?</v>
      </c>
      <c r="Y58" s="297">
        <v>68</v>
      </c>
      <c r="Z58" s="281">
        <f>12-P_Q</f>
        <v>12</v>
      </c>
      <c r="AA58" s="282">
        <f>16-P_W</f>
        <v>16</v>
      </c>
      <c r="AB58" s="282">
        <f>15.5-1.5*P_E</f>
        <v>15.5</v>
      </c>
      <c r="AC58" s="282">
        <f>IF(P_R=3,45,IF(P_R&gt;0,120-P_R*30,1))</f>
        <v>1</v>
      </c>
      <c r="AD58" s="283">
        <f t="shared" si="174"/>
        <v>1</v>
      </c>
      <c r="AE58" s="284" t="b">
        <f t="shared" si="182"/>
        <v>1</v>
      </c>
      <c r="AF58" s="285" t="e">
        <f ca="1">_xludf.Image("https://ddragon.leagueoflegends.com/cdn/11.19.1/img/champion/Katarina.png")</f>
        <v>#NAME?</v>
      </c>
      <c r="AG58" s="282">
        <f ca="1">IFERROR(__xludf.DUMMYFUNCTION("IF(OR(REGEXMATCH(FORMULATEXT(U58),""HMOD""),NOT(P_Q&gt;0)),0,U58)+IF(OR(REGEXMATCH(FORMULATEXT(V58),""HMOD""),NOT(P_W&gt;0)),0,V58)+IF(OR(REGEXMATCH(FORMULATEXT(W58),""HMOD""),NOT(P_E&gt;0)),0,W58)+IF(OR(REGEXMATCH(FORMULATEXT(X58),""HMOD""),NOT(P_R&gt;0)),0,X58)+IF("&amp;"REGEXMATCH(FORMULATEXT(Y58),""HMOD""),0,Y58)+Self_Proc_item+Self_Proc_Summ+Self_Proc_Rune+3*Self_DPS"),68)</f>
        <v>68</v>
      </c>
      <c r="AH58" s="282">
        <f t="shared" si="8"/>
        <v>0</v>
      </c>
      <c r="AI58" s="282" t="b">
        <f t="shared" si="88"/>
        <v>0</v>
      </c>
      <c r="AJ58" s="283" t="b">
        <f>TRUE</f>
        <v>1</v>
      </c>
    </row>
    <row r="59" spans="1:36">
      <c r="A59" s="267" t="s">
        <v>244</v>
      </c>
      <c r="B59" s="287">
        <f>670</f>
        <v>670</v>
      </c>
      <c r="C59" s="287">
        <f>92</f>
        <v>92</v>
      </c>
      <c r="D59" s="288">
        <f>5</f>
        <v>5</v>
      </c>
      <c r="E59" s="289">
        <f>0.5</f>
        <v>0.5</v>
      </c>
      <c r="F59" s="288">
        <f>330</f>
        <v>330</v>
      </c>
      <c r="G59" s="288">
        <f t="shared" ref="G59:G60" si="185">50</f>
        <v>50</v>
      </c>
      <c r="H59" s="288">
        <f>8</f>
        <v>8</v>
      </c>
      <c r="I59" s="289">
        <f>0.8</f>
        <v>0.8</v>
      </c>
      <c r="J59" s="290">
        <f>50</f>
        <v>50</v>
      </c>
      <c r="K59" s="288">
        <f>2.5</f>
        <v>2.5</v>
      </c>
      <c r="L59" s="291">
        <f>0.625</f>
        <v>0.625</v>
      </c>
      <c r="M59" s="291">
        <f>0.667</f>
        <v>0.66700000000000004</v>
      </c>
      <c r="N59" s="292">
        <f>1.5%</f>
        <v>1.4999999999999999E-2</v>
      </c>
      <c r="O59" s="287">
        <f>26</f>
        <v>26</v>
      </c>
      <c r="P59" s="287">
        <f>4.2</f>
        <v>4.2</v>
      </c>
      <c r="Q59" s="288">
        <f>22</f>
        <v>22</v>
      </c>
      <c r="R59" s="289">
        <f>1.3</f>
        <v>1.3</v>
      </c>
      <c r="S59" s="293">
        <f t="shared" si="177"/>
        <v>335</v>
      </c>
      <c r="T59" s="294">
        <f>IF(Self_Level&gt;15,625,IF(Self_Level&gt;5,525,175))</f>
        <v>175</v>
      </c>
      <c r="U59" s="298" t="e">
        <f ca="1">(20+40*P_Q+0.6*Self_BoAD+0.5*Self_AP)*MOD_Magic</f>
        <v>#NAME?</v>
      </c>
      <c r="V59" s="299">
        <f>(30 + 25 * P_W + 0.25 * Self_AP) * MOD_Heal</f>
        <v>30</v>
      </c>
      <c r="W59" s="299" t="e">
        <f ca="1">((0.06 + 0.01 * P_E + 0.00015 * Self_AP) * E_MisHPV) * MOD_Magic</f>
        <v>#NAME?</v>
      </c>
      <c r="X59" s="299" t="e">
        <f ca="1">(100 + 100 * P_R + Self_BoAD + 0.7 * Self_AP) * MOD_Magic</f>
        <v>#NAME?</v>
      </c>
      <c r="Y59" s="300">
        <f>0</f>
        <v>0</v>
      </c>
      <c r="Z59" s="281">
        <f>13-P_Q</f>
        <v>13</v>
      </c>
      <c r="AA59" s="282">
        <f>15</f>
        <v>15</v>
      </c>
      <c r="AB59" s="282">
        <f>8</f>
        <v>8</v>
      </c>
      <c r="AC59" s="282">
        <f>200-40*P_R</f>
        <v>200</v>
      </c>
      <c r="AD59" s="283">
        <f t="shared" si="174"/>
        <v>1</v>
      </c>
      <c r="AE59" s="284" t="b">
        <f>FALSE</f>
        <v>0</v>
      </c>
      <c r="AF59" s="285" t="e">
        <f ca="1">_xludf.Image("https://ddragon.leagueoflegends.com/cdn/11.19.1/img/champion/Kayle.png")</f>
        <v>#NAME?</v>
      </c>
      <c r="AG59" s="282">
        <f ca="1">IFERROR(__xludf.DUMMYFUNCTION("IF(OR(REGEXMATCH(FORMULATEXT(U59),""HMOD""),NOT(P_Q&gt;0)),0,U59)+IF(OR(REGEXMATCH(FORMULATEXT(V59),""HMOD""),NOT(P_W&gt;0)),0,V59)+IF(OR(REGEXMATCH(FORMULATEXT(W59),""HMOD""),NOT(P_E&gt;0)),0,W59)+IF(OR(REGEXMATCH(FORMULATEXT(X59),""HMOD""),NOT(P_R&gt;0)),0,X59)+IF("&amp;"REGEXMATCH(FORMULATEXT(Y59),""HMOD""),0,Y59)+Self_Proc_item+Self_Proc_Summ+Self_Proc_Rune+3*Self_DPS"),0)</f>
        <v>0</v>
      </c>
      <c r="AH59" s="282">
        <f t="shared" si="8"/>
        <v>0</v>
      </c>
      <c r="AI59" s="282" t="b">
        <f t="shared" si="88"/>
        <v>0</v>
      </c>
      <c r="AJ59" s="283" t="b">
        <f t="shared" ref="AJ59:AJ61" si="186">FALSE</f>
        <v>0</v>
      </c>
    </row>
    <row r="60" spans="1:36">
      <c r="A60" s="267" t="s">
        <v>245</v>
      </c>
      <c r="B60" s="287">
        <f>655</f>
        <v>655</v>
      </c>
      <c r="C60" s="287">
        <f>109</f>
        <v>109</v>
      </c>
      <c r="D60" s="288">
        <f>8</f>
        <v>8</v>
      </c>
      <c r="E60" s="289">
        <f>0.75</f>
        <v>0.75</v>
      </c>
      <c r="F60" s="288">
        <f>410</f>
        <v>410</v>
      </c>
      <c r="G60" s="288">
        <f t="shared" si="185"/>
        <v>50</v>
      </c>
      <c r="H60" s="288">
        <f>11.5</f>
        <v>11.5</v>
      </c>
      <c r="I60" s="289">
        <f>0.95</f>
        <v>0.95</v>
      </c>
      <c r="J60" s="290">
        <f>68</f>
        <v>68</v>
      </c>
      <c r="K60" s="288">
        <f>2.8</f>
        <v>2.8</v>
      </c>
      <c r="L60" s="291">
        <f t="shared" ref="L60:M60" si="187">0.669</f>
        <v>0.66900000000000004</v>
      </c>
      <c r="M60" s="291">
        <f t="shared" si="187"/>
        <v>0.66900000000000004</v>
      </c>
      <c r="N60" s="292">
        <f>2.7%</f>
        <v>2.7000000000000003E-2</v>
      </c>
      <c r="O60" s="287">
        <f>38</f>
        <v>38</v>
      </c>
      <c r="P60" s="287">
        <f>4.5</f>
        <v>4.5</v>
      </c>
      <c r="Q60" s="288">
        <f>32</f>
        <v>32</v>
      </c>
      <c r="R60" s="289">
        <f>2.05</f>
        <v>2.0499999999999998</v>
      </c>
      <c r="S60" s="293">
        <f>340</f>
        <v>340</v>
      </c>
      <c r="T60" s="294">
        <f>175</f>
        <v>175</v>
      </c>
      <c r="U60" s="295" t="e">
        <f ca="1">IF(Steroid_Form, (1.6 * Self_BoAD + 40 * P_Q + 110) * MOD_Phys, (1.3 * Self_AD + (0.1 + 0.0007 * Self_BoAD) * E_MHP) * MOD_Phys)</f>
        <v>#NAME?</v>
      </c>
      <c r="V60" s="296" t="e">
        <f ca="1">(45+45*P_W+1.3*Self_BoAD)*MOD_Phys</f>
        <v>#NAME?</v>
      </c>
      <c r="W60" s="296">
        <f>(10 * P_E + 80 + 0.45 * Self_BoAD) * MOD_Heal</f>
        <v>80</v>
      </c>
      <c r="X60" s="296" t="e">
        <f ca="1">IF(Steroid_Form, (1.75 * Self_BoAD + 100 * P_R + 50) * MOD_Phys, ((0.15 + 0.0013 * Self_BoAD) * E_MHP) * MOD_Phys)</f>
        <v>#NAME?</v>
      </c>
      <c r="Y60" s="297">
        <f>IF(Steroid_Form, (0.15 + 0.3 * Sc_Lin) * (U60 + V60 + X60), 0)</f>
        <v>0</v>
      </c>
      <c r="Z60" s="281">
        <f>7.5-0.5*P_Q</f>
        <v>7.5</v>
      </c>
      <c r="AA60" s="282">
        <f>14-P_W</f>
        <v>14</v>
      </c>
      <c r="AB60" s="282">
        <f>IF(Steroid_Form,10,23-2*P_E)</f>
        <v>23</v>
      </c>
      <c r="AC60" s="282">
        <f>140 - 20 * P_R</f>
        <v>140</v>
      </c>
      <c r="AD60" s="283">
        <f t="shared" si="174"/>
        <v>1</v>
      </c>
      <c r="AE60" s="284" t="b">
        <f>TRUE</f>
        <v>1</v>
      </c>
      <c r="AF60" s="285" t="e">
        <f ca="1">_xludf.Image("https://ddragon.leagueoflegends.com/cdn/11.19.1/img/champion/Kayn.png")</f>
        <v>#NAME?</v>
      </c>
      <c r="AG60" s="282">
        <f ca="1">IFERROR(__xludf.DUMMYFUNCTION("IF(OR(REGEXMATCH(FORMULATEXT(U60),""HMOD""),NOT(P_Q&gt;0)),0,U60)+IF(OR(REGEXMATCH(FORMULATEXT(V60),""HMOD""),NOT(P_W&gt;0)),0,V60)+IF(OR(REGEXMATCH(FORMULATEXT(W60),""HMOD""),NOT(P_E&gt;0)),0,W60)+IF(OR(REGEXMATCH(FORMULATEXT(X60),""HMOD""),NOT(P_R&gt;0)),0,X60)+IF("&amp;"REGEXMATCH(FORMULATEXT(Y60),""HMOD""),0,Y60)+Self_Proc_item+Self_Proc_Summ+Self_Proc_Rune+3*Self_DPS"),0)</f>
        <v>0</v>
      </c>
      <c r="AH60" s="282">
        <f t="shared" si="8"/>
        <v>0</v>
      </c>
      <c r="AI60" s="282" t="b">
        <f t="shared" si="88"/>
        <v>0</v>
      </c>
      <c r="AJ60" s="283" t="b">
        <f t="shared" si="186"/>
        <v>0</v>
      </c>
    </row>
    <row r="61" spans="1:36">
      <c r="A61" s="267" t="s">
        <v>246</v>
      </c>
      <c r="B61" s="287">
        <f>611</f>
        <v>611</v>
      </c>
      <c r="C61" s="287">
        <f>98</f>
        <v>98</v>
      </c>
      <c r="D61" s="288">
        <f>5.5</f>
        <v>5.5</v>
      </c>
      <c r="E61" s="289">
        <f>0.65</f>
        <v>0.65</v>
      </c>
      <c r="F61" s="288">
        <f>200</f>
        <v>200</v>
      </c>
      <c r="G61" s="288">
        <f>0</f>
        <v>0</v>
      </c>
      <c r="H61" s="288">
        <f>50</f>
        <v>50</v>
      </c>
      <c r="I61" s="289">
        <f>0</f>
        <v>0</v>
      </c>
      <c r="J61" s="290">
        <f>48</f>
        <v>48</v>
      </c>
      <c r="K61" s="288">
        <f>3.75</f>
        <v>3.75</v>
      </c>
      <c r="L61" s="291">
        <f>0.625</f>
        <v>0.625</v>
      </c>
      <c r="M61" s="291">
        <f>0.69</f>
        <v>0.69</v>
      </c>
      <c r="N61" s="292">
        <f>3.4%</f>
        <v>3.4000000000000002E-2</v>
      </c>
      <c r="O61" s="287">
        <f>29</f>
        <v>29</v>
      </c>
      <c r="P61" s="287">
        <f>4.95</f>
        <v>4.95</v>
      </c>
      <c r="Q61" s="288">
        <f>30</f>
        <v>30</v>
      </c>
      <c r="R61" s="289">
        <f>1.3</f>
        <v>1.3</v>
      </c>
      <c r="S61" s="293">
        <f>335</f>
        <v>335</v>
      </c>
      <c r="T61" s="294">
        <f>550</f>
        <v>550</v>
      </c>
      <c r="U61" s="298" t="e">
        <f ca="1">(25 + 50 * P_Q + 0.85 * Self_AP) * MOD_Magic</f>
        <v>#NAME?</v>
      </c>
      <c r="V61" s="299" t="e">
        <f ca="1">(45+25*P_W+0.8*Self_AP)*MOD_Magic</f>
        <v>#NAME?</v>
      </c>
      <c r="W61" s="299" t="e">
        <f ca="1">(45+40*P_E+0.8*Self_AP)*MOD_Magic</f>
        <v>#NAME?</v>
      </c>
      <c r="X61" s="299" t="e">
        <f ca="1">(37.5+262.5*P_R+1.6875*Self_AP)*MOD_Magic</f>
        <v>#NAME?</v>
      </c>
      <c r="Y61" s="300">
        <f>0</f>
        <v>0</v>
      </c>
      <c r="Z61" s="281">
        <f>7.75 - 0.75 * P_Q</f>
        <v>7.75</v>
      </c>
      <c r="AA61" s="282">
        <f>14.75-1.75*P_W</f>
        <v>14.75</v>
      </c>
      <c r="AB61" s="282">
        <f>11-P_E</f>
        <v>11</v>
      </c>
      <c r="AC61" s="282">
        <f>120</f>
        <v>120</v>
      </c>
      <c r="AD61" s="283">
        <f t="shared" si="174"/>
        <v>1</v>
      </c>
      <c r="AE61" s="284" t="b">
        <f>FALSE</f>
        <v>0</v>
      </c>
      <c r="AF61" s="285" t="e">
        <f ca="1">_xludf.Image("https://ddragon.leagueoflegends.com/cdn/11.19.1/img/champion/Kennen.png")</f>
        <v>#NAME?</v>
      </c>
      <c r="AG61" s="282">
        <f ca="1">IFERROR(__xludf.DUMMYFUNCTION("IF(OR(REGEXMATCH(FORMULATEXT(U61),""HMOD""),NOT(P_Q&gt;0)),0,U61)+IF(OR(REGEXMATCH(FORMULATEXT(V61),""HMOD""),NOT(P_W&gt;0)),0,V61)+IF(OR(REGEXMATCH(FORMULATEXT(W61),""HMOD""),NOT(P_E&gt;0)),0,W61)+IF(OR(REGEXMATCH(FORMULATEXT(X61),""HMOD""),NOT(P_R&gt;0)),0,X61)+IF("&amp;"REGEXMATCH(FORMULATEXT(Y61),""HMOD""),0,Y61)+Self_Proc_item+Self_Proc_Summ+Self_Proc_Rune+3*Self_DPS"),0)</f>
        <v>0</v>
      </c>
      <c r="AH61" s="282">
        <f t="shared" si="8"/>
        <v>0</v>
      </c>
      <c r="AI61" s="282" t="b">
        <f>TRUE</f>
        <v>1</v>
      </c>
      <c r="AJ61" s="283" t="b">
        <f t="shared" si="186"/>
        <v>0</v>
      </c>
    </row>
    <row r="62" spans="1:36">
      <c r="A62" s="267" t="s">
        <v>247</v>
      </c>
      <c r="B62" s="287">
        <f>643</f>
        <v>643</v>
      </c>
      <c r="C62" s="287">
        <f>99</f>
        <v>99</v>
      </c>
      <c r="D62" s="288">
        <f>7.5</f>
        <v>7.5</v>
      </c>
      <c r="E62" s="289">
        <f>0.75</f>
        <v>0.75</v>
      </c>
      <c r="F62" s="288">
        <f>327</f>
        <v>327</v>
      </c>
      <c r="G62" s="288">
        <f>40</f>
        <v>40</v>
      </c>
      <c r="H62" s="288">
        <f>7.6</f>
        <v>7.6</v>
      </c>
      <c r="I62" s="289">
        <f>0.5</f>
        <v>0.5</v>
      </c>
      <c r="J62" s="290">
        <f>60</f>
        <v>60</v>
      </c>
      <c r="K62" s="288">
        <f>3.1</f>
        <v>3.1</v>
      </c>
      <c r="L62" s="291">
        <f t="shared" ref="L62:M62" si="188">0.668</f>
        <v>0.66800000000000004</v>
      </c>
      <c r="M62" s="291">
        <f t="shared" si="188"/>
        <v>0.66800000000000004</v>
      </c>
      <c r="N62" s="292">
        <f>2.7%</f>
        <v>2.7000000000000003E-2</v>
      </c>
      <c r="O62" s="287">
        <f>36</f>
        <v>36</v>
      </c>
      <c r="P62" s="287">
        <f>4.2</f>
        <v>4.2</v>
      </c>
      <c r="Q62" s="288">
        <f>32</f>
        <v>32</v>
      </c>
      <c r="R62" s="289">
        <f>2.05</f>
        <v>2.0499999999999998</v>
      </c>
      <c r="S62" s="293">
        <f>350</f>
        <v>350</v>
      </c>
      <c r="T62" s="294">
        <f>IF(Self_Level&gt;=11,175,125)</f>
        <v>125</v>
      </c>
      <c r="U62" s="295" t="e">
        <f ca="1">IF(Steroid_Q, 2.1, 1) * (45 + 25 * P_Q + 1.15 * Self_BoAD) * MOD_Phys</f>
        <v>#NAME?</v>
      </c>
      <c r="V62" s="296" t="e">
        <f ca="1">(55+30+Self_BoAD)*MOD_Phys</f>
        <v>#NAME?</v>
      </c>
      <c r="W62" s="296" t="e">
        <f ca="1">(30+35*P_E+0.2*Self_BoAD)*MOD_Phys</f>
        <v>#NAME?</v>
      </c>
      <c r="X62" s="296">
        <f>0</f>
        <v>0</v>
      </c>
      <c r="Y62" s="297" t="e">
        <f ca="1">(6+8*Self_Level+0.4*Self_BoAD)*MOD_Magic</f>
        <v>#NAME?</v>
      </c>
      <c r="Z62" s="281">
        <f>IF(Steroid_Q,0.55,1)*4</f>
        <v>4</v>
      </c>
      <c r="AA62" s="282">
        <f>9</f>
        <v>9</v>
      </c>
      <c r="AB62" s="282">
        <f>22-P_E*2</f>
        <v>22</v>
      </c>
      <c r="AC62" s="282">
        <f>115-15*P_R</f>
        <v>115</v>
      </c>
      <c r="AD62" s="283">
        <f t="shared" si="174"/>
        <v>1</v>
      </c>
      <c r="AE62" s="284" t="b">
        <f>TRUE</f>
        <v>1</v>
      </c>
      <c r="AF62" s="285" t="e">
        <f ca="1">_xludf.Image("https://ddragon.leagueoflegends.com/cdn/11.19.1/img/champion/Khazix.png")</f>
        <v>#NAME?</v>
      </c>
      <c r="AG62" s="282">
        <f ca="1">IFERROR(__xludf.DUMMYFUNCTION("IF(OR(REGEXMATCH(FORMULATEXT(U62),""HMOD""),NOT(P_Q&gt;0)),0,U62)+IF(OR(REGEXMATCH(FORMULATEXT(V62),""HMOD""),NOT(P_W&gt;0)),0,V62)+IF(OR(REGEXMATCH(FORMULATEXT(W62),""HMOD""),NOT(P_E&gt;0)),0,W62)+IF(OR(REGEXMATCH(FORMULATEXT(X62),""HMOD""),NOT(P_R&gt;0)),0,X62)+IF("&amp;"REGEXMATCH(FORMULATEXT(Y62),""HMOD""),0,Y62)+Self_Proc_item+Self_Proc_Summ+Self_Proc_Rune+3*Self_DPS"),14)</f>
        <v>14</v>
      </c>
      <c r="AH62" s="282">
        <f t="shared" si="8"/>
        <v>0</v>
      </c>
      <c r="AI62" s="282" t="b">
        <f t="shared" ref="AI62:AJ62" si="189">FALSE</f>
        <v>0</v>
      </c>
      <c r="AJ62" s="283" t="b">
        <f t="shared" si="189"/>
        <v>0</v>
      </c>
    </row>
    <row r="63" spans="1:36">
      <c r="A63" s="267" t="s">
        <v>248</v>
      </c>
      <c r="B63" s="287">
        <f>610</f>
        <v>610</v>
      </c>
      <c r="C63" s="287">
        <f>104</f>
        <v>104</v>
      </c>
      <c r="D63" s="288">
        <f>7</f>
        <v>7</v>
      </c>
      <c r="E63" s="289">
        <f>0.55</f>
        <v>0.55000000000000004</v>
      </c>
      <c r="F63" s="288">
        <f>300</f>
        <v>300</v>
      </c>
      <c r="G63" s="288">
        <f>35</f>
        <v>35</v>
      </c>
      <c r="H63" s="288">
        <f>7</f>
        <v>7</v>
      </c>
      <c r="I63" s="289">
        <f>0.4</f>
        <v>0.4</v>
      </c>
      <c r="J63" s="290">
        <f t="shared" ref="J63:J64" si="190">65</f>
        <v>65</v>
      </c>
      <c r="K63" s="288">
        <f>3.25</f>
        <v>3.25</v>
      </c>
      <c r="L63" s="291">
        <f t="shared" ref="L63:M63" si="191">0.625</f>
        <v>0.625</v>
      </c>
      <c r="M63" s="291">
        <f t="shared" si="191"/>
        <v>0.625</v>
      </c>
      <c r="N63" s="292">
        <f t="shared" ref="N63:N64" si="192">3.5%</f>
        <v>3.5000000000000003E-2</v>
      </c>
      <c r="O63" s="287">
        <f>29</f>
        <v>29</v>
      </c>
      <c r="P63" s="287">
        <f>4.7</f>
        <v>4.7</v>
      </c>
      <c r="Q63" s="288">
        <f>30</f>
        <v>30</v>
      </c>
      <c r="R63" s="289">
        <f>1.3</f>
        <v>1.3</v>
      </c>
      <c r="S63" s="293">
        <f>325</f>
        <v>325</v>
      </c>
      <c r="T63" s="294">
        <v>500</v>
      </c>
      <c r="U63" s="298" t="e">
        <f ca="1">(25 + 25 * P_Q + 0.75 * Self_BoAD) * MOD_Phys</f>
        <v>#NAME?</v>
      </c>
      <c r="V63" s="299" t="e">
        <f ca="1">(20+5*P_W + 0.2 * Self_AP +0.2*Self_BoAD+(0.015+0.01*Kills)*E_CHPV)*MOD_Magic</f>
        <v>#NAME?</v>
      </c>
      <c r="W63" s="299" t="e">
        <f ca="1">(60 + 20 * P_E + 0.8 * Self_BoAD + (0.08 + 0.005 * Kills) * E_MisHPV) * MOD_Phys * IF(E_CHP &lt; 25 + 50 * (Self_Crit / 100), Self_CritDMG, 1)</f>
        <v>#NAME?</v>
      </c>
      <c r="X63" s="299">
        <f>(150 + 75 * P_R) * MOD_Heal</f>
        <v>150</v>
      </c>
      <c r="Y63" s="300">
        <f t="shared" ref="Y63:Y64" si="193">0</f>
        <v>0</v>
      </c>
      <c r="Z63" s="281">
        <f>8</f>
        <v>8</v>
      </c>
      <c r="AA63" s="282">
        <f>19-P_W</f>
        <v>19</v>
      </c>
      <c r="AB63" s="282">
        <f>15-P_E</f>
        <v>15</v>
      </c>
      <c r="AC63" s="282">
        <f>210-30*P_R</f>
        <v>210</v>
      </c>
      <c r="AD63" s="283">
        <f>40</f>
        <v>40</v>
      </c>
      <c r="AE63" s="284" t="b">
        <f>FALSE</f>
        <v>0</v>
      </c>
      <c r="AF63" s="285" t="e">
        <f ca="1">_xludf.Image("https://ddragon.leagueoflegends.com/cdn/11.19.1/img/champion/Kindred.png")</f>
        <v>#NAME?</v>
      </c>
      <c r="AG63" s="282">
        <f ca="1">IFERROR(__xludf.DUMMYFUNCTION("IF(OR(REGEXMATCH(FORMULATEXT(U63),""HMOD""),NOT(P_Q&gt;0)),0,U63)+IF(OR(REGEXMATCH(FORMULATEXT(V63),""HMOD""),NOT(P_W&gt;0)),0,V63)+IF(OR(REGEXMATCH(FORMULATEXT(W63),""HMOD""),NOT(P_E&gt;0)),0,W63)+IF(OR(REGEXMATCH(FORMULATEXT(X63),""HMOD""),NOT(P_R&gt;0)),0,X63)+IF("&amp;"REGEXMATCH(FORMULATEXT(Y63),""HMOD""),0,Y63)+Self_Proc_item+Self_Proc_Summ+Self_Proc_Rune+3*Self_DPS"),0)</f>
        <v>0</v>
      </c>
      <c r="AH63" s="282">
        <f t="shared" si="8"/>
        <v>0</v>
      </c>
      <c r="AI63" s="282" t="b">
        <f t="shared" ref="AI63:AJ63" si="194">FALSE</f>
        <v>0</v>
      </c>
      <c r="AJ63" s="283" t="b">
        <f t="shared" si="194"/>
        <v>0</v>
      </c>
    </row>
    <row r="64" spans="1:36">
      <c r="A64" s="267" t="s">
        <v>249</v>
      </c>
      <c r="B64" s="287">
        <f>410+IF(Steroid_Form,0,400)</f>
        <v>810</v>
      </c>
      <c r="C64" s="287">
        <f>84+IF(Steroid_Form, 0, 1150 / 17)</f>
        <v>151.64705882352939</v>
      </c>
      <c r="D64" s="288">
        <f>6</f>
        <v>6</v>
      </c>
      <c r="E64" s="289">
        <f>0.75</f>
        <v>0.75</v>
      </c>
      <c r="F64" s="288">
        <f>100</f>
        <v>100</v>
      </c>
      <c r="G64" s="288">
        <f t="shared" ref="G64:I64" si="195">0</f>
        <v>0</v>
      </c>
      <c r="H64" s="288">
        <f t="shared" si="195"/>
        <v>0</v>
      </c>
      <c r="I64" s="289">
        <f t="shared" si="195"/>
        <v>0</v>
      </c>
      <c r="J64" s="290">
        <f t="shared" si="190"/>
        <v>65</v>
      </c>
      <c r="K64" s="288">
        <f>3.5</f>
        <v>3.5</v>
      </c>
      <c r="L64" s="291">
        <f t="shared" ref="L64:M64" si="196">0.625</f>
        <v>0.625</v>
      </c>
      <c r="M64" s="291">
        <f t="shared" si="196"/>
        <v>0.625</v>
      </c>
      <c r="N64" s="292">
        <f t="shared" si="192"/>
        <v>3.5000000000000003E-2</v>
      </c>
      <c r="O64" s="287">
        <f>35</f>
        <v>35</v>
      </c>
      <c r="P64" s="287">
        <f>5.2</f>
        <v>5.2</v>
      </c>
      <c r="Q64" s="288">
        <f>28</f>
        <v>28</v>
      </c>
      <c r="R64" s="289">
        <f>2.05</f>
        <v>2.0499999999999998</v>
      </c>
      <c r="S64" s="293">
        <f>IF(Steroid_Form,285,345)</f>
        <v>345</v>
      </c>
      <c r="T64" s="294">
        <f>IF(Steroid_Form,250,125)</f>
        <v>125</v>
      </c>
      <c r="U64" s="295" t="e">
        <f ca="1">IF(Steroid_Form,IF(Steroid_Q,1.8,1)*(15*P_Q+20+0.8*Self_BoAD)*MOD_Phys,(75*P_Q+15+1.95*Self_BoAD)*MOD_Phys)</f>
        <v>#NAME?</v>
      </c>
      <c r="V64" s="296" t="e">
        <f ca="1">((0.04+0.005*P_W+0.0005*Self_BoAD)*E_MHP+10+10*P_W+Self_AD)*MOD_Phys</f>
        <v>#NAME?</v>
      </c>
      <c r="W64" s="296" t="e">
        <f ca="1">IF(Steroid_Form, 0, 50 * P_Q + 20 + 1.3 * Self_BoAD) * MOD_Phys</f>
        <v>#NAME?</v>
      </c>
      <c r="X64" s="296" t="e">
        <f ca="1">IF(Steroid_Form,0,((0.09+0.03*P_R+0.0012*Self_BoAD)*E_MHP)*MOD_Phys)</f>
        <v>#NAME?</v>
      </c>
      <c r="Y64" s="297">
        <f t="shared" si="193"/>
        <v>0</v>
      </c>
      <c r="Z64" s="281">
        <f>IF(Steroid_Form,20.75-0.75*Self_Level,9.5-0.5*P_Q)</f>
        <v>9.5</v>
      </c>
      <c r="AA64" s="282">
        <f>12.5-1.5*P_W</f>
        <v>12.5</v>
      </c>
      <c r="AB64" s="282">
        <f>14-P_E</f>
        <v>14</v>
      </c>
      <c r="AC64" s="282">
        <f>155-15*P_R</f>
        <v>155</v>
      </c>
      <c r="AD64" s="283">
        <f t="shared" ref="AD64:AD69" si="197">1</f>
        <v>1</v>
      </c>
      <c r="AE64" s="284" t="b">
        <f>TRUE</f>
        <v>1</v>
      </c>
      <c r="AF64" s="285" t="e">
        <f ca="1">_xludf.Image("https://ddragon.leagueoflegends.com/cdn/11.19.1/img/champion/Kled.png")</f>
        <v>#NAME?</v>
      </c>
      <c r="AG64" s="282">
        <f ca="1">IFERROR(__xludf.DUMMYFUNCTION("IF(OR(REGEXMATCH(FORMULATEXT(U64),""HMOD""),NOT(P_Q&gt;0)),0,U64)+IF(OR(REGEXMATCH(FORMULATEXT(V64),""HMOD""),NOT(P_W&gt;0)),0,V64)+IF(OR(REGEXMATCH(FORMULATEXT(W64),""HMOD""),NOT(P_E&gt;0)),0,W64)+IF(OR(REGEXMATCH(FORMULATEXT(X64),""HMOD""),NOT(P_R&gt;0)),0,X64)+IF("&amp;"REGEXMATCH(FORMULATEXT(Y64),""HMOD""),0,Y64)+Self_Proc_item+Self_Proc_Summ+Self_Proc_Rune+3*Self_DPS"),0)</f>
        <v>0</v>
      </c>
      <c r="AH64" s="282">
        <f t="shared" si="8"/>
        <v>0</v>
      </c>
      <c r="AI64" s="282" t="b">
        <f t="shared" ref="AI64:AI66" si="198">FALSE</f>
        <v>0</v>
      </c>
      <c r="AJ64" s="283" t="b">
        <f>TRUE</f>
        <v>1</v>
      </c>
    </row>
    <row r="65" spans="1:36">
      <c r="A65" s="267" t="s">
        <v>250</v>
      </c>
      <c r="B65" s="287">
        <f>635</f>
        <v>635</v>
      </c>
      <c r="C65" s="287">
        <f>99</f>
        <v>99</v>
      </c>
      <c r="D65" s="288">
        <f>3.75</f>
        <v>3.75</v>
      </c>
      <c r="E65" s="289">
        <f t="shared" ref="E65:E66" si="199">0.55</f>
        <v>0.55000000000000004</v>
      </c>
      <c r="F65" s="288">
        <f>325</f>
        <v>325</v>
      </c>
      <c r="G65" s="288">
        <f>40</f>
        <v>40</v>
      </c>
      <c r="H65" s="288">
        <f>8.75</f>
        <v>8.75</v>
      </c>
      <c r="I65" s="289">
        <f>0.7</f>
        <v>0.7</v>
      </c>
      <c r="J65" s="290">
        <f>61</f>
        <v>61</v>
      </c>
      <c r="K65" s="288">
        <f>3.11</f>
        <v>3.11</v>
      </c>
      <c r="L65" s="291">
        <f t="shared" ref="L65:M65" si="200">0.665</f>
        <v>0.66500000000000004</v>
      </c>
      <c r="M65" s="291">
        <f t="shared" si="200"/>
        <v>0.66500000000000004</v>
      </c>
      <c r="N65" s="292">
        <f>2.65%</f>
        <v>2.6499999999999999E-2</v>
      </c>
      <c r="O65" s="287">
        <f>24</f>
        <v>24</v>
      </c>
      <c r="P65" s="287">
        <f>4.45</f>
        <v>4.45</v>
      </c>
      <c r="Q65" s="288">
        <f t="shared" ref="Q65:Q66" si="201">30</f>
        <v>30</v>
      </c>
      <c r="R65" s="289">
        <f t="shared" ref="R65:R66" si="202">1.3</f>
        <v>1.3</v>
      </c>
      <c r="S65" s="293">
        <f>330</f>
        <v>330</v>
      </c>
      <c r="T65" s="294">
        <f>500</f>
        <v>500</v>
      </c>
      <c r="U65" s="298" t="e">
        <f ca="1">(40+50*P_Q+0.7*Self_AP)*MOD_Magic</f>
        <v>#NAME?</v>
      </c>
      <c r="V65" s="299" t="e">
        <f ca="1">((0.0225+0.0075*P_W+0.0001*Self_AP)*E_MHP)*MOD_Magic</f>
        <v>#NAME?</v>
      </c>
      <c r="W65" s="299" t="e">
        <f ca="1">(30 + 45 * P_E + 0.7 * Self_AP) * MOD_Magic</f>
        <v>#NAME?</v>
      </c>
      <c r="X65" s="299" t="e">
        <f ca="1">(60+40*P_R+0.35*Self_AP+0.65*Self_BoAD)*MOD_Magic</f>
        <v>#NAME?</v>
      </c>
      <c r="Y65" s="300">
        <f>(110 + 30 * Self_Level) * MOD_True</f>
        <v>140</v>
      </c>
      <c r="Z65" s="281">
        <f>7</f>
        <v>7</v>
      </c>
      <c r="AA65" s="282">
        <f>17</f>
        <v>17</v>
      </c>
      <c r="AB65" s="282">
        <f>12</f>
        <v>12</v>
      </c>
      <c r="AC65" s="282">
        <f>2.5-0.5*P_R</f>
        <v>2.5</v>
      </c>
      <c r="AD65" s="283">
        <f t="shared" si="197"/>
        <v>1</v>
      </c>
      <c r="AE65" s="284" t="b">
        <f t="shared" ref="AE65:AE66" si="203">FALSE</f>
        <v>0</v>
      </c>
      <c r="AF65" s="285" t="e">
        <f ca="1">_xludf.Image("https://ddragon.leagueoflegends.com/cdn/11.19.1/img/champion/KogMaw.png")</f>
        <v>#NAME?</v>
      </c>
      <c r="AG65" s="282">
        <f ca="1">IFERROR(__xludf.DUMMYFUNCTION("IF(OR(REGEXMATCH(FORMULATEXT(U65),""HMOD""),NOT(P_Q&gt;0)),0,U65)+IF(OR(REGEXMATCH(FORMULATEXT(V65),""HMOD""),NOT(P_W&gt;0)),0,V65)+IF(OR(REGEXMATCH(FORMULATEXT(W65),""HMOD""),NOT(P_E&gt;0)),0,W65)+IF(OR(REGEXMATCH(FORMULATEXT(X65),""HMOD""),NOT(P_R&gt;0)),0,X65)+IF("&amp;"REGEXMATCH(FORMULATEXT(Y65),""HMOD""),0,Y65)+Self_Proc_item+Self_Proc_Summ+Self_Proc_Rune+3*Self_DPS"),140)</f>
        <v>140</v>
      </c>
      <c r="AH65" s="282">
        <f t="shared" si="8"/>
        <v>0</v>
      </c>
      <c r="AI65" s="282" t="b">
        <f t="shared" si="198"/>
        <v>0</v>
      </c>
      <c r="AJ65" s="283" t="b">
        <f t="shared" ref="AJ65:AJ67" si="204">FALSE</f>
        <v>0</v>
      </c>
    </row>
    <row r="66" spans="1:36">
      <c r="A66" s="267" t="s">
        <v>251</v>
      </c>
      <c r="B66" s="287">
        <f>598</f>
        <v>598</v>
      </c>
      <c r="C66" s="287">
        <f>111</f>
        <v>111</v>
      </c>
      <c r="D66" s="288">
        <f t="shared" ref="D66:D67" si="205">7.5</f>
        <v>7.5</v>
      </c>
      <c r="E66" s="289">
        <f t="shared" si="199"/>
        <v>0.55000000000000004</v>
      </c>
      <c r="F66" s="288">
        <f>400</f>
        <v>400</v>
      </c>
      <c r="G66" s="288">
        <f>55</f>
        <v>55</v>
      </c>
      <c r="H66" s="288">
        <f>8</f>
        <v>8</v>
      </c>
      <c r="I66" s="289">
        <f>1</f>
        <v>1</v>
      </c>
      <c r="J66" s="290">
        <f>55</f>
        <v>55</v>
      </c>
      <c r="K66" s="288">
        <f>3.5</f>
        <v>3.5</v>
      </c>
      <c r="L66" s="291">
        <f t="shared" ref="L66:M66" si="206">0.625</f>
        <v>0.625</v>
      </c>
      <c r="M66" s="291">
        <f t="shared" si="206"/>
        <v>0.625</v>
      </c>
      <c r="N66" s="292">
        <f>1.4%</f>
        <v>1.3999999999999999E-2</v>
      </c>
      <c r="O66" s="287">
        <f>22</f>
        <v>22</v>
      </c>
      <c r="P66" s="287">
        <f>4.7</f>
        <v>4.7</v>
      </c>
      <c r="Q66" s="288">
        <f t="shared" si="201"/>
        <v>30</v>
      </c>
      <c r="R66" s="289">
        <f t="shared" si="202"/>
        <v>1.3</v>
      </c>
      <c r="S66" s="293">
        <f>340</f>
        <v>340</v>
      </c>
      <c r="T66" s="294">
        <f>525</f>
        <v>525</v>
      </c>
      <c r="U66" s="295" t="e">
        <f ca="1">IF(Steroid_Q, (1.2 * Self_AP + 210 * P_R) * MOD_Magic,(50 * P_Q + 80 + 0.8 * Self_AP) * MOD_Magic)</f>
        <v>#NAME?</v>
      </c>
      <c r="V66" s="296" t="e">
        <f ca="1">IF(Steroid_W, (150 * P_R + 0.75 * Self_AP) * MOD_Magic, (40 * P_W + 35 + 0.6 * Self_AP) * MOD_Magic)</f>
        <v>#NAME?</v>
      </c>
      <c r="W66" s="296" t="e">
        <f ca="1">IF(Steroid_E, (1.2 * Self_AP + 210 * P_R) * MOD_Magic, (60 * P_E + 70 + Self_AP) * MOD_Magic)</f>
        <v>#NAME?</v>
      </c>
      <c r="X66" s="296">
        <f t="shared" ref="X66:Y66" si="207">0</f>
        <v>0</v>
      </c>
      <c r="Y66" s="297">
        <f t="shared" si="207"/>
        <v>0</v>
      </c>
      <c r="Z66" s="281">
        <f>6</f>
        <v>6</v>
      </c>
      <c r="AA66" s="282">
        <f>20-2*P_W</f>
        <v>20</v>
      </c>
      <c r="AB66" s="282">
        <f>14.75-0.75*P_E</f>
        <v>14.75</v>
      </c>
      <c r="AC66" s="282">
        <f>60 - 10 * P_R</f>
        <v>60</v>
      </c>
      <c r="AD66" s="283">
        <f t="shared" si="197"/>
        <v>1</v>
      </c>
      <c r="AE66" s="284" t="b">
        <f t="shared" si="203"/>
        <v>0</v>
      </c>
      <c r="AF66" s="285" t="e">
        <f ca="1">_xludf.Image("https://ddragon.leagueoflegends.com/cdn/11.19.1/img/champion/Leblanc.png")</f>
        <v>#NAME?</v>
      </c>
      <c r="AG66" s="282">
        <f ca="1">IFERROR(__xludf.DUMMYFUNCTION("IF(OR(REGEXMATCH(FORMULATEXT(U66),""HMOD""),NOT(P_Q&gt;0)),0,U66)+IF(OR(REGEXMATCH(FORMULATEXT(V66),""HMOD""),NOT(P_W&gt;0)),0,V66)+IF(OR(REGEXMATCH(FORMULATEXT(W66),""HMOD""),NOT(P_E&gt;0)),0,W66)+IF(OR(REGEXMATCH(FORMULATEXT(X66),""HMOD""),NOT(P_R&gt;0)),0,X66)+IF("&amp;"REGEXMATCH(FORMULATEXT(Y66),""HMOD""),0,Y66)+Self_Proc_item+Self_Proc_Summ+Self_Proc_Rune+3*Self_DPS"),0)</f>
        <v>0</v>
      </c>
      <c r="AH66" s="282">
        <f t="shared" si="8"/>
        <v>0</v>
      </c>
      <c r="AI66" s="282" t="b">
        <f t="shared" si="198"/>
        <v>0</v>
      </c>
      <c r="AJ66" s="283" t="b">
        <f t="shared" si="204"/>
        <v>0</v>
      </c>
    </row>
    <row r="67" spans="1:36">
      <c r="A67" s="301" t="s">
        <v>252</v>
      </c>
      <c r="B67" s="282">
        <f>645</f>
        <v>645</v>
      </c>
      <c r="C67" s="282">
        <f>105</f>
        <v>105</v>
      </c>
      <c r="D67" s="282">
        <f t="shared" si="205"/>
        <v>7.5</v>
      </c>
      <c r="E67" s="302">
        <f>0.7</f>
        <v>0.7</v>
      </c>
      <c r="F67" s="282">
        <f>200</f>
        <v>200</v>
      </c>
      <c r="G67" s="282">
        <f>0</f>
        <v>0</v>
      </c>
      <c r="H67" s="282">
        <f>50</f>
        <v>50</v>
      </c>
      <c r="I67" s="302">
        <f>0</f>
        <v>0</v>
      </c>
      <c r="J67" s="303">
        <f>66</f>
        <v>66</v>
      </c>
      <c r="K67" s="282">
        <f>3.7</f>
        <v>3.7</v>
      </c>
      <c r="L67" s="304">
        <f t="shared" ref="L67:M67" si="208">0.651</f>
        <v>0.65100000000000002</v>
      </c>
      <c r="M67" s="304">
        <f t="shared" si="208"/>
        <v>0.65100000000000002</v>
      </c>
      <c r="N67" s="305">
        <f>3%</f>
        <v>0.03</v>
      </c>
      <c r="O67" s="282">
        <f>34</f>
        <v>34</v>
      </c>
      <c r="P67" s="282">
        <f>4.9</f>
        <v>4.9000000000000004</v>
      </c>
      <c r="Q67" s="282">
        <f t="shared" ref="Q67:Q69" si="209">32</f>
        <v>32</v>
      </c>
      <c r="R67" s="302">
        <f t="shared" ref="R67:R68" si="210">2.05</f>
        <v>2.0499999999999998</v>
      </c>
      <c r="S67" s="285">
        <f>345</f>
        <v>345</v>
      </c>
      <c r="T67" s="286">
        <f t="shared" ref="T67:T68" si="211">125</f>
        <v>125</v>
      </c>
      <c r="U67" s="298" t="e">
        <f ca="1">(60 + 50 * P_Q + 2.2 * Self_BoAD) * MOD_Phys * (1 + 0.5 * (1 - E_CHP / 100))</f>
        <v>#NAME?</v>
      </c>
      <c r="V67" s="299">
        <f>(50 * P_W + 0.8 * Self_AP)</f>
        <v>0</v>
      </c>
      <c r="W67" s="299" t="e">
        <f ca="1">(5 + 30 * P_E + Self_AD) * MOD_Magic</f>
        <v>#NAME?</v>
      </c>
      <c r="X67" s="299" t="e">
        <f ca="1">(225*P_R+2*Self_BoAD-50)*MOD_Phys</f>
        <v>#NAME?</v>
      </c>
      <c r="Y67" s="300">
        <f>0</f>
        <v>0</v>
      </c>
      <c r="Z67" s="284">
        <f>11-P_Q</f>
        <v>11</v>
      </c>
      <c r="AA67" s="285">
        <f>12</f>
        <v>12</v>
      </c>
      <c r="AB67" s="285">
        <f>9</f>
        <v>9</v>
      </c>
      <c r="AC67" s="285">
        <f>135-25*P_R</f>
        <v>135</v>
      </c>
      <c r="AD67" s="286">
        <f t="shared" si="197"/>
        <v>1</v>
      </c>
      <c r="AE67" s="284" t="b">
        <f t="shared" ref="AE67:AE69" si="212">TRUE</f>
        <v>1</v>
      </c>
      <c r="AF67" s="285" t="e">
        <f ca="1">_xludf.Image("https://ddragon.leagueoflegends.com/cdn/11.19.1/img/champion/LeeSin.png")</f>
        <v>#NAME?</v>
      </c>
      <c r="AG67" s="282">
        <f ca="1">IFERROR(__xludf.DUMMYFUNCTION("IF(OR(REGEXMATCH(FORMULATEXT(U67),""HMOD""),NOT(P_Q&gt;0)),0,U67)+IF(OR(REGEXMATCH(FORMULATEXT(V67),""HMOD""),NOT(P_W&gt;0)),0,V67)+IF(OR(REGEXMATCH(FORMULATEXT(W67),""HMOD""),NOT(P_E&gt;0)),0,W67)+IF(OR(REGEXMATCH(FORMULATEXT(X67),""HMOD""),NOT(P_R&gt;0)),0,X67)+IF("&amp;"REGEXMATCH(FORMULATEXT(Y67),""HMOD""),0,Y67)+Self_Proc_item+Self_Proc_Summ+Self_Proc_Rune+3*Self_DPS"),0)</f>
        <v>0</v>
      </c>
      <c r="AH67" s="282">
        <f t="shared" si="8"/>
        <v>0</v>
      </c>
      <c r="AI67" s="282" t="b">
        <f>TRUE</f>
        <v>1</v>
      </c>
      <c r="AJ67" s="283" t="b">
        <f t="shared" si="204"/>
        <v>0</v>
      </c>
    </row>
    <row r="68" spans="1:36">
      <c r="A68" s="267" t="s">
        <v>253</v>
      </c>
      <c r="B68" s="287">
        <f>646</f>
        <v>646</v>
      </c>
      <c r="C68" s="287">
        <f>101</f>
        <v>101</v>
      </c>
      <c r="D68" s="288">
        <f>8.5</f>
        <v>8.5</v>
      </c>
      <c r="E68" s="289">
        <f>0.85</f>
        <v>0.85</v>
      </c>
      <c r="F68" s="288">
        <f>302</f>
        <v>302</v>
      </c>
      <c r="G68" s="288">
        <f>40</f>
        <v>40</v>
      </c>
      <c r="H68" s="288">
        <f>6</f>
        <v>6</v>
      </c>
      <c r="I68" s="289">
        <f>0.8</f>
        <v>0.8</v>
      </c>
      <c r="J68" s="290">
        <f>60</f>
        <v>60</v>
      </c>
      <c r="K68" s="288">
        <f>3</f>
        <v>3</v>
      </c>
      <c r="L68" s="291">
        <f t="shared" ref="L68:M68" si="213">0.625</f>
        <v>0.625</v>
      </c>
      <c r="M68" s="291">
        <f t="shared" si="213"/>
        <v>0.625</v>
      </c>
      <c r="N68" s="292">
        <f>2.9%</f>
        <v>2.8999999999999998E-2</v>
      </c>
      <c r="O68" s="287">
        <f>47</f>
        <v>47</v>
      </c>
      <c r="P68" s="287">
        <f>4.8</f>
        <v>4.8</v>
      </c>
      <c r="Q68" s="288">
        <f t="shared" si="209"/>
        <v>32</v>
      </c>
      <c r="R68" s="289">
        <f t="shared" si="210"/>
        <v>2.0499999999999998</v>
      </c>
      <c r="S68" s="293">
        <f>335</f>
        <v>335</v>
      </c>
      <c r="T68" s="294">
        <f t="shared" si="211"/>
        <v>125</v>
      </c>
      <c r="U68" s="295" t="e">
        <f ca="1">(-15+25*P_Q+0.3*Self_AP)*MOD_Magic</f>
        <v>#NAME?</v>
      </c>
      <c r="V68" s="296" t="e">
        <f ca="1">(20 + 35 * P_W + 0.4 * Self_AP) * MOD_Magic</f>
        <v>#NAME?</v>
      </c>
      <c r="W68" s="296" t="e">
        <f ca="1">(10+40*P_E+0.4*Self_AP)*MOD_Magic</f>
        <v>#NAME?</v>
      </c>
      <c r="X68" s="296" t="e">
        <f ca="1">(25+75*P_R+0.8*Self_AP)*MOD_Magic</f>
        <v>#NAME?</v>
      </c>
      <c r="Y68" s="297" t="e">
        <f ca="1">(32 + 136 * Sc_Lin)*MOD_Magic</f>
        <v>#NAME?</v>
      </c>
      <c r="Z68" s="281">
        <f>5</f>
        <v>5</v>
      </c>
      <c r="AA68" s="282">
        <f>15-P_W</f>
        <v>15</v>
      </c>
      <c r="AB68" s="282">
        <f>13.5-1.5*P_E</f>
        <v>13.5</v>
      </c>
      <c r="AC68" s="282">
        <f>105-15*P_R</f>
        <v>105</v>
      </c>
      <c r="AD68" s="283">
        <f t="shared" si="197"/>
        <v>1</v>
      </c>
      <c r="AE68" s="284" t="b">
        <f t="shared" si="212"/>
        <v>1</v>
      </c>
      <c r="AF68" s="285" t="e">
        <f ca="1">_xludf.Image("https://ddragon.leagueoflegends.com/cdn/11.19.1/img/champion/Leona.png")</f>
        <v>#NAME?</v>
      </c>
      <c r="AG68" s="282">
        <f ca="1">IFERROR(__xludf.DUMMYFUNCTION("IF(OR(REGEXMATCH(FORMULATEXT(U68),""HMOD""),NOT(P_Q&gt;0)),0,U68)+IF(OR(REGEXMATCH(FORMULATEXT(V68),""HMOD""),NOT(P_W&gt;0)),0,V68)+IF(OR(REGEXMATCH(FORMULATEXT(W68),""HMOD""),NOT(P_E&gt;0)),0,W68)+IF(OR(REGEXMATCH(FORMULATEXT(X68),""HMOD""),NOT(P_R&gt;0)),0,X68)+IF("&amp;"REGEXMATCH(FORMULATEXT(Y68),""HMOD""),0,Y68)+Self_Proc_item+Self_Proc_Summ+Self_Proc_Rune+3*Self_DPS"),32)</f>
        <v>32</v>
      </c>
      <c r="AH68" s="282">
        <f t="shared" si="8"/>
        <v>0</v>
      </c>
      <c r="AI68" s="282" t="b">
        <f t="shared" ref="AI68:AJ68" si="214">FALSE</f>
        <v>0</v>
      </c>
      <c r="AJ68" s="283" t="b">
        <f t="shared" si="214"/>
        <v>0</v>
      </c>
    </row>
    <row r="69" spans="1:36">
      <c r="A69" s="267" t="s">
        <v>254</v>
      </c>
      <c r="B69" s="287">
        <f>605</f>
        <v>605</v>
      </c>
      <c r="C69" s="287">
        <f>105</f>
        <v>105</v>
      </c>
      <c r="D69" s="288">
        <f>2.5</f>
        <v>2.5</v>
      </c>
      <c r="E69" s="289">
        <f t="shared" ref="E69:E70" si="215">0.55</f>
        <v>0.55000000000000004</v>
      </c>
      <c r="F69" s="288">
        <f>410</f>
        <v>410</v>
      </c>
      <c r="G69" s="288">
        <f>50</f>
        <v>50</v>
      </c>
      <c r="H69" s="288">
        <f t="shared" ref="H69:H70" si="216">8</f>
        <v>8</v>
      </c>
      <c r="I69" s="289">
        <f>0.5</f>
        <v>0.5</v>
      </c>
      <c r="J69" s="290">
        <f>61</f>
        <v>61</v>
      </c>
      <c r="K69" s="288">
        <f>3.1</f>
        <v>3.1</v>
      </c>
      <c r="L69" s="291">
        <f t="shared" ref="L69:M69" si="217">0.625</f>
        <v>0.625</v>
      </c>
      <c r="M69" s="291">
        <f t="shared" si="217"/>
        <v>0.625</v>
      </c>
      <c r="N69" s="292">
        <f>2.7%</f>
        <v>2.7000000000000003E-2</v>
      </c>
      <c r="O69" s="287">
        <f t="shared" ref="O69:O70" si="218">22</f>
        <v>22</v>
      </c>
      <c r="P69" s="287">
        <f>5.2</f>
        <v>5.2</v>
      </c>
      <c r="Q69" s="288">
        <f t="shared" si="209"/>
        <v>32</v>
      </c>
      <c r="R69" s="289">
        <f>1.55</f>
        <v>1.55</v>
      </c>
      <c r="S69" s="293">
        <f>330</f>
        <v>330</v>
      </c>
      <c r="T69" s="294">
        <f>325</f>
        <v>325</v>
      </c>
      <c r="U69" s="298" t="e">
        <f ca="1">(25 + 10 * P_Q + 0.45 * Self_AP) * (MOD_Magic + IF(Steroid_Q,Calc!O10,0))</f>
        <v>#NAME?</v>
      </c>
      <c r="V69" s="299" t="e">
        <f ca="1">(60 + 20 * P_W + 0.35 * Self_AP) * MOD_Magic * IF(Steroid_W, 3, 1)</f>
        <v>#NAME?</v>
      </c>
      <c r="W69" s="299" t="e">
        <f ca="1">(45 + 25 * P_E + 0.6 * Self_AP) * MOD_Magic</f>
        <v>#NAME?</v>
      </c>
      <c r="X69" s="299" t="e">
        <f ca="1">(50 + 50 * P_R + 0.4 * Self_AP) * MOD_Magic</f>
        <v>#NAME?</v>
      </c>
      <c r="Y69" s="300" t="e">
        <f ca="1">(0.05 + 0.00015 * Self_AP)* E_MHP * MOD_Magic</f>
        <v>#NAME?</v>
      </c>
      <c r="Z69" s="281">
        <f>6.5 - 0.5 * P_Q</f>
        <v>6.5</v>
      </c>
      <c r="AA69" s="282">
        <f>15-P_W</f>
        <v>15</v>
      </c>
      <c r="AB69" s="282">
        <f>16.5 - 0.5 * P_E</f>
        <v>16.5</v>
      </c>
      <c r="AC69" s="282">
        <f>170-20*P_R</f>
        <v>170</v>
      </c>
      <c r="AD69" s="283">
        <f t="shared" si="197"/>
        <v>1</v>
      </c>
      <c r="AE69" s="284" t="b">
        <f t="shared" si="212"/>
        <v>1</v>
      </c>
      <c r="AF69" s="285" t="e">
        <f ca="1">_xludf.Image("https://ddragon.leagueoflegends.com/cdn/11.19.1/img/champion/Lillia.png")</f>
        <v>#NAME?</v>
      </c>
      <c r="AG69" s="282">
        <f ca="1">IFERROR(__xludf.DUMMYFUNCTION("IF(OR(REGEXMATCH(FORMULATEXT(U69),""HMOD""),NOT(P_Q&gt;0)),0,U69)+IF(OR(REGEXMATCH(FORMULATEXT(V69),""HMOD""),NOT(P_W&gt;0)),0,V69)+IF(OR(REGEXMATCH(FORMULATEXT(W69),""HMOD""),NOT(P_E&gt;0)),0,W69)+IF(OR(REGEXMATCH(FORMULATEXT(X69),""HMOD""),NOT(P_R&gt;0)),0,X69)+IF("&amp;"REGEXMATCH(FORMULATEXT(Y69),""HMOD""),0,Y69)+Self_Proc_item+Self_Proc_Summ+Self_Proc_Rune+3*Self_DPS"),0)</f>
        <v>0</v>
      </c>
      <c r="AH69" s="282">
        <f t="shared" si="8"/>
        <v>0</v>
      </c>
      <c r="AI69" s="282" t="b">
        <f t="shared" ref="AI69:AJ69" si="219">FALSE</f>
        <v>0</v>
      </c>
      <c r="AJ69" s="283" t="b">
        <f t="shared" si="219"/>
        <v>0</v>
      </c>
    </row>
    <row r="70" spans="1:36">
      <c r="A70" s="267" t="s">
        <v>255</v>
      </c>
      <c r="B70" s="287">
        <f>620</f>
        <v>620</v>
      </c>
      <c r="C70" s="287">
        <f>110</f>
        <v>110</v>
      </c>
      <c r="D70" s="288">
        <f>7</f>
        <v>7</v>
      </c>
      <c r="E70" s="289">
        <f t="shared" si="215"/>
        <v>0.55000000000000004</v>
      </c>
      <c r="F70" s="288">
        <f>475</f>
        <v>475</v>
      </c>
      <c r="G70" s="288">
        <f>30</f>
        <v>30</v>
      </c>
      <c r="H70" s="288">
        <f t="shared" si="216"/>
        <v>8</v>
      </c>
      <c r="I70" s="289">
        <f t="shared" ref="I70:I71" si="220">0.8</f>
        <v>0.8</v>
      </c>
      <c r="J70" s="290">
        <f>55</f>
        <v>55</v>
      </c>
      <c r="K70" s="288">
        <f>2.7</f>
        <v>2.7</v>
      </c>
      <c r="L70" s="291">
        <f>0.656</f>
        <v>0.65600000000000003</v>
      </c>
      <c r="M70" s="291">
        <f>0.625</f>
        <v>0.625</v>
      </c>
      <c r="N70" s="292">
        <f>1.36%</f>
        <v>1.3600000000000001E-2</v>
      </c>
      <c r="O70" s="287">
        <f t="shared" si="218"/>
        <v>22</v>
      </c>
      <c r="P70" s="287">
        <f>4.9</f>
        <v>4.9000000000000004</v>
      </c>
      <c r="Q70" s="288">
        <f t="shared" ref="Q70:Q73" si="221">30</f>
        <v>30</v>
      </c>
      <c r="R70" s="289">
        <f t="shared" ref="R70:R73" si="222">1.3</f>
        <v>1.3</v>
      </c>
      <c r="S70" s="293">
        <f>325</f>
        <v>325</v>
      </c>
      <c r="T70" s="294">
        <f>550</f>
        <v>550</v>
      </c>
      <c r="U70" s="295" t="e">
        <f ca="1">(50 + 30 * P_Q + 0.8 * Self_AP) * MOD_Magic</f>
        <v>#NAME?</v>
      </c>
      <c r="V70" s="296" t="e">
        <f ca="1">(35+35*P_W+0.7*Self_AP)*MOD_Magic</f>
        <v>#NAME?</v>
      </c>
      <c r="W70" s="296" t="e">
        <f ca="1">(35+35*P_E+0.6*Self_AP)*MOD_Magic</f>
        <v>#NAME?</v>
      </c>
      <c r="X70" s="296" t="e">
        <f ca="1">(50+100*P_R+0.75*Self_AP)*MOD_Magic</f>
        <v>#NAME?</v>
      </c>
      <c r="Y70" s="297" t="e">
        <f ca="1">(100+20*Self_Level+IF(Self_Level&gt;12,(Self_Level-12)*10,0)+0.5*Self_AP)*MOD_Magic</f>
        <v>#NAME?</v>
      </c>
      <c r="Z70" s="281">
        <f>9-1*P_Q</f>
        <v>9</v>
      </c>
      <c r="AA70" s="282">
        <f>13-P_W</f>
        <v>13</v>
      </c>
      <c r="AB70" s="282">
        <f>27-3*P_E</f>
        <v>27</v>
      </c>
      <c r="AC70" s="282">
        <f>140 - 20 * P_R</f>
        <v>140</v>
      </c>
      <c r="AD70" s="283">
        <v>18</v>
      </c>
      <c r="AE70" s="284" t="b">
        <f t="shared" ref="AE70:AE73" si="223">FALSE</f>
        <v>0</v>
      </c>
      <c r="AF70" s="285" t="e">
        <f ca="1">_xludf.Image("https://ddragon.leagueoflegends.com/cdn/11.19.1/img/champion/Lissandra.png")</f>
        <v>#NAME?</v>
      </c>
      <c r="AG70" s="282">
        <f ca="1">IFERROR(__xludf.DUMMYFUNCTION("IF(OR(REGEXMATCH(FORMULATEXT(U70),""HMOD""),NOT(P_Q&gt;0)),0,U70)+IF(OR(REGEXMATCH(FORMULATEXT(V70),""HMOD""),NOT(P_W&gt;0)),0,V70)+IF(OR(REGEXMATCH(FORMULATEXT(W70),""HMOD""),NOT(P_E&gt;0)),0,W70)+IF(OR(REGEXMATCH(FORMULATEXT(X70),""HMOD""),NOT(P_R&gt;0)),0,X70)+IF("&amp;"REGEXMATCH(FORMULATEXT(Y70),""HMOD""),0,Y70)+Self_Proc_item+Self_Proc_Summ+Self_Proc_Rune+3*Self_DPS"),120)</f>
        <v>120</v>
      </c>
      <c r="AH70" s="282">
        <f t="shared" si="8"/>
        <v>0</v>
      </c>
      <c r="AI70" s="282" t="b">
        <f t="shared" ref="AI70:AJ70" si="224">FALSE</f>
        <v>0</v>
      </c>
      <c r="AJ70" s="283" t="b">
        <f t="shared" si="224"/>
        <v>0</v>
      </c>
    </row>
    <row r="71" spans="1:36">
      <c r="A71" s="267" t="s">
        <v>256</v>
      </c>
      <c r="B71" s="287">
        <f>641</f>
        <v>641</v>
      </c>
      <c r="C71" s="287">
        <f>100</f>
        <v>100</v>
      </c>
      <c r="D71" s="288">
        <f>3.75</f>
        <v>3.75</v>
      </c>
      <c r="E71" s="289">
        <f>0.65</f>
        <v>0.65</v>
      </c>
      <c r="F71" s="288">
        <f>320</f>
        <v>320</v>
      </c>
      <c r="G71" s="288">
        <f>43</f>
        <v>43</v>
      </c>
      <c r="H71" s="288">
        <f>7</f>
        <v>7</v>
      </c>
      <c r="I71" s="289">
        <f t="shared" si="220"/>
        <v>0.8</v>
      </c>
      <c r="J71" s="290">
        <f>60</f>
        <v>60</v>
      </c>
      <c r="K71" s="288">
        <f>2.9</f>
        <v>2.9</v>
      </c>
      <c r="L71" s="291">
        <f t="shared" ref="L71:M71" si="225">0.638</f>
        <v>0.63800000000000001</v>
      </c>
      <c r="M71" s="291">
        <f t="shared" si="225"/>
        <v>0.63800000000000001</v>
      </c>
      <c r="N71" s="292">
        <f>3.3%</f>
        <v>3.3000000000000002E-2</v>
      </c>
      <c r="O71" s="287">
        <f>28</f>
        <v>28</v>
      </c>
      <c r="P71" s="287">
        <f>4.2</f>
        <v>4.2</v>
      </c>
      <c r="Q71" s="288">
        <f t="shared" si="221"/>
        <v>30</v>
      </c>
      <c r="R71" s="289">
        <f t="shared" si="222"/>
        <v>1.3</v>
      </c>
      <c r="S71" s="293">
        <f>335</f>
        <v>335</v>
      </c>
      <c r="T71" s="294">
        <f>500</f>
        <v>500</v>
      </c>
      <c r="U71" s="298" t="e">
        <f ca="1">(65 + 30 * P_Q + (0.45 + 0.15 * P_Q) * Self_BoAD) * MOD_Phys</f>
        <v>#NAME?</v>
      </c>
      <c r="V71" s="299" t="e">
        <f ca="1">(40+35*P_W+0.9*Self_AP)*MOD_Magic</f>
        <v>#NAME?</v>
      </c>
      <c r="W71" s="299">
        <f>0</f>
        <v>0</v>
      </c>
      <c r="X71" s="299" t="e">
        <f ca="1">((15 * P_R + 0.25 * Self_AD + 0.15 * Self_AP) * (22 + 25 * Self_Crit)) * MOD_Phys</f>
        <v>#NAME?</v>
      </c>
      <c r="Y71" s="300">
        <v>20</v>
      </c>
      <c r="Z71" s="281">
        <f>10 - P_Q</f>
        <v>10</v>
      </c>
      <c r="AA71" s="282">
        <f>15-P_W</f>
        <v>15</v>
      </c>
      <c r="AB71" s="282">
        <f>24-2*P_E</f>
        <v>24</v>
      </c>
      <c r="AC71" s="282">
        <f>120-10*P_R</f>
        <v>120</v>
      </c>
      <c r="AD71" s="283">
        <f t="shared" ref="AD71:AD73" si="226">1</f>
        <v>1</v>
      </c>
      <c r="AE71" s="284" t="b">
        <f t="shared" si="223"/>
        <v>0</v>
      </c>
      <c r="AF71" s="285" t="e">
        <f ca="1">_xludf.Image("https://ddragon.leagueoflegends.com/cdn/11.19.1/img/champion/Lucian.png")</f>
        <v>#NAME?</v>
      </c>
      <c r="AG71" s="282">
        <f ca="1">IFERROR(__xludf.DUMMYFUNCTION("IF(OR(REGEXMATCH(FORMULATEXT(U71),""HMOD""),NOT(P_Q&gt;0)),0,U71)+IF(OR(REGEXMATCH(FORMULATEXT(V71),""HMOD""),NOT(P_W&gt;0)),0,V71)+IF(OR(REGEXMATCH(FORMULATEXT(W71),""HMOD""),NOT(P_E&gt;0)),0,W71)+IF(OR(REGEXMATCH(FORMULATEXT(X71),""HMOD""),NOT(P_R&gt;0)),0,X71)+IF("&amp;"REGEXMATCH(FORMULATEXT(Y71),""HMOD""),0,Y71)+Self_Proc_item+Self_Proc_Summ+Self_Proc_Rune+3*Self_DPS"),20)</f>
        <v>20</v>
      </c>
      <c r="AH71" s="282">
        <f t="shared" si="8"/>
        <v>0</v>
      </c>
      <c r="AI71" s="282" t="b">
        <f t="shared" ref="AI71:AJ71" si="227">FALSE</f>
        <v>0</v>
      </c>
      <c r="AJ71" s="283" t="b">
        <f t="shared" si="227"/>
        <v>0</v>
      </c>
    </row>
    <row r="72" spans="1:36">
      <c r="A72" s="267" t="s">
        <v>257</v>
      </c>
      <c r="B72" s="287">
        <f>595</f>
        <v>595</v>
      </c>
      <c r="C72" s="287">
        <f>88</f>
        <v>88</v>
      </c>
      <c r="D72" s="288">
        <f>6</f>
        <v>6</v>
      </c>
      <c r="E72" s="289">
        <f>0.6</f>
        <v>0.6</v>
      </c>
      <c r="F72" s="288">
        <f>350</f>
        <v>350</v>
      </c>
      <c r="G72" s="288">
        <f>55</f>
        <v>55</v>
      </c>
      <c r="H72" s="288">
        <f>11</f>
        <v>11</v>
      </c>
      <c r="I72" s="289">
        <f>0.6</f>
        <v>0.6</v>
      </c>
      <c r="J72" s="290">
        <f>47</f>
        <v>47</v>
      </c>
      <c r="K72" s="288">
        <f>2.6</f>
        <v>2.6</v>
      </c>
      <c r="L72" s="291">
        <f t="shared" ref="L72:M72" si="228">0.625</f>
        <v>0.625</v>
      </c>
      <c r="M72" s="291">
        <f t="shared" si="228"/>
        <v>0.625</v>
      </c>
      <c r="N72" s="292">
        <f>2.25%</f>
        <v>2.2499999999999999E-2</v>
      </c>
      <c r="O72" s="287">
        <f>26</f>
        <v>26</v>
      </c>
      <c r="P72" s="287">
        <f>4.9</f>
        <v>4.9000000000000004</v>
      </c>
      <c r="Q72" s="288">
        <f t="shared" si="221"/>
        <v>30</v>
      </c>
      <c r="R72" s="289">
        <f t="shared" si="222"/>
        <v>1.3</v>
      </c>
      <c r="S72" s="293">
        <f t="shared" ref="S72:S73" si="229">330</f>
        <v>330</v>
      </c>
      <c r="T72" s="294">
        <f t="shared" ref="T72:T73" si="230">550</f>
        <v>550</v>
      </c>
      <c r="U72" s="295" t="e">
        <f ca="1">(35+35*P_Q+0.5*Self_AP)*MOD_Magic*IF(Steroid_Q,1.25,1)</f>
        <v>#NAME?</v>
      </c>
      <c r="V72" s="296">
        <f>0</f>
        <v>0</v>
      </c>
      <c r="W72" s="296" t="e">
        <f ca="1">IF(Interface!L8="Heal",(35+40*P_E+0.55*Self_AP)*MOD_Heal,(40+40*P_E+0.4*Self_AP)*MOD_Magic)</f>
        <v>#NAME?</v>
      </c>
      <c r="X72" s="296">
        <f>(125+150*P_R+0.45*Self_AP)</f>
        <v>125</v>
      </c>
      <c r="Y72" s="297" t="e">
        <f ca="1">(3+6*Self_Level+0.15*Self_AP)*MOD_Magic</f>
        <v>#NAME?</v>
      </c>
      <c r="Z72" s="281">
        <f>7</f>
        <v>7</v>
      </c>
      <c r="AA72" s="282">
        <f>17.5 - 0.5 * P_W</f>
        <v>17.5</v>
      </c>
      <c r="AB72" s="282">
        <f>8</f>
        <v>8</v>
      </c>
      <c r="AC72" s="282">
        <f>140 - 20 * P_R</f>
        <v>140</v>
      </c>
      <c r="AD72" s="283">
        <f t="shared" si="226"/>
        <v>1</v>
      </c>
      <c r="AE72" s="284" t="b">
        <f t="shared" si="223"/>
        <v>0</v>
      </c>
      <c r="AF72" s="285" t="e">
        <f ca="1">_xludf.Image("https://ddragon.leagueoflegends.com/cdn/11.19.1/img/champion/Lulu.png")</f>
        <v>#NAME?</v>
      </c>
      <c r="AG72" s="282">
        <f ca="1">IFERROR(__xludf.DUMMYFUNCTION("IF(OR(REGEXMATCH(FORMULATEXT(U72),""HMOD""),NOT(P_Q&gt;0)),0,U72)+IF(OR(REGEXMATCH(FORMULATEXT(V72),""HMOD""),NOT(P_W&gt;0)),0,V72)+IF(OR(REGEXMATCH(FORMULATEXT(W72),""HMOD""),NOT(P_E&gt;0)),0,W72)+IF(OR(REGEXMATCH(FORMULATEXT(X72),""HMOD""),NOT(P_R&gt;0)),0,X72)+IF("&amp;"REGEXMATCH(FORMULATEXT(Y72),""HMOD""),0,Y72)+Self_Proc_item+Self_Proc_Summ+Self_Proc_Rune+3*Self_DPS"),9)</f>
        <v>9</v>
      </c>
      <c r="AH72" s="282">
        <f t="shared" si="8"/>
        <v>0</v>
      </c>
      <c r="AI72" s="282" t="b">
        <f t="shared" ref="AI72:AJ72" si="231">FALSE</f>
        <v>0</v>
      </c>
      <c r="AJ72" s="283" t="b">
        <f t="shared" si="231"/>
        <v>0</v>
      </c>
    </row>
    <row r="73" spans="1:36">
      <c r="A73" s="267" t="s">
        <v>258</v>
      </c>
      <c r="B73" s="287">
        <f>560</f>
        <v>560</v>
      </c>
      <c r="C73" s="287">
        <f>99</f>
        <v>99</v>
      </c>
      <c r="D73" s="288">
        <f>5.5</f>
        <v>5.5</v>
      </c>
      <c r="E73" s="289">
        <f t="shared" ref="E73:E74" si="232">0.55</f>
        <v>0.55000000000000004</v>
      </c>
      <c r="F73" s="288">
        <f>480</f>
        <v>480</v>
      </c>
      <c r="G73" s="288">
        <f>23.5</f>
        <v>23.5</v>
      </c>
      <c r="H73" s="288">
        <f>8</f>
        <v>8</v>
      </c>
      <c r="I73" s="289">
        <f>0.8</f>
        <v>0.8</v>
      </c>
      <c r="J73" s="290">
        <f>54</f>
        <v>54</v>
      </c>
      <c r="K73" s="288">
        <f>3.3</f>
        <v>3.3</v>
      </c>
      <c r="L73" s="291">
        <f>0.669</f>
        <v>0.66900000000000004</v>
      </c>
      <c r="M73" s="291">
        <f>0.625</f>
        <v>0.625</v>
      </c>
      <c r="N73" s="292">
        <f>2%</f>
        <v>0.02</v>
      </c>
      <c r="O73" s="287">
        <f>19</f>
        <v>19</v>
      </c>
      <c r="P73" s="287">
        <f>5.2</f>
        <v>5.2</v>
      </c>
      <c r="Q73" s="288">
        <f t="shared" si="221"/>
        <v>30</v>
      </c>
      <c r="R73" s="289">
        <f t="shared" si="222"/>
        <v>1.3</v>
      </c>
      <c r="S73" s="293">
        <f t="shared" si="229"/>
        <v>330</v>
      </c>
      <c r="T73" s="294">
        <f t="shared" si="230"/>
        <v>550</v>
      </c>
      <c r="U73" s="298" t="e">
        <f ca="1">(40 + 40 * P_Q + 0.6 * Self_AP) * MOD_Magic</f>
        <v>#NAME?</v>
      </c>
      <c r="V73" s="299">
        <f>(50+30*P_W+0.7*Self_AP)*MOD_Heal</f>
        <v>50</v>
      </c>
      <c r="W73" s="299" t="e">
        <f ca="1">(20 + 50 * P_E + 0.8 * Self_AP) * MOD_Magic</f>
        <v>#NAME?</v>
      </c>
      <c r="X73" s="299" t="e">
        <f ca="1">(200+100*P_R+Self_AP*1.2)*MOD_Magic</f>
        <v>#NAME?</v>
      </c>
      <c r="Y73" s="300" t="e">
        <f ca="1">(10+10*Self_Level+0.2*Self_AP)*MOD_Magic</f>
        <v>#NAME?</v>
      </c>
      <c r="Z73" s="281">
        <f>11</f>
        <v>11</v>
      </c>
      <c r="AA73" s="282">
        <f>15-P_W</f>
        <v>15</v>
      </c>
      <c r="AB73" s="282">
        <f>10.5-0.5*P_E</f>
        <v>10.5</v>
      </c>
      <c r="AC73" s="282">
        <f>70 - 10 * P_R</f>
        <v>70</v>
      </c>
      <c r="AD73" s="283">
        <f t="shared" si="226"/>
        <v>1</v>
      </c>
      <c r="AE73" s="284" t="b">
        <f t="shared" si="223"/>
        <v>0</v>
      </c>
      <c r="AF73" s="285" t="e">
        <f ca="1">_xludf.Image("https://ddragon.leagueoflegends.com/cdn/11.19.1/img/champion/Lux.png")</f>
        <v>#NAME?</v>
      </c>
      <c r="AG73" s="282">
        <f ca="1">IFERROR(__xludf.DUMMYFUNCTION("IF(OR(REGEXMATCH(FORMULATEXT(U73),""HMOD""),NOT(P_Q&gt;0)),0,U73)+IF(OR(REGEXMATCH(FORMULATEXT(V73),""HMOD""),NOT(P_W&gt;0)),0,V73)+IF(OR(REGEXMATCH(FORMULATEXT(W73),""HMOD""),NOT(P_E&gt;0)),0,W73)+IF(OR(REGEXMATCH(FORMULATEXT(X73),""HMOD""),NOT(P_R&gt;0)),0,X73)+IF("&amp;"REGEXMATCH(FORMULATEXT(Y73),""HMOD""),0,Y73)+Self_Proc_item+Self_Proc_Summ+Self_Proc_Rune+3*Self_DPS"),20)</f>
        <v>20</v>
      </c>
      <c r="AH73" s="282">
        <f t="shared" si="8"/>
        <v>0</v>
      </c>
      <c r="AI73" s="282" t="b">
        <f t="shared" ref="AI73:AJ73" si="233">FALSE</f>
        <v>0</v>
      </c>
      <c r="AJ73" s="283" t="b">
        <f t="shared" si="233"/>
        <v>0</v>
      </c>
    </row>
    <row r="74" spans="1:36">
      <c r="A74" s="267" t="s">
        <v>259</v>
      </c>
      <c r="B74" s="287">
        <f>644</f>
        <v>644</v>
      </c>
      <c r="C74" s="287">
        <f>104</f>
        <v>104</v>
      </c>
      <c r="D74" s="288">
        <f>7</f>
        <v>7</v>
      </c>
      <c r="E74" s="289">
        <f t="shared" si="232"/>
        <v>0.55000000000000004</v>
      </c>
      <c r="F74" s="288">
        <f>282</f>
        <v>282</v>
      </c>
      <c r="G74" s="288">
        <f>60</f>
        <v>60</v>
      </c>
      <c r="H74" s="288">
        <f>7.3</f>
        <v>7.3</v>
      </c>
      <c r="I74" s="289">
        <f>0.55</f>
        <v>0.55000000000000004</v>
      </c>
      <c r="J74" s="290">
        <f>62</f>
        <v>62</v>
      </c>
      <c r="K74" s="288">
        <f>3.38</f>
        <v>3.38</v>
      </c>
      <c r="L74" s="291">
        <f>0.736</f>
        <v>0.73599999999999999</v>
      </c>
      <c r="M74" s="291">
        <f>0.638</f>
        <v>0.63800000000000001</v>
      </c>
      <c r="N74" s="292">
        <f>3.4%</f>
        <v>3.4000000000000002E-2</v>
      </c>
      <c r="O74" s="287">
        <f>37</f>
        <v>37</v>
      </c>
      <c r="P74" s="287">
        <f>4.95</f>
        <v>4.95</v>
      </c>
      <c r="Q74" s="288">
        <f>28</f>
        <v>28</v>
      </c>
      <c r="R74" s="289">
        <f>2.05</f>
        <v>2.0499999999999998</v>
      </c>
      <c r="S74" s="293">
        <f t="shared" ref="S74:S76" si="234">335</f>
        <v>335</v>
      </c>
      <c r="T74" s="294">
        <f>125</f>
        <v>125</v>
      </c>
      <c r="U74" s="295" t="e">
        <f ca="1">(20+50*P_Q+0.6*Self_AP)*MOD_Magic</f>
        <v>#NAME?</v>
      </c>
      <c r="V74" s="296" t="e">
        <f ca="1">(20 + 10 * P_W + 0.3 * Self_AP + 0.15 * Self_AR) * MOD_Phys</f>
        <v>#NAME?</v>
      </c>
      <c r="W74" s="296" t="e">
        <f ca="1">(30 + 40 * P_E + 0.6 * Self_AP + 0.4 * Self_AR)*MOD_Magic</f>
        <v>#NAME?</v>
      </c>
      <c r="X74" s="296" t="e">
        <f ca="1">(100 + 100 * P_R + 0.9 * Self_AP) * MOD_Magic</f>
        <v>#NAME?</v>
      </c>
      <c r="Y74" s="297">
        <f>0.09 * Self_MHP * MOD_Heal</f>
        <v>0</v>
      </c>
      <c r="Z74" s="281">
        <f>8</f>
        <v>8</v>
      </c>
      <c r="AA74" s="282">
        <f>10.5-0.5*P_W</f>
        <v>10.5</v>
      </c>
      <c r="AB74" s="282">
        <f>7</f>
        <v>7</v>
      </c>
      <c r="AC74" s="282">
        <f>155-25*P_R</f>
        <v>155</v>
      </c>
      <c r="AD74" s="283">
        <v>8</v>
      </c>
      <c r="AE74" s="284" t="b">
        <f>TRUE</f>
        <v>1</v>
      </c>
      <c r="AF74" s="285" t="e">
        <f ca="1">_xludf.Image("https://ddragon.leagueoflegends.com/cdn/11.19.1/img/champion/Malphite.png")</f>
        <v>#NAME?</v>
      </c>
      <c r="AG74" s="282">
        <f ca="1">IFERROR(__xludf.DUMMYFUNCTION("IF(OR(REGEXMATCH(FORMULATEXT(U74),""HMOD""),NOT(P_Q&gt;0)),0,U74)+IF(OR(REGEXMATCH(FORMULATEXT(V74),""HMOD""),NOT(P_W&gt;0)),0,V74)+IF(OR(REGEXMATCH(FORMULATEXT(W74),""HMOD""),NOT(P_E&gt;0)),0,W74)+IF(OR(REGEXMATCH(FORMULATEXT(X74),""HMOD""),NOT(P_R&gt;0)),0,X74)+IF("&amp;"REGEXMATCH(FORMULATEXT(Y74),""HMOD""),0,Y74)+Self_Proc_item+Self_Proc_Summ+Self_Proc_Rune+3*Self_DPS"),0)</f>
        <v>0</v>
      </c>
      <c r="AH74" s="282">
        <f t="shared" si="8"/>
        <v>0</v>
      </c>
      <c r="AI74" s="282" t="b">
        <f t="shared" ref="AI74:AJ74" si="235">FALSE</f>
        <v>0</v>
      </c>
      <c r="AJ74" s="283" t="b">
        <f t="shared" si="235"/>
        <v>0</v>
      </c>
    </row>
    <row r="75" spans="1:36">
      <c r="A75" s="267" t="s">
        <v>260</v>
      </c>
      <c r="B75" s="287">
        <f>580</f>
        <v>580</v>
      </c>
      <c r="C75" s="287">
        <f>101</f>
        <v>101</v>
      </c>
      <c r="D75" s="288">
        <f>6</f>
        <v>6</v>
      </c>
      <c r="E75" s="289">
        <f>0.6</f>
        <v>0.6</v>
      </c>
      <c r="F75" s="288">
        <f t="shared" ref="F75:F76" si="236">375</f>
        <v>375</v>
      </c>
      <c r="G75" s="288">
        <f>27.5</f>
        <v>27.5</v>
      </c>
      <c r="H75" s="288">
        <f>8</f>
        <v>8</v>
      </c>
      <c r="I75" s="289">
        <f>0.8</f>
        <v>0.8</v>
      </c>
      <c r="J75" s="290">
        <f>55</f>
        <v>55</v>
      </c>
      <c r="K75" s="288">
        <f>3</f>
        <v>3</v>
      </c>
      <c r="L75" s="291">
        <f t="shared" ref="L75:M75" si="237">0.625</f>
        <v>0.625</v>
      </c>
      <c r="M75" s="291">
        <f t="shared" si="237"/>
        <v>0.625</v>
      </c>
      <c r="N75" s="292">
        <f>1.5%</f>
        <v>1.4999999999999999E-2</v>
      </c>
      <c r="O75" s="287">
        <f>18</f>
        <v>18</v>
      </c>
      <c r="P75" s="287">
        <f>4.7</f>
        <v>4.7</v>
      </c>
      <c r="Q75" s="288">
        <f>30</f>
        <v>30</v>
      </c>
      <c r="R75" s="289">
        <f>1.3</f>
        <v>1.3</v>
      </c>
      <c r="S75" s="293">
        <f t="shared" si="234"/>
        <v>335</v>
      </c>
      <c r="T75" s="294">
        <f>500</f>
        <v>500</v>
      </c>
      <c r="U75" s="298" t="e">
        <f ca="1">(35 + 35 * P_Q + 0.55 * Self_AP)  *MOD_Magic</f>
        <v>#NAME?</v>
      </c>
      <c r="V75" s="299" t="e">
        <f ca="1">(10+2*P_W+1.5+3.5*Self_Level+0.2*Self_AP+0.4*Self_BoAD)*MOD_Magic</f>
        <v>#NAME?</v>
      </c>
      <c r="W75" s="299" t="e">
        <f ca="1">(45+35*P_E+0.8*Self_AP)*MOD_Magic</f>
        <v>#NAME?</v>
      </c>
      <c r="X75" s="299" t="e">
        <f ca="1">(50+75*P_R+0.8*Self_AP+(0.05+0.05*P_R+0.00025*Self_AP)*E_MHP)*MOD_Magic</f>
        <v>#NAME?</v>
      </c>
      <c r="Y75" s="300">
        <f>0</f>
        <v>0</v>
      </c>
      <c r="Z75" s="281">
        <f>6</f>
        <v>6</v>
      </c>
      <c r="AA75" s="282">
        <f>8</f>
        <v>8</v>
      </c>
      <c r="AB75" s="282">
        <f>17-2*P_E</f>
        <v>17</v>
      </c>
      <c r="AC75" s="282">
        <f>170-30*P_R</f>
        <v>170</v>
      </c>
      <c r="AD75" s="283">
        <v>30</v>
      </c>
      <c r="AE75" s="284" t="b">
        <f>FALSE</f>
        <v>0</v>
      </c>
      <c r="AF75" s="285" t="e">
        <f ca="1">_xludf.Image("https://ddragon.leagueoflegends.com/cdn/11.19.1/img/champion/Malzahar.png")</f>
        <v>#NAME?</v>
      </c>
      <c r="AG75" s="282">
        <f ca="1">IFERROR(__xludf.DUMMYFUNCTION("IF(OR(REGEXMATCH(FORMULATEXT(U75),""HMOD""),NOT(P_Q&gt;0)),0,U75)+IF(OR(REGEXMATCH(FORMULATEXT(V75),""HMOD""),NOT(P_W&gt;0)),0,V75)+IF(OR(REGEXMATCH(FORMULATEXT(W75),""HMOD""),NOT(P_E&gt;0)),0,W75)+IF(OR(REGEXMATCH(FORMULATEXT(X75),""HMOD""),NOT(P_R&gt;0)),0,X75)+IF("&amp;"REGEXMATCH(FORMULATEXT(Y75),""HMOD""),0,Y75)+Self_Proc_item+Self_Proc_Summ+Self_Proc_Rune+3*Self_DPS"),0)</f>
        <v>0</v>
      </c>
      <c r="AH75" s="282">
        <f t="shared" si="8"/>
        <v>0</v>
      </c>
      <c r="AI75" s="282" t="b">
        <f t="shared" ref="AI75:AJ75" si="238">FALSE</f>
        <v>0</v>
      </c>
      <c r="AJ75" s="283" t="b">
        <f t="shared" si="238"/>
        <v>0</v>
      </c>
    </row>
    <row r="76" spans="1:36">
      <c r="A76" s="267" t="s">
        <v>261</v>
      </c>
      <c r="B76" s="287">
        <f>635</f>
        <v>635</v>
      </c>
      <c r="C76" s="287">
        <f>109</f>
        <v>109</v>
      </c>
      <c r="D76" s="288">
        <f>5</f>
        <v>5</v>
      </c>
      <c r="E76" s="289">
        <f>0.75</f>
        <v>0.75</v>
      </c>
      <c r="F76" s="288">
        <f t="shared" si="236"/>
        <v>375</v>
      </c>
      <c r="G76" s="288">
        <f>43</f>
        <v>43</v>
      </c>
      <c r="H76" s="288">
        <f>7.2</f>
        <v>7.2</v>
      </c>
      <c r="I76" s="289">
        <f>0.6</f>
        <v>0.6</v>
      </c>
      <c r="J76" s="290">
        <f>64</f>
        <v>64</v>
      </c>
      <c r="K76" s="288">
        <f>3.3</f>
        <v>3.3</v>
      </c>
      <c r="L76" s="291">
        <f>0.8</f>
        <v>0.8</v>
      </c>
      <c r="M76" s="291">
        <f>0.695</f>
        <v>0.69499999999999995</v>
      </c>
      <c r="N76" s="292">
        <f>2.125%</f>
        <v>2.1250000000000002E-2</v>
      </c>
      <c r="O76" s="287">
        <f>39</f>
        <v>39</v>
      </c>
      <c r="P76" s="287">
        <f>5.2</f>
        <v>5.2</v>
      </c>
      <c r="Q76" s="288">
        <f t="shared" ref="Q76:Q77" si="239">32</f>
        <v>32</v>
      </c>
      <c r="R76" s="289">
        <f t="shared" ref="R76:R77" si="240">2.05</f>
        <v>2.0499999999999998</v>
      </c>
      <c r="S76" s="293">
        <f t="shared" si="234"/>
        <v>335</v>
      </c>
      <c r="T76" s="294">
        <f>125</f>
        <v>125</v>
      </c>
      <c r="U76" s="295" t="e">
        <f ca="1">(20 + 50 * P_Q + 0.4 * Self_AP + (0.015 + 0.005 * P_Q) * E_MHP)*MOD_Magic</f>
        <v>#NAME?</v>
      </c>
      <c r="V76" s="296" t="e">
        <f ca="1">(35 + 25 * P_W + 0.4 * Self_AP) * MOD_Magic</f>
        <v>#NAME?</v>
      </c>
      <c r="W76" s="296" t="e">
        <f ca="1">(25 + 25 * P_E + 0.05 * Self_BoHP + 0.25 * Self_AP) * MOD_Magic * IF(Steroid_E, 2, 1)</f>
        <v>#NAME?</v>
      </c>
      <c r="X76" s="296" t="e">
        <f ca="1">(75+75*P_R+0.75*Self_AP)*MOD_Magic</f>
        <v>#NAME?</v>
      </c>
      <c r="Y76" s="297">
        <f>IF(Self_Level &gt;= 17, 34 + 0.12 * Self_MHP,IF(Self_Level &gt;= 15, 29 + 0.1 * Self_MHP, IF(Self_Level &gt;= 13, 24 + 0.09 * Self_MHP, IF(Self_Level &gt; 11, 19 + 0.075 * Self_MHP, IF(Self_Level &gt;= 9, 14 + 0.065 * Self_MHP, IF(Self_Level &gt;= 6, 9 + 0.05 * Self_MHP, 4 + 0.04 * Self_MHP)))))) * MOD_Heal</f>
        <v>4</v>
      </c>
      <c r="Z76" s="281">
        <f>8.75-0.75*P_Q</f>
        <v>8.75</v>
      </c>
      <c r="AA76" s="282">
        <f>14-P_W</f>
        <v>14</v>
      </c>
      <c r="AB76" s="282">
        <f>14</f>
        <v>14</v>
      </c>
      <c r="AC76" s="282">
        <f>130 - 10 * P_R</f>
        <v>130</v>
      </c>
      <c r="AD76" s="283">
        <f>30</f>
        <v>30</v>
      </c>
      <c r="AE76" s="284" t="b">
        <f t="shared" ref="AE76:AE77" si="241">TRUE</f>
        <v>1</v>
      </c>
      <c r="AF76" s="285" t="e">
        <f ca="1">_xludf.Image("https://ddragon.leagueoflegends.com/cdn/11.19.1/img/champion/Maokai.png")</f>
        <v>#NAME?</v>
      </c>
      <c r="AG76" s="282">
        <f ca="1">IFERROR(__xludf.DUMMYFUNCTION("IF(OR(REGEXMATCH(FORMULATEXT(U76),""HMOD""),NOT(P_Q&gt;0)),0,U76)+IF(OR(REGEXMATCH(FORMULATEXT(V76),""HMOD""),NOT(P_W&gt;0)),0,V76)+IF(OR(REGEXMATCH(FORMULATEXT(W76),""HMOD""),NOT(P_E&gt;0)),0,W76)+IF(OR(REGEXMATCH(FORMULATEXT(X76),""HMOD""),NOT(P_R&gt;0)),0,X76)+IF("&amp;"REGEXMATCH(FORMULATEXT(Y76),""HMOD""),0,Y76)+Self_Proc_item+Self_Proc_Summ+Self_Proc_Rune+3*Self_DPS"),4)</f>
        <v>4</v>
      </c>
      <c r="AH76" s="282">
        <f t="shared" si="8"/>
        <v>0</v>
      </c>
      <c r="AI76" s="282" t="b">
        <f t="shared" ref="AI76:AJ76" si="242">FALSE</f>
        <v>0</v>
      </c>
      <c r="AJ76" s="283" t="b">
        <f t="shared" si="242"/>
        <v>0</v>
      </c>
    </row>
    <row r="77" spans="1:36">
      <c r="A77" s="267" t="s">
        <v>262</v>
      </c>
      <c r="B77" s="287">
        <f>669</f>
        <v>669</v>
      </c>
      <c r="C77" s="287">
        <f>100</f>
        <v>100</v>
      </c>
      <c r="D77" s="288">
        <f>7.5</f>
        <v>7.5</v>
      </c>
      <c r="E77" s="289">
        <f t="shared" ref="E77:E78" si="243">0.65</f>
        <v>0.65</v>
      </c>
      <c r="F77" s="288">
        <f>251</f>
        <v>251</v>
      </c>
      <c r="G77" s="288">
        <f>42</f>
        <v>42</v>
      </c>
      <c r="H77" s="288">
        <f>7.3</f>
        <v>7.3</v>
      </c>
      <c r="I77" s="289">
        <f>0.45</f>
        <v>0.45</v>
      </c>
      <c r="J77" s="290">
        <f>65</f>
        <v>65</v>
      </c>
      <c r="K77" s="288">
        <f>2.2</f>
        <v>2.2000000000000002</v>
      </c>
      <c r="L77" s="291">
        <f t="shared" ref="L77:M77" si="244">0.679</f>
        <v>0.67900000000000005</v>
      </c>
      <c r="M77" s="291">
        <f t="shared" si="244"/>
        <v>0.67900000000000005</v>
      </c>
      <c r="N77" s="292">
        <f>2%</f>
        <v>0.02</v>
      </c>
      <c r="O77" s="287">
        <f>33</f>
        <v>33</v>
      </c>
      <c r="P77" s="287">
        <f t="shared" ref="P77:P79" si="245">4.2</f>
        <v>4.2</v>
      </c>
      <c r="Q77" s="288">
        <f t="shared" si="239"/>
        <v>32</v>
      </c>
      <c r="R77" s="289">
        <f t="shared" si="240"/>
        <v>2.0499999999999998</v>
      </c>
      <c r="S77" s="293">
        <f>355</f>
        <v>355</v>
      </c>
      <c r="T77" s="294">
        <f>175</f>
        <v>175</v>
      </c>
      <c r="U77" s="298" t="e">
        <f ca="1">(((30 * P_Q + 0.5 * Self_AD) * (1 + (Self_Crit * ((Self_CritDMG - 1) * (7/15) + IT_CDMG)))) * MOD_Phys) * IF(Steroid_Q, 1.75, 1) + (OH_Phys + OH_Magic + OH_True) * IF(Steroid_Q, 1.3125, 0.75)</f>
        <v>#NAME?</v>
      </c>
      <c r="V77" s="299">
        <f>(40+80*P_W+Self_AP)*MOD_Heal*(1+(1-(Self_CHPP/100)))</f>
        <v>40</v>
      </c>
      <c r="W77" s="299">
        <f>(25 + 5 * P_E + 0.3 * Self_BoAD) * Calc!O10</f>
        <v>25</v>
      </c>
      <c r="X77" s="299">
        <f>0</f>
        <v>0</v>
      </c>
      <c r="Y77" s="300" t="e">
        <f ca="1">0.5*MOD_Phys*Self_AD*(1+Self_Crit*(Self_CritDMG-1))+(OH_Magic+OH_Phys+OH_True)</f>
        <v>#NAME?</v>
      </c>
      <c r="Z77" s="281">
        <f>20.5-0.5*P_Q</f>
        <v>20.5</v>
      </c>
      <c r="AA77" s="282">
        <f>9</f>
        <v>9</v>
      </c>
      <c r="AB77" s="282">
        <f>18</f>
        <v>18</v>
      </c>
      <c r="AC77" s="282">
        <f>85</f>
        <v>85</v>
      </c>
      <c r="AD77" s="283">
        <f t="shared" ref="AD77:AD82" si="246">1</f>
        <v>1</v>
      </c>
      <c r="AE77" s="284" t="b">
        <f t="shared" si="241"/>
        <v>1</v>
      </c>
      <c r="AF77" s="285" t="e">
        <f ca="1">_xludf.Image("https://ddragon.leagueoflegends.com/cdn/11.19.1/img/champion/MasterYi.png")</f>
        <v>#NAME?</v>
      </c>
      <c r="AG77" s="282">
        <f ca="1">IFERROR(__xludf.DUMMYFUNCTION("IF(OR(REGEXMATCH(FORMULATEXT(U77),""HMOD""),NOT(P_Q&gt;0)),0,U77)+IF(OR(REGEXMATCH(FORMULATEXT(V77),""HMOD""),NOT(P_W&gt;0)),0,V77)+IF(OR(REGEXMATCH(FORMULATEXT(W77),""HMOD""),NOT(P_E&gt;0)),0,W77)+IF(OR(REGEXMATCH(FORMULATEXT(X77),""HMOD""),NOT(P_R&gt;0)),0,X77)+IF("&amp;"REGEXMATCH(FORMULATEXT(Y77),""HMOD""),0,Y77)+Self_Proc_item+Self_Proc_Summ+Self_Proc_Rune+3*Self_DPS"),0)</f>
        <v>0</v>
      </c>
      <c r="AH77" s="282">
        <f t="shared" si="8"/>
        <v>0</v>
      </c>
      <c r="AI77" s="282" t="b">
        <f t="shared" ref="AI77:AJ77" si="247">FALSE</f>
        <v>0</v>
      </c>
      <c r="AJ77" s="283" t="b">
        <f t="shared" si="247"/>
        <v>0</v>
      </c>
    </row>
    <row r="78" spans="1:36">
      <c r="A78" s="267" t="s">
        <v>263</v>
      </c>
      <c r="B78" s="287">
        <f>640</f>
        <v>640</v>
      </c>
      <c r="C78" s="287">
        <f>103</f>
        <v>103</v>
      </c>
      <c r="D78" s="288">
        <f>3.75</f>
        <v>3.75</v>
      </c>
      <c r="E78" s="289">
        <f t="shared" si="243"/>
        <v>0.65</v>
      </c>
      <c r="F78" s="288">
        <f>300</f>
        <v>300</v>
      </c>
      <c r="G78" s="288">
        <f>40</f>
        <v>40</v>
      </c>
      <c r="H78" s="288">
        <f>8</f>
        <v>8</v>
      </c>
      <c r="I78" s="289">
        <f>0.8</f>
        <v>0.8</v>
      </c>
      <c r="J78" s="290">
        <f>52</f>
        <v>52</v>
      </c>
      <c r="K78" s="288">
        <f>2.4</f>
        <v>2.4</v>
      </c>
      <c r="L78" s="291">
        <f t="shared" ref="L78:M78" si="248">0.656</f>
        <v>0.65600000000000003</v>
      </c>
      <c r="M78" s="291">
        <f t="shared" si="248"/>
        <v>0.65600000000000003</v>
      </c>
      <c r="N78" s="292">
        <f>3%</f>
        <v>0.03</v>
      </c>
      <c r="O78" s="287">
        <f>28</f>
        <v>28</v>
      </c>
      <c r="P78" s="287">
        <f t="shared" si="245"/>
        <v>4.2</v>
      </c>
      <c r="Q78" s="288">
        <f>30</f>
        <v>30</v>
      </c>
      <c r="R78" s="289">
        <f>1.3</f>
        <v>1.3</v>
      </c>
      <c r="S78" s="293">
        <f>325</f>
        <v>325</v>
      </c>
      <c r="T78" s="294">
        <f>550</f>
        <v>550</v>
      </c>
      <c r="U78" s="295" t="e">
        <f ca="1">((-5 + 25 * P_Q + Self_AD + 0.35 * Self_AP) * IF(Steroid_Q, Self_CritDMG, (1 + Self_Crit * (Self_CritDMG - 1)))) * MOD_Phys</f>
        <v>#NAME?</v>
      </c>
      <c r="V78" s="296">
        <f t="shared" ref="V78:V79" si="249">0</f>
        <v>0</v>
      </c>
      <c r="W78" s="296" t="e">
        <f ca="1">(40 + 30 * P_E + 1.2 * Self_AP) * MOD_Magic</f>
        <v>#NAME?</v>
      </c>
      <c r="X78" s="296" t="e">
        <f ca="1">(((0.75 * Self_AD + 0.25 * Self_AP) * (1 + 0.2 * Self_Crit * (Self_CritDMG - 1))) * (12 + 2 * P_R)) * MOD_Phys</f>
        <v>#NAME?</v>
      </c>
      <c r="Y78" s="297" t="e">
        <f ca="1">IF(Self_Level&gt;=13,2*Self_AD,IF(Self_Level&gt;=11,1.9*Self_AD,IF(Self_Level&gt;=9,1.8*Self_AD,IF(Self_Level&gt;=7,1.7*Self_AD,IF(Self_Level&gt;=4,1.6*Self_AD,1.5*Self_AD)))))*MOD_Phys</f>
        <v>#NAME?</v>
      </c>
      <c r="Z78" s="281">
        <f>8-P_Q</f>
        <v>8</v>
      </c>
      <c r="AA78" s="282">
        <f>12</f>
        <v>12</v>
      </c>
      <c r="AB78" s="282">
        <f>19-P_E</f>
        <v>19</v>
      </c>
      <c r="AC78" s="282">
        <f>130 - 10 * P_R</f>
        <v>130</v>
      </c>
      <c r="AD78" s="283">
        <f t="shared" si="246"/>
        <v>1</v>
      </c>
      <c r="AE78" s="284" t="b">
        <f>FALSE</f>
        <v>0</v>
      </c>
      <c r="AF78" s="285" t="e">
        <f ca="1">_xludf.Image("https://ddragon.leagueoflegends.com/cdn/11.19.1/img/champion/MissFortune.png")</f>
        <v>#NAME?</v>
      </c>
      <c r="AG78" s="282">
        <f ca="1">IFERROR(__xludf.DUMMYFUNCTION("IF(OR(REGEXMATCH(FORMULATEXT(U78),""HMOD""),NOT(P_Q&gt;0)),0,U78)+IF(OR(REGEXMATCH(FORMULATEXT(V78),""HMOD""),NOT(P_W&gt;0)),0,V78)+IF(OR(REGEXMATCH(FORMULATEXT(W78),""HMOD""),NOT(P_E&gt;0)),0,W78)+IF(OR(REGEXMATCH(FORMULATEXT(X78),""HMOD""),NOT(P_R&gt;0)),0,X78)+IF("&amp;"REGEXMATCH(FORMULATEXT(Y78),""HMOD""),0,Y78)+Self_Proc_item+Self_Proc_Summ+Self_Proc_Rune+3*Self_DPS"),0)</f>
        <v>0</v>
      </c>
      <c r="AH78" s="282">
        <f t="shared" si="8"/>
        <v>0</v>
      </c>
      <c r="AI78" s="282" t="b">
        <f t="shared" ref="AI78:AJ78" si="250">FALSE</f>
        <v>0</v>
      </c>
      <c r="AJ78" s="283" t="b">
        <f t="shared" si="250"/>
        <v>0</v>
      </c>
    </row>
    <row r="79" spans="1:36">
      <c r="A79" s="267" t="s">
        <v>264</v>
      </c>
      <c r="B79" s="287">
        <f>645</f>
        <v>645</v>
      </c>
      <c r="C79" s="287">
        <f t="shared" ref="C79:C80" si="251">104</f>
        <v>104</v>
      </c>
      <c r="D79" s="288">
        <f>4</f>
        <v>4</v>
      </c>
      <c r="E79" s="289">
        <f>0.75</f>
        <v>0.75</v>
      </c>
      <c r="F79" s="288">
        <f t="shared" ref="F79:I79" si="252">0</f>
        <v>0</v>
      </c>
      <c r="G79" s="288">
        <f t="shared" si="252"/>
        <v>0</v>
      </c>
      <c r="H79" s="288">
        <f t="shared" si="252"/>
        <v>0</v>
      </c>
      <c r="I79" s="289">
        <f t="shared" si="252"/>
        <v>0</v>
      </c>
      <c r="J79" s="290">
        <f>61</f>
        <v>61</v>
      </c>
      <c r="K79" s="288">
        <f>4</f>
        <v>4</v>
      </c>
      <c r="L79" s="291">
        <f t="shared" ref="L79:M79" si="253">0.625</f>
        <v>0.625</v>
      </c>
      <c r="M79" s="291">
        <f t="shared" si="253"/>
        <v>0.625</v>
      </c>
      <c r="N79" s="292">
        <f>1%</f>
        <v>0.01</v>
      </c>
      <c r="O79" s="287">
        <f>37</f>
        <v>37</v>
      </c>
      <c r="P79" s="287">
        <f t="shared" si="245"/>
        <v>4.2</v>
      </c>
      <c r="Q79" s="288">
        <f>32</f>
        <v>32</v>
      </c>
      <c r="R79" s="289">
        <f>2.05</f>
        <v>2.0499999999999998</v>
      </c>
      <c r="S79" s="293">
        <f t="shared" ref="S79:S81" si="254">335</f>
        <v>335</v>
      </c>
      <c r="T79" s="294">
        <f>175</f>
        <v>175</v>
      </c>
      <c r="U79" s="298" t="e">
        <f ca="1">(0.6 * Self_AP + 20 * P_Q + 56 + 4 * Self_Level + IF(Self_Level &gt; 9, (Self_Level - 9) * 3, 0) + IF(Self_Level &gt; 11, (Self_Level - 11) * 3, 0) + IF(Self_Level &gt; 15, (Self_Level - 15) * 6, 0)) * MOD_Magic * IF(Steroid_Q, 1.35 + 0.05 * P_Q, 1)</f>
        <v>#NAME?</v>
      </c>
      <c r="V79" s="299">
        <f t="shared" si="249"/>
        <v>0</v>
      </c>
      <c r="W79" s="299" t="e">
        <f ca="1">(0.6*Self_AP+65+15*P_E)*MOD_Magic</f>
        <v>#NAME?</v>
      </c>
      <c r="X79" s="299">
        <f>0.1*E_CHPV</f>
        <v>0</v>
      </c>
      <c r="Y79" s="300" t="e">
        <f ca="1">(0.3*Self_AP+(0.01+0.04*(Self_Level-1)/17)*E_MHP+4.5+Self_Level/2)*MOD_Magic</f>
        <v>#NAME?</v>
      </c>
      <c r="Z79" s="281">
        <f>10.25-1.25*P_Q</f>
        <v>10.25</v>
      </c>
      <c r="AA79" s="282">
        <f>13-P_W</f>
        <v>13</v>
      </c>
      <c r="AB79" s="282">
        <f>20-2*P_E</f>
        <v>20</v>
      </c>
      <c r="AC79" s="282">
        <f>160 - 20 * P_R</f>
        <v>160</v>
      </c>
      <c r="AD79" s="283">
        <f t="shared" si="246"/>
        <v>1</v>
      </c>
      <c r="AE79" s="284" t="b">
        <f>TRUE</f>
        <v>1</v>
      </c>
      <c r="AF79" s="285" t="e">
        <f ca="1">_xludf.Image("https://ddragon.leagueoflegends.com/cdn/11.19.1/img/champion/Mordekaiser.png")</f>
        <v>#NAME?</v>
      </c>
      <c r="AG79" s="282">
        <f ca="1">IFERROR(__xludf.DUMMYFUNCTION("IF(OR(REGEXMATCH(FORMULATEXT(U79),""HMOD""),NOT(P_Q&gt;0)),0,U79)+IF(OR(REGEXMATCH(FORMULATEXT(V79),""HMOD""),NOT(P_W&gt;0)),0,V79)+IF(OR(REGEXMATCH(FORMULATEXT(W79),""HMOD""),NOT(P_E&gt;0)),0,W79)+IF(OR(REGEXMATCH(FORMULATEXT(X79),""HMOD""),NOT(P_R&gt;0)),0,X79)+IF("&amp;"REGEXMATCH(FORMULATEXT(Y79),""HMOD""),0,Y79)+Self_Proc_item+Self_Proc_Summ+Self_Proc_Rune+3*Self_DPS"),5)</f>
        <v>5</v>
      </c>
      <c r="AH79" s="282">
        <f t="shared" si="8"/>
        <v>0</v>
      </c>
      <c r="AI79" s="282" t="b">
        <f t="shared" ref="AI79:AI110" si="255">FALSE</f>
        <v>0</v>
      </c>
      <c r="AJ79" s="283" t="b">
        <f>TRUE</f>
        <v>1</v>
      </c>
    </row>
    <row r="80" spans="1:36">
      <c r="A80" s="267" t="s">
        <v>265</v>
      </c>
      <c r="B80" s="287">
        <f>630</f>
        <v>630</v>
      </c>
      <c r="C80" s="287">
        <f t="shared" si="251"/>
        <v>104</v>
      </c>
      <c r="D80" s="288">
        <f t="shared" ref="D80:D81" si="256">5.5</f>
        <v>5.5</v>
      </c>
      <c r="E80" s="289">
        <f>0.4</f>
        <v>0.4</v>
      </c>
      <c r="F80" s="288">
        <f>341</f>
        <v>341</v>
      </c>
      <c r="G80" s="288">
        <f>60</f>
        <v>60</v>
      </c>
      <c r="H80" s="288">
        <f>11</f>
        <v>11</v>
      </c>
      <c r="I80" s="289">
        <f t="shared" ref="I80:I81" si="257">0.4</f>
        <v>0.4</v>
      </c>
      <c r="J80" s="290">
        <f>56</f>
        <v>56</v>
      </c>
      <c r="K80" s="288">
        <f>3.5</f>
        <v>3.5</v>
      </c>
      <c r="L80" s="291">
        <f t="shared" ref="L80:M80" si="258">0.625</f>
        <v>0.625</v>
      </c>
      <c r="M80" s="291">
        <f t="shared" si="258"/>
        <v>0.625</v>
      </c>
      <c r="N80" s="292">
        <f>1.53%</f>
        <v>1.5300000000000001E-2</v>
      </c>
      <c r="O80" s="287">
        <f>25</f>
        <v>25</v>
      </c>
      <c r="P80" s="287">
        <f>5</f>
        <v>5</v>
      </c>
      <c r="Q80" s="288">
        <f t="shared" ref="Q80:Q81" si="259">30</f>
        <v>30</v>
      </c>
      <c r="R80" s="289">
        <f t="shared" ref="R80:R81" si="260">1.3</f>
        <v>1.3</v>
      </c>
      <c r="S80" s="293">
        <f t="shared" si="254"/>
        <v>335</v>
      </c>
      <c r="T80" s="294">
        <f>450</f>
        <v>450</v>
      </c>
      <c r="U80" s="295" t="e">
        <f ca="1">(25+55*P_Q+0.9*Self_AP)*MOD_Magic</f>
        <v>#NAME?</v>
      </c>
      <c r="V80" s="296" t="e">
        <f ca="1">(10+50*P_W+0.7*Self_AP)*(1+1.7*(1-(E_CHP/100)))*MOD_Magic</f>
        <v>#NAME?</v>
      </c>
      <c r="W80" s="296">
        <f>(25+55*P_E+0.7*Self_AP)*MOD_Heal</f>
        <v>25</v>
      </c>
      <c r="X80" s="296" t="e">
        <f ca="1">(150+150*P_R+1.4*Self_AP)*MOD_Magic</f>
        <v>#NAME?</v>
      </c>
      <c r="Y80" s="297">
        <f>0</f>
        <v>0</v>
      </c>
      <c r="Z80" s="281">
        <f>10</f>
        <v>10</v>
      </c>
      <c r="AA80" s="282">
        <f>12</f>
        <v>12</v>
      </c>
      <c r="AB80" s="282">
        <f>26-2*P_E</f>
        <v>26</v>
      </c>
      <c r="AC80" s="282">
        <f>130 - 10 * P_R</f>
        <v>130</v>
      </c>
      <c r="AD80" s="283">
        <f t="shared" si="246"/>
        <v>1</v>
      </c>
      <c r="AE80" s="284" t="b">
        <f t="shared" ref="AE80:AE81" si="261">FALSE</f>
        <v>0</v>
      </c>
      <c r="AF80" s="285" t="e">
        <f ca="1">_xludf.Image("https://ddragon.leagueoflegends.com/cdn/11.19.1/img/champion/Morgana.png")</f>
        <v>#NAME?</v>
      </c>
      <c r="AG80" s="282">
        <f ca="1">IFERROR(__xludf.DUMMYFUNCTION("IF(OR(REGEXMATCH(FORMULATEXT(U80),""HMOD""),NOT(P_Q&gt;0)),0,U80)+IF(OR(REGEXMATCH(FORMULATEXT(V80),""HMOD""),NOT(P_W&gt;0)),0,V80)+IF(OR(REGEXMATCH(FORMULATEXT(W80),""HMOD""),NOT(P_E&gt;0)),0,W80)+IF(OR(REGEXMATCH(FORMULATEXT(X80),""HMOD""),NOT(P_R&gt;0)),0,X80)+IF("&amp;"REGEXMATCH(FORMULATEXT(Y80),""HMOD""),0,Y80)+Self_Proc_item+Self_Proc_Summ+Self_Proc_Rune+3*Self_DPS"),0)</f>
        <v>0</v>
      </c>
      <c r="AH80" s="282">
        <f t="shared" si="8"/>
        <v>0</v>
      </c>
      <c r="AI80" s="282" t="b">
        <f t="shared" si="255"/>
        <v>0</v>
      </c>
      <c r="AJ80" s="283" t="b">
        <f t="shared" ref="AJ80:AJ97" si="262">FALSE</f>
        <v>0</v>
      </c>
    </row>
    <row r="81" spans="1:36">
      <c r="A81" s="267" t="s">
        <v>266</v>
      </c>
      <c r="B81" s="287">
        <f>560</f>
        <v>560</v>
      </c>
      <c r="C81" s="287">
        <f>88</f>
        <v>88</v>
      </c>
      <c r="D81" s="288">
        <f t="shared" si="256"/>
        <v>5.5</v>
      </c>
      <c r="E81" s="289">
        <f>0.55</f>
        <v>0.55000000000000004</v>
      </c>
      <c r="F81" s="288">
        <f>365</f>
        <v>365</v>
      </c>
      <c r="G81" s="288">
        <f>43</f>
        <v>43</v>
      </c>
      <c r="H81" s="288">
        <f>11.5</f>
        <v>11.5</v>
      </c>
      <c r="I81" s="289">
        <f t="shared" si="257"/>
        <v>0.4</v>
      </c>
      <c r="J81" s="290">
        <f>51</f>
        <v>51</v>
      </c>
      <c r="K81" s="288">
        <f>3.1</f>
        <v>3.1</v>
      </c>
      <c r="L81" s="291">
        <f t="shared" ref="L81:M81" si="263">0.644</f>
        <v>0.64400000000000002</v>
      </c>
      <c r="M81" s="291">
        <f t="shared" si="263"/>
        <v>0.64400000000000002</v>
      </c>
      <c r="N81" s="292">
        <f>2.61%</f>
        <v>2.6099999999999998E-2</v>
      </c>
      <c r="O81" s="287">
        <f>29</f>
        <v>29</v>
      </c>
      <c r="P81" s="287">
        <f>5.2</f>
        <v>5.2</v>
      </c>
      <c r="Q81" s="288">
        <f t="shared" si="259"/>
        <v>30</v>
      </c>
      <c r="R81" s="289">
        <f t="shared" si="260"/>
        <v>1.3</v>
      </c>
      <c r="S81" s="293">
        <f t="shared" si="254"/>
        <v>335</v>
      </c>
      <c r="T81" s="294">
        <f>550</f>
        <v>550</v>
      </c>
      <c r="U81" s="298" t="e">
        <f ca="1">(20+55*P_Q+0.5*Self_AP)*MOD_Magic</f>
        <v>#NAME?</v>
      </c>
      <c r="V81" s="299" t="e">
        <f ca="1">(20 + 40 * P_W + 0.55 * Self_AP) * MOD_Magic</f>
        <v>#NAME?</v>
      </c>
      <c r="W81" s="299" t="e">
        <f ca="1">(15 + 45 * P_E + 0.6 * Self_AP) * MOD_Magic</f>
        <v>#NAME?</v>
      </c>
      <c r="X81" s="299" t="e">
        <f ca="1">(50+100*P_R+0.6*Self_AP)*MOD_Magic</f>
        <v>#NAME?</v>
      </c>
      <c r="Y81" s="300">
        <f>45+0.2*Self_AP</f>
        <v>45</v>
      </c>
      <c r="Z81" s="281">
        <f>13-P_Q</f>
        <v>13</v>
      </c>
      <c r="AA81" s="282">
        <f>10</f>
        <v>10</v>
      </c>
      <c r="AB81" s="282">
        <f>11</f>
        <v>11</v>
      </c>
      <c r="AC81" s="282">
        <f>130 - 10 * P_R</f>
        <v>130</v>
      </c>
      <c r="AD81" s="283">
        <f t="shared" si="246"/>
        <v>1</v>
      </c>
      <c r="AE81" s="284" t="b">
        <f t="shared" si="261"/>
        <v>0</v>
      </c>
      <c r="AF81" s="285" t="e">
        <f ca="1">_xludf.Image("https://ddragon.leagueoflegends.com/cdn/11.19.1/img/champion/Nami.png")</f>
        <v>#NAME?</v>
      </c>
      <c r="AG81" s="282">
        <f ca="1">IFERROR(__xludf.DUMMYFUNCTION("IF(OR(REGEXMATCH(FORMULATEXT(U81),""HMOD""),NOT(P_Q&gt;0)),0,U81)+IF(OR(REGEXMATCH(FORMULATEXT(V81),""HMOD""),NOT(P_W&gt;0)),0,V81)+IF(OR(REGEXMATCH(FORMULATEXT(W81),""HMOD""),NOT(P_E&gt;0)),0,W81)+IF(OR(REGEXMATCH(FORMULATEXT(X81),""HMOD""),NOT(P_R&gt;0)),0,X81)+IF("&amp;"REGEXMATCH(FORMULATEXT(Y81),""HMOD""),0,Y81)+Self_Proc_item+Self_Proc_Summ+Self_Proc_Rune+3*Self_DPS"),45)</f>
        <v>45</v>
      </c>
      <c r="AH81" s="282">
        <f t="shared" si="8"/>
        <v>0</v>
      </c>
      <c r="AI81" s="282" t="b">
        <f t="shared" si="255"/>
        <v>0</v>
      </c>
      <c r="AJ81" s="283" t="b">
        <f t="shared" si="262"/>
        <v>0</v>
      </c>
    </row>
    <row r="82" spans="1:36">
      <c r="A82" s="301" t="s">
        <v>267</v>
      </c>
      <c r="B82" s="282">
        <f>631</f>
        <v>631</v>
      </c>
      <c r="C82" s="282">
        <f>104</f>
        <v>104</v>
      </c>
      <c r="D82" s="282">
        <f>9</f>
        <v>9</v>
      </c>
      <c r="E82" s="302">
        <f>0.9</f>
        <v>0.9</v>
      </c>
      <c r="F82" s="282">
        <f>326</f>
        <v>326</v>
      </c>
      <c r="G82" s="282">
        <f>62</f>
        <v>62</v>
      </c>
      <c r="H82" s="282">
        <f>7.4</f>
        <v>7.4</v>
      </c>
      <c r="I82" s="302">
        <f t="shared" ref="I82:I83" si="264">0.5</f>
        <v>0.5</v>
      </c>
      <c r="J82" s="303">
        <f>67</f>
        <v>67</v>
      </c>
      <c r="K82" s="282">
        <f>3.5</f>
        <v>3.5</v>
      </c>
      <c r="L82" s="304">
        <f t="shared" ref="L82:M82" si="265">0.638</f>
        <v>0.63800000000000001</v>
      </c>
      <c r="M82" s="304">
        <f t="shared" si="265"/>
        <v>0.63800000000000001</v>
      </c>
      <c r="N82" s="305">
        <f>3.48%</f>
        <v>3.4799999999999998E-2</v>
      </c>
      <c r="O82" s="282">
        <f>34</f>
        <v>34</v>
      </c>
      <c r="P82" s="282">
        <f>4.7</f>
        <v>4.7</v>
      </c>
      <c r="Q82" s="282">
        <f t="shared" ref="Q82:Q83" si="266">32</f>
        <v>32</v>
      </c>
      <c r="R82" s="302">
        <f t="shared" ref="R82:R83" si="267">2.05</f>
        <v>2.0499999999999998</v>
      </c>
      <c r="S82" s="285">
        <f>350</f>
        <v>350</v>
      </c>
      <c r="T82" s="286">
        <f>125</f>
        <v>125</v>
      </c>
      <c r="U82" s="295" t="e">
        <f ca="1">(10+20*P_Q+Self_AD+Minion*3+Kills*12)*MOD_Phys</f>
        <v>#NAME?</v>
      </c>
      <c r="V82" s="296">
        <f>0</f>
        <v>0</v>
      </c>
      <c r="W82" s="296" t="e">
        <f ca="1">(30+80*P_E+1.2*Self_AP)*MOD_Magic</f>
        <v>#NAME?</v>
      </c>
      <c r="X82" s="296" t="e">
        <f ca="1">((0.02+0.01*P_R+0.0001*Self_AP)*E_MHP)*MOD_Magic</f>
        <v>#NAME?</v>
      </c>
      <c r="Y82" s="297">
        <f>0</f>
        <v>0</v>
      </c>
      <c r="Z82" s="284">
        <f>IF(Steroid_Form,0.5,1)*(8.5-P_Q)</f>
        <v>8.5</v>
      </c>
      <c r="AA82" s="282">
        <f>16-P_W</f>
        <v>16</v>
      </c>
      <c r="AB82" s="285">
        <f>12</f>
        <v>12</v>
      </c>
      <c r="AC82" s="285">
        <f>140 - 20 * P_R</f>
        <v>140</v>
      </c>
      <c r="AD82" s="286">
        <f t="shared" si="246"/>
        <v>1</v>
      </c>
      <c r="AE82" s="284" t="b">
        <f t="shared" ref="AE82:AE83" si="268">TRUE</f>
        <v>1</v>
      </c>
      <c r="AF82" s="285" t="e">
        <f ca="1">_xludf.Image("https://ddragon.leagueoflegends.com/cdn/11.19.1/img/champion/Nasus.png")</f>
        <v>#NAME?</v>
      </c>
      <c r="AG82" s="282">
        <f ca="1">IFERROR(__xludf.DUMMYFUNCTION("IF(OR(REGEXMATCH(FORMULATEXT(U82),""HMOD""),NOT(P_Q&gt;0)),0,U82)+IF(OR(REGEXMATCH(FORMULATEXT(V82),""HMOD""),NOT(P_W&gt;0)),0,V82)+IF(OR(REGEXMATCH(FORMULATEXT(W82),""HMOD""),NOT(P_E&gt;0)),0,W82)+IF(OR(REGEXMATCH(FORMULATEXT(X82),""HMOD""),NOT(P_R&gt;0)),0,X82)+IF("&amp;"REGEXMATCH(FORMULATEXT(Y82),""HMOD""),0,Y82)+Self_Proc_item+Self_Proc_Summ+Self_Proc_Rune+3*Self_DPS"),0)</f>
        <v>0</v>
      </c>
      <c r="AH82" s="282">
        <f t="shared" si="8"/>
        <v>0</v>
      </c>
      <c r="AI82" s="282" t="b">
        <f t="shared" si="255"/>
        <v>0</v>
      </c>
      <c r="AJ82" s="283" t="b">
        <f t="shared" si="262"/>
        <v>0</v>
      </c>
    </row>
    <row r="83" spans="1:36">
      <c r="A83" s="267" t="s">
        <v>268</v>
      </c>
      <c r="B83" s="287">
        <f>646</f>
        <v>646</v>
      </c>
      <c r="C83" s="287">
        <f>100</f>
        <v>100</v>
      </c>
      <c r="D83" s="288">
        <f>8.5</f>
        <v>8.5</v>
      </c>
      <c r="E83" s="289">
        <f>0.55</f>
        <v>0.55000000000000004</v>
      </c>
      <c r="F83" s="288">
        <f>400</f>
        <v>400</v>
      </c>
      <c r="G83" s="288">
        <f>47</f>
        <v>47</v>
      </c>
      <c r="H83" s="288">
        <f>8.6</f>
        <v>8.6</v>
      </c>
      <c r="I83" s="289">
        <f t="shared" si="264"/>
        <v>0.5</v>
      </c>
      <c r="J83" s="290">
        <f>61</f>
        <v>61</v>
      </c>
      <c r="K83" s="288">
        <f>3.3</f>
        <v>3.3</v>
      </c>
      <c r="L83" s="291">
        <f>0.706</f>
        <v>0.70599999999999996</v>
      </c>
      <c r="M83" s="291">
        <f>0.612</f>
        <v>0.61199999999999999</v>
      </c>
      <c r="N83" s="292">
        <f>1%</f>
        <v>0.01</v>
      </c>
      <c r="O83" s="287">
        <f>39</f>
        <v>39</v>
      </c>
      <c r="P83" s="287">
        <f>4.95</f>
        <v>4.95</v>
      </c>
      <c r="Q83" s="288">
        <f t="shared" si="266"/>
        <v>32</v>
      </c>
      <c r="R83" s="289">
        <f t="shared" si="267"/>
        <v>2.0499999999999998</v>
      </c>
      <c r="S83" s="293">
        <f>325</f>
        <v>325</v>
      </c>
      <c r="T83" s="294">
        <f>175</f>
        <v>175</v>
      </c>
      <c r="U83" s="298" t="e">
        <f ca="1">(25+45*P_Q+0.9*Self_AP)*MOD_Magic</f>
        <v>#NAME?</v>
      </c>
      <c r="V83" s="299" t="e">
        <f ca="1">(20+10*P_W+0.4*Self_AP)*MOD_Magic</f>
        <v>#NAME?</v>
      </c>
      <c r="W83" s="299" t="e">
        <f ca="1">(20 + 35 * P_E + 0.5 * Self_AP) * MOD_Magic</f>
        <v>#NAME?</v>
      </c>
      <c r="X83" s="299" t="e">
        <f ca="1">(25+125*P_R+0.8*Self_AP)*MOD_Magic</f>
        <v>#NAME?</v>
      </c>
      <c r="Y83" s="300" t="e">
        <f ca="1">(8 + 6 * Self_Level + Self_AD) * MOD_Phys</f>
        <v>#NAME?</v>
      </c>
      <c r="Z83" s="281">
        <f>15-P_Q</f>
        <v>15</v>
      </c>
      <c r="AA83" s="282">
        <f>12</f>
        <v>12</v>
      </c>
      <c r="AB83" s="282">
        <f>7.5-0.5*P_E</f>
        <v>7.5</v>
      </c>
      <c r="AC83" s="282">
        <f>140 - 20 * P_R</f>
        <v>140</v>
      </c>
      <c r="AD83" s="283">
        <f>6</f>
        <v>6</v>
      </c>
      <c r="AE83" s="284" t="b">
        <f t="shared" si="268"/>
        <v>1</v>
      </c>
      <c r="AF83" s="285" t="e">
        <f ca="1">_xludf.Image("https://ddragon.leagueoflegends.com/cdn/11.19.1/img/champion/Nautilus.png")</f>
        <v>#NAME?</v>
      </c>
      <c r="AG83" s="282">
        <f ca="1">IFERROR(__xludf.DUMMYFUNCTION("IF(OR(REGEXMATCH(FORMULATEXT(U83),""HMOD""),NOT(P_Q&gt;0)),0,U83)+IF(OR(REGEXMATCH(FORMULATEXT(V83),""HMOD""),NOT(P_W&gt;0)),0,V83)+IF(OR(REGEXMATCH(FORMULATEXT(W83),""HMOD""),NOT(P_E&gt;0)),0,W83)+IF(OR(REGEXMATCH(FORMULATEXT(X83),""HMOD""),NOT(P_R&gt;0)),0,X83)+IF("&amp;"REGEXMATCH(FORMULATEXT(Y83),""HMOD""),0,Y83)+Self_Proc_item+Self_Proc_Summ+Self_Proc_Rune+3*Self_DPS"),14)</f>
        <v>14</v>
      </c>
      <c r="AH83" s="282">
        <f t="shared" si="8"/>
        <v>0</v>
      </c>
      <c r="AI83" s="282" t="b">
        <f t="shared" si="255"/>
        <v>0</v>
      </c>
      <c r="AJ83" s="283" t="b">
        <f t="shared" si="262"/>
        <v>0</v>
      </c>
    </row>
    <row r="84" spans="1:36">
      <c r="A84" s="267" t="s">
        <v>269</v>
      </c>
      <c r="B84" s="287">
        <f t="shared" ref="B84:B85" si="269">610</f>
        <v>610</v>
      </c>
      <c r="C84" s="287">
        <f>104</f>
        <v>104</v>
      </c>
      <c r="D84" s="288">
        <f>7.5</f>
        <v>7.5</v>
      </c>
      <c r="E84" s="289">
        <f>0.75</f>
        <v>0.75</v>
      </c>
      <c r="F84" s="288">
        <f>450</f>
        <v>450</v>
      </c>
      <c r="G84" s="288">
        <f>30</f>
        <v>30</v>
      </c>
      <c r="H84" s="288">
        <f>7</f>
        <v>7</v>
      </c>
      <c r="I84" s="289">
        <f>0.7</f>
        <v>0.7</v>
      </c>
      <c r="J84" s="290">
        <f>48</f>
        <v>48</v>
      </c>
      <c r="K84" s="288">
        <f>2.5</f>
        <v>2.5</v>
      </c>
      <c r="L84" s="291">
        <f>0.625</f>
        <v>0.625</v>
      </c>
      <c r="M84" s="291">
        <f>0.67</f>
        <v>0.67</v>
      </c>
      <c r="N84" s="292">
        <f>3.5%</f>
        <v>3.5000000000000003E-2</v>
      </c>
      <c r="O84" s="287">
        <f>21</f>
        <v>21</v>
      </c>
      <c r="P84" s="287">
        <f>5.2</f>
        <v>5.2</v>
      </c>
      <c r="Q84" s="288">
        <f t="shared" ref="Q84:Q85" si="270">30</f>
        <v>30</v>
      </c>
      <c r="R84" s="289">
        <f t="shared" ref="R84:R85" si="271">1.3</f>
        <v>1.3</v>
      </c>
      <c r="S84" s="293">
        <f>340</f>
        <v>340</v>
      </c>
      <c r="T84" s="294">
        <f>550</f>
        <v>550</v>
      </c>
      <c r="U84" s="295" t="e">
        <f ca="1">(35 + 45 * P_Q + 0.5 * Self_AP + IF(Steroid_Q, 0.5 * Self_AP + 20 + 50 * P_Q)) * MOD_Magic</f>
        <v>#NAME?</v>
      </c>
      <c r="V84" s="296" t="e">
        <f ca="1">(20+30*P_W+0.6*Self_AP)*MOD_Magic</f>
        <v>#NAME?</v>
      </c>
      <c r="W84" s="296" t="e">
        <f ca="1">(35 + 35 * P_E + 0.65 * Self_AP) * MOD_Magic</f>
        <v>#NAME?</v>
      </c>
      <c r="X84" s="296" t="e">
        <f ca="1">(-50 + 200 * P_R + 1.2 * Self_AP) * MOD_Magic</f>
        <v>#NAME?</v>
      </c>
      <c r="Y84" s="297">
        <f>0</f>
        <v>0</v>
      </c>
      <c r="Z84" s="281">
        <f>7</f>
        <v>7</v>
      </c>
      <c r="AA84" s="282">
        <f>17 - P_W</f>
        <v>17</v>
      </c>
      <c r="AB84" s="282">
        <f>12.5-0.5*P_E</f>
        <v>12.5</v>
      </c>
      <c r="AC84" s="282">
        <f>135-15*P_R</f>
        <v>135</v>
      </c>
      <c r="AD84" s="283">
        <f>2</f>
        <v>2</v>
      </c>
      <c r="AE84" s="284" t="b">
        <f t="shared" ref="AE84:AE85" si="272">FALSE</f>
        <v>0</v>
      </c>
      <c r="AF84" s="285" t="e">
        <f ca="1">_xludf.Image("https://ddragon.leagueoflegends.com/cdn/11.19.1/img/champion/Neeko.png")</f>
        <v>#NAME?</v>
      </c>
      <c r="AG84" s="282">
        <f ca="1">IFERROR(__xludf.DUMMYFUNCTION("IF(OR(REGEXMATCH(FORMULATEXT(U84),""HMOD""),NOT(P_Q&gt;0)),0,U84)+IF(OR(REGEXMATCH(FORMULATEXT(V84),""HMOD""),NOT(P_W&gt;0)),0,V84)+IF(OR(REGEXMATCH(FORMULATEXT(W84),""HMOD""),NOT(P_E&gt;0)),0,W84)+IF(OR(REGEXMATCH(FORMULATEXT(X84),""HMOD""),NOT(P_R&gt;0)),0,X84)+IF("&amp;"REGEXMATCH(FORMULATEXT(Y84),""HMOD""),0,Y84)+Self_Proc_item+Self_Proc_Summ+Self_Proc_Rune+3*Self_DPS"),0)</f>
        <v>0</v>
      </c>
      <c r="AH84" s="282">
        <f t="shared" si="8"/>
        <v>0</v>
      </c>
      <c r="AI84" s="282" t="b">
        <f t="shared" si="255"/>
        <v>0</v>
      </c>
      <c r="AJ84" s="283" t="b">
        <f t="shared" si="262"/>
        <v>0</v>
      </c>
    </row>
    <row r="85" spans="1:36">
      <c r="A85" s="267" t="s">
        <v>270</v>
      </c>
      <c r="B85" s="287">
        <f t="shared" si="269"/>
        <v>610</v>
      </c>
      <c r="C85" s="287">
        <f t="shared" ref="C85:C86" si="273">109</f>
        <v>109</v>
      </c>
      <c r="D85" s="288">
        <f>6</f>
        <v>6</v>
      </c>
      <c r="E85" s="289">
        <f>0.6</f>
        <v>0.6</v>
      </c>
      <c r="F85" s="288">
        <f>296</f>
        <v>296</v>
      </c>
      <c r="G85" s="288">
        <f>45</f>
        <v>45</v>
      </c>
      <c r="H85" s="288">
        <f>6</f>
        <v>6</v>
      </c>
      <c r="I85" s="289">
        <f>0.8</f>
        <v>0.8</v>
      </c>
      <c r="J85" s="290">
        <f>58</f>
        <v>58</v>
      </c>
      <c r="K85" s="288">
        <f>3.5</f>
        <v>3.5</v>
      </c>
      <c r="L85" s="291">
        <f t="shared" ref="L85:M85" si="274">0.638</f>
        <v>0.63800000000000001</v>
      </c>
      <c r="M85" s="291">
        <f t="shared" si="274"/>
        <v>0.63800000000000001</v>
      </c>
      <c r="N85" s="292">
        <f>3.22%</f>
        <v>3.2199999999999999E-2</v>
      </c>
      <c r="O85" s="287">
        <f>32</f>
        <v>32</v>
      </c>
      <c r="P85" s="287">
        <f>5</f>
        <v>5</v>
      </c>
      <c r="Q85" s="288">
        <f t="shared" si="270"/>
        <v>30</v>
      </c>
      <c r="R85" s="289">
        <f t="shared" si="271"/>
        <v>1.3</v>
      </c>
      <c r="S85" s="293">
        <f>335</f>
        <v>335</v>
      </c>
      <c r="T85" s="294">
        <f>525</f>
        <v>525</v>
      </c>
      <c r="U85" s="298" t="e">
        <f ca="1">IF(Steroid_Form,IF(Steroid_Q,1.4,1)*((25*(P_R+1)-20+0.75*Self_AD+0.4*Self_AP)*(1+(1+0.25*P_R)*(1-(E_CHP/100))))*MOD_Magic,IF(Steroid_Q,3,1)*(50+20*P_Q+0.5*Self_AP)*MOD_Magic)</f>
        <v>#NAME?</v>
      </c>
      <c r="V85" s="299" t="e">
        <f ca="1">IF(Steroid_Form,(0.3*Self_AP+50*(P_R+1)+10)*MOD_Magic,(40*P_W+0.2*Self_AP)*MOD_Magic)</f>
        <v>#NAME?</v>
      </c>
      <c r="W85" s="299">
        <f>IF(Steroid_Form,(20+60*(P_R+1)+0.45*Self_AP)*MOD_Magic,(20+15*P_E+0.275*Self_AP)*MOD_Heal)</f>
        <v>20</v>
      </c>
      <c r="X85" s="299">
        <f t="shared" ref="X85:Y85" si="275">0</f>
        <v>0</v>
      </c>
      <c r="Y85" s="300">
        <f t="shared" si="275"/>
        <v>0</v>
      </c>
      <c r="Z85" s="281">
        <f>IF(Steroid_Form,6,6)</f>
        <v>6</v>
      </c>
      <c r="AA85" s="282">
        <f>IF(Steroid_Form,6,14-P_W)</f>
        <v>14</v>
      </c>
      <c r="AB85" s="282">
        <f>IF(Steroid_Form,6,12)</f>
        <v>12</v>
      </c>
      <c r="AC85" s="282">
        <f>3</f>
        <v>3</v>
      </c>
      <c r="AD85" s="283">
        <f>1</f>
        <v>1</v>
      </c>
      <c r="AE85" s="284" t="b">
        <f t="shared" si="272"/>
        <v>0</v>
      </c>
      <c r="AF85" s="285" t="e">
        <f ca="1">_xludf.Image("https://ddragon.leagueoflegends.com/cdn/11.19.1/img/champion/Nidalee.png")</f>
        <v>#NAME?</v>
      </c>
      <c r="AG85" s="282">
        <f ca="1">IFERROR(__xludf.DUMMYFUNCTION("IF(OR(REGEXMATCH(FORMULATEXT(U85),""HMOD""),NOT(P_Q&gt;0)),0,U85)+IF(OR(REGEXMATCH(FORMULATEXT(V85),""HMOD""),NOT(P_W&gt;0)),0,V85)+IF(OR(REGEXMATCH(FORMULATEXT(W85),""HMOD""),NOT(P_E&gt;0)),0,W85)+IF(OR(REGEXMATCH(FORMULATEXT(X85),""HMOD""),NOT(P_R&gt;0)),0,X85)+IF("&amp;"REGEXMATCH(FORMULATEXT(Y85),""HMOD""),0,Y85)+Self_Proc_item+Self_Proc_Summ+Self_Proc_Rune+3*Self_DPS"),0)</f>
        <v>0</v>
      </c>
      <c r="AH85" s="282">
        <f t="shared" si="8"/>
        <v>0</v>
      </c>
      <c r="AI85" s="282" t="b">
        <f t="shared" si="255"/>
        <v>0</v>
      </c>
      <c r="AJ85" s="283" t="b">
        <f t="shared" si="262"/>
        <v>0</v>
      </c>
    </row>
    <row r="86" spans="1:36">
      <c r="A86" s="267" t="s">
        <v>271</v>
      </c>
      <c r="B86" s="287">
        <f>655</f>
        <v>655</v>
      </c>
      <c r="C86" s="287">
        <f t="shared" si="273"/>
        <v>109</v>
      </c>
      <c r="D86" s="288">
        <f>7</f>
        <v>7</v>
      </c>
      <c r="E86" s="289">
        <f>0.75</f>
        <v>0.75</v>
      </c>
      <c r="F86" s="288">
        <f>275</f>
        <v>275</v>
      </c>
      <c r="G86" s="288">
        <f>35</f>
        <v>35</v>
      </c>
      <c r="H86" s="288">
        <f t="shared" ref="H86:H87" si="276">7</f>
        <v>7</v>
      </c>
      <c r="I86" s="289">
        <f>0.45</f>
        <v>0.45</v>
      </c>
      <c r="J86" s="290">
        <f>62</f>
        <v>62</v>
      </c>
      <c r="K86" s="288">
        <f>2.6</f>
        <v>2.6</v>
      </c>
      <c r="L86" s="291">
        <f t="shared" ref="L86:M86" si="277">0.721</f>
        <v>0.72099999999999997</v>
      </c>
      <c r="M86" s="291">
        <f t="shared" si="277"/>
        <v>0.72099999999999997</v>
      </c>
      <c r="N86" s="292">
        <f>2.7%</f>
        <v>2.7000000000000003E-2</v>
      </c>
      <c r="O86" s="287">
        <f>38</f>
        <v>38</v>
      </c>
      <c r="P86" s="287">
        <f>4.7</f>
        <v>4.7</v>
      </c>
      <c r="Q86" s="288">
        <f t="shared" ref="Q86:Q88" si="278">32</f>
        <v>32</v>
      </c>
      <c r="R86" s="289">
        <f>1.55</f>
        <v>1.55</v>
      </c>
      <c r="S86" s="293">
        <f t="shared" ref="S86:S87" si="279">345</f>
        <v>345</v>
      </c>
      <c r="T86" s="294">
        <f t="shared" ref="T86:T88" si="280">125</f>
        <v>125</v>
      </c>
      <c r="U86" s="295" t="e">
        <f ca="1">(20 + 45 * P_Q + 0.85 * Self_BoAD) * MOD_Phys</f>
        <v>#NAME?</v>
      </c>
      <c r="V86" s="296">
        <f>0</f>
        <v>0</v>
      </c>
      <c r="W86" s="296" t="e">
        <f ca="1">(35+45*P_E+Self_AP)*MOD_Magic</f>
        <v>#NAME?</v>
      </c>
      <c r="X86" s="296" t="e">
        <f ca="1">(25+125*P_R+1.2*Self_BoAD)*MOD_Phys</f>
        <v>#NAME?</v>
      </c>
      <c r="Y86" s="297" t="e">
        <f ca="1">(1.2*Self_AD)*MOD_Phys</f>
        <v>#NAME?</v>
      </c>
      <c r="Z86" s="281">
        <f>8</f>
        <v>8</v>
      </c>
      <c r="AA86" s="282">
        <f>22 - 2 * P_W</f>
        <v>22</v>
      </c>
      <c r="AB86" s="282">
        <f>16-P_E</f>
        <v>16</v>
      </c>
      <c r="AC86" s="282">
        <f>165-25*P_R</f>
        <v>165</v>
      </c>
      <c r="AD86" s="283">
        <f>13</f>
        <v>13</v>
      </c>
      <c r="AE86" s="284" t="b">
        <f t="shared" ref="AE86:AE88" si="281">TRUE</f>
        <v>1</v>
      </c>
      <c r="AF86" s="285" t="e">
        <f ca="1">_xludf.Image("https://ddragon.leagueoflegends.com/cdn/11.19.1/img/champion/Nocturne.png")</f>
        <v>#NAME?</v>
      </c>
      <c r="AG86" s="282">
        <f ca="1">IFERROR(__xludf.DUMMYFUNCTION("IF(OR(REGEXMATCH(FORMULATEXT(U86),""HMOD""),NOT(P_Q&gt;0)),0,U86)+IF(OR(REGEXMATCH(FORMULATEXT(V86),""HMOD""),NOT(P_W&gt;0)),0,V86)+IF(OR(REGEXMATCH(FORMULATEXT(W86),""HMOD""),NOT(P_E&gt;0)),0,W86)+IF(OR(REGEXMATCH(FORMULATEXT(X86),""HMOD""),NOT(P_R&gt;0)),0,X86)+IF("&amp;"REGEXMATCH(FORMULATEXT(Y86),""HMOD""),0,Y86)+Self_Proc_item+Self_Proc_Summ+Self_Proc_Rune+3*Self_DPS"),0)</f>
        <v>0</v>
      </c>
      <c r="AH86" s="282">
        <f t="shared" si="8"/>
        <v>0</v>
      </c>
      <c r="AI86" s="282" t="b">
        <f t="shared" si="255"/>
        <v>0</v>
      </c>
      <c r="AJ86" s="283" t="b">
        <f t="shared" si="262"/>
        <v>0</v>
      </c>
    </row>
    <row r="87" spans="1:36">
      <c r="A87" s="267" t="s">
        <v>272</v>
      </c>
      <c r="B87" s="287">
        <f>610</f>
        <v>610</v>
      </c>
      <c r="C87" s="287">
        <f>90</f>
        <v>90</v>
      </c>
      <c r="D87" s="288">
        <f>5</f>
        <v>5</v>
      </c>
      <c r="E87" s="289">
        <f>0.8</f>
        <v>0.8</v>
      </c>
      <c r="F87" s="288">
        <f>280</f>
        <v>280</v>
      </c>
      <c r="G87" s="288">
        <f>42</f>
        <v>42</v>
      </c>
      <c r="H87" s="288">
        <f t="shared" si="276"/>
        <v>7</v>
      </c>
      <c r="I87" s="289">
        <f>0.5</f>
        <v>0.5</v>
      </c>
      <c r="J87" s="290">
        <f>61</f>
        <v>61</v>
      </c>
      <c r="K87" s="288">
        <f>3</f>
        <v>3</v>
      </c>
      <c r="L87" s="291">
        <f t="shared" ref="L87:M87" si="282">0.625</f>
        <v>0.625</v>
      </c>
      <c r="M87" s="291">
        <f t="shared" si="282"/>
        <v>0.625</v>
      </c>
      <c r="N87" s="292">
        <f>2.25%</f>
        <v>2.2499999999999999E-2</v>
      </c>
      <c r="O87" s="287">
        <f>29</f>
        <v>29</v>
      </c>
      <c r="P87" s="287">
        <f t="shared" ref="P87:P89" si="283">4.2</f>
        <v>4.2</v>
      </c>
      <c r="Q87" s="288">
        <f t="shared" si="278"/>
        <v>32</v>
      </c>
      <c r="R87" s="289">
        <f t="shared" ref="R87:R88" si="284">2.05</f>
        <v>2.0499999999999998</v>
      </c>
      <c r="S87" s="293">
        <f t="shared" si="279"/>
        <v>345</v>
      </c>
      <c r="T87" s="294">
        <f t="shared" si="280"/>
        <v>125</v>
      </c>
      <c r="U87" s="298" t="e">
        <f ca="1">(20+40*P_Q+0.65*Self_AP+0.05*Self_BoHP)*MOD_Magic</f>
        <v>#NAME?</v>
      </c>
      <c r="V87" s="299" t="e">
        <f ca="1">IF(Steroid_W,5,1)*(25+9*P_W+0.3*Self_AP)*MOD_Magic</f>
        <v>#NAME?</v>
      </c>
      <c r="W87" s="299" t="e">
        <f ca="1">((8 + 8 * P_E + 0.1 * Self_AP) * 9 + 10 + 10 * P_E + 0.8 * Self_AP) * MOD_Magic</f>
        <v>#NAME?</v>
      </c>
      <c r="X87" s="299" t="e">
        <f ca="1">(300 + 325 * P_R + 3 * Self_AP) * MOD_Magic</f>
        <v>#NAME?</v>
      </c>
      <c r="Y87" s="300">
        <f>0</f>
        <v>0</v>
      </c>
      <c r="Z87" s="281">
        <f>13-P_Q</f>
        <v>13</v>
      </c>
      <c r="AA87" s="282">
        <f>14</f>
        <v>14</v>
      </c>
      <c r="AB87" s="282">
        <f>15-P_E</f>
        <v>15</v>
      </c>
      <c r="AC87" s="282">
        <f>120-10*P_R</f>
        <v>120</v>
      </c>
      <c r="AD87" s="283">
        <f t="shared" ref="AD87:AD91" si="285">1</f>
        <v>1</v>
      </c>
      <c r="AE87" s="284" t="b">
        <f t="shared" si="281"/>
        <v>1</v>
      </c>
      <c r="AF87" s="285" t="e">
        <f ca="1">_xludf.Image("https://ddragon.leagueoflegends.com/cdn/11.19.1/img/champion/Nunu.png")</f>
        <v>#NAME?</v>
      </c>
      <c r="AG87" s="282">
        <f ca="1">IFERROR(__xludf.DUMMYFUNCTION("IF(OR(REGEXMATCH(FORMULATEXT(U87),""HMOD""),NOT(P_Q&gt;0)),0,U87)+IF(OR(REGEXMATCH(FORMULATEXT(V87),""HMOD""),NOT(P_W&gt;0)),0,V87)+IF(OR(REGEXMATCH(FORMULATEXT(W87),""HMOD""),NOT(P_E&gt;0)),0,W87)+IF(OR(REGEXMATCH(FORMULATEXT(X87),""HMOD""),NOT(P_R&gt;0)),0,X87)+IF("&amp;"REGEXMATCH(FORMULATEXT(Y87),""HMOD""),0,Y87)+Self_Proc_item+Self_Proc_Summ+Self_Proc_Rune+3*Self_DPS"),0)</f>
        <v>0</v>
      </c>
      <c r="AH87" s="282">
        <f t="shared" si="8"/>
        <v>0</v>
      </c>
      <c r="AI87" s="282" t="b">
        <f t="shared" si="255"/>
        <v>0</v>
      </c>
      <c r="AJ87" s="283" t="b">
        <f t="shared" si="262"/>
        <v>0</v>
      </c>
    </row>
    <row r="88" spans="1:36">
      <c r="A88" s="267" t="s">
        <v>273</v>
      </c>
      <c r="B88" s="287">
        <f>645</f>
        <v>645</v>
      </c>
      <c r="C88" s="287">
        <f>119</f>
        <v>119</v>
      </c>
      <c r="D88" s="288">
        <f>6.5</f>
        <v>6.5</v>
      </c>
      <c r="E88" s="289">
        <f>0.6</f>
        <v>0.6</v>
      </c>
      <c r="F88" s="288">
        <f>316</f>
        <v>316</v>
      </c>
      <c r="G88" s="288">
        <f>50</f>
        <v>50</v>
      </c>
      <c r="H88" s="288">
        <f>7.5</f>
        <v>7.5</v>
      </c>
      <c r="I88" s="289">
        <f>0.6</f>
        <v>0.6</v>
      </c>
      <c r="J88" s="290">
        <f>68</f>
        <v>68</v>
      </c>
      <c r="K88" s="288">
        <f>4.7</f>
        <v>4.7</v>
      </c>
      <c r="L88" s="291">
        <f t="shared" ref="L88:M88" si="286">0.694</f>
        <v>0.69399999999999995</v>
      </c>
      <c r="M88" s="291">
        <f t="shared" si="286"/>
        <v>0.69399999999999995</v>
      </c>
      <c r="N88" s="292">
        <f>2.7%</f>
        <v>2.7000000000000003E-2</v>
      </c>
      <c r="O88" s="287">
        <f>35</f>
        <v>35</v>
      </c>
      <c r="P88" s="287">
        <f t="shared" si="283"/>
        <v>4.2</v>
      </c>
      <c r="Q88" s="288">
        <f t="shared" si="278"/>
        <v>32</v>
      </c>
      <c r="R88" s="289">
        <f t="shared" si="284"/>
        <v>2.0499999999999998</v>
      </c>
      <c r="S88" s="293">
        <f>350</f>
        <v>350</v>
      </c>
      <c r="T88" s="294">
        <f t="shared" si="280"/>
        <v>125</v>
      </c>
      <c r="U88" s="295" t="e">
        <f ca="1">(15 + 50 * P_Q + Self_BoAD) * MOD_Phys</f>
        <v>#NAME?</v>
      </c>
      <c r="V88" s="296">
        <f>(30 + P_W - 20 + IF((Self_MHP - (Self_CHPP / 100) * Self_MHP) * 0.175 &gt; 0.3 * (Self_CHPP / 100) * Self_MHP, 0.3 * (Self_CHPP / 100) * Self_MHP, (Self_MHP - (Self_CHPP / 100) * Self_MHP) * 0.175) * MOD_SelfHeal)</f>
        <v>10</v>
      </c>
      <c r="W88" s="296">
        <f>(25+45*P_E+0.4*Self_AD)*Calc!O10</f>
        <v>25</v>
      </c>
      <c r="X88" s="296">
        <f t="shared" ref="X88:Y88" si="287">0</f>
        <v>0</v>
      </c>
      <c r="Y88" s="297">
        <f t="shared" si="287"/>
        <v>0</v>
      </c>
      <c r="Z88" s="281">
        <f>9</f>
        <v>9</v>
      </c>
      <c r="AA88" s="282">
        <f>17 - P_W</f>
        <v>17</v>
      </c>
      <c r="AB88" s="282">
        <f>12 - P_E</f>
        <v>12</v>
      </c>
      <c r="AC88" s="282">
        <f>110 - 10 * P_R</f>
        <v>110</v>
      </c>
      <c r="AD88" s="283">
        <f t="shared" si="285"/>
        <v>1</v>
      </c>
      <c r="AE88" s="284" t="b">
        <f t="shared" si="281"/>
        <v>1</v>
      </c>
      <c r="AF88" s="285" t="e">
        <f ca="1">_xludf.Image("https://ddragon.leagueoflegends.com/cdn/11.19.1/img/champion/Olaf.png")</f>
        <v>#NAME?</v>
      </c>
      <c r="AG88" s="282">
        <f ca="1">IFERROR(__xludf.DUMMYFUNCTION("IF(OR(REGEXMATCH(FORMULATEXT(U88),""HMOD""),NOT(P_Q&gt;0)),0,U88)+IF(OR(REGEXMATCH(FORMULATEXT(V88),""HMOD""),NOT(P_W&gt;0)),0,V88)+IF(OR(REGEXMATCH(FORMULATEXT(W88),""HMOD""),NOT(P_E&gt;0)),0,W88)+IF(OR(REGEXMATCH(FORMULATEXT(X88),""HMOD""),NOT(P_R&gt;0)),0,X88)+IF("&amp;"REGEXMATCH(FORMULATEXT(Y88),""HMOD""),0,Y88)+Self_Proc_item+Self_Proc_Summ+Self_Proc_Rune+3*Self_DPS"),0)</f>
        <v>0</v>
      </c>
      <c r="AH88" s="282">
        <f t="shared" si="8"/>
        <v>0</v>
      </c>
      <c r="AI88" s="282" t="b">
        <f t="shared" si="255"/>
        <v>0</v>
      </c>
      <c r="AJ88" s="283" t="b">
        <f t="shared" si="262"/>
        <v>0</v>
      </c>
    </row>
    <row r="89" spans="1:36">
      <c r="A89" s="267" t="s">
        <v>274</v>
      </c>
      <c r="B89" s="287">
        <f>600</f>
        <v>600</v>
      </c>
      <c r="C89" s="287">
        <f>105</f>
        <v>105</v>
      </c>
      <c r="D89" s="288">
        <f>7</f>
        <v>7</v>
      </c>
      <c r="E89" s="289">
        <f>0.55</f>
        <v>0.55000000000000004</v>
      </c>
      <c r="F89" s="288">
        <f>418</f>
        <v>418</v>
      </c>
      <c r="G89" s="288">
        <f>25</f>
        <v>25</v>
      </c>
      <c r="H89" s="288">
        <f t="shared" ref="H89:H90" si="288">8</f>
        <v>8</v>
      </c>
      <c r="I89" s="289">
        <f>0.8</f>
        <v>0.8</v>
      </c>
      <c r="J89" s="290">
        <f>40</f>
        <v>40</v>
      </c>
      <c r="K89" s="288">
        <f>2.6</f>
        <v>2.6</v>
      </c>
      <c r="L89" s="291">
        <f t="shared" ref="L89:M89" si="289">0.658</f>
        <v>0.65800000000000003</v>
      </c>
      <c r="M89" s="291">
        <f t="shared" si="289"/>
        <v>0.65800000000000003</v>
      </c>
      <c r="N89" s="292">
        <f>3.5%</f>
        <v>3.5000000000000003E-2</v>
      </c>
      <c r="O89" s="287">
        <f>20</f>
        <v>20</v>
      </c>
      <c r="P89" s="287">
        <f t="shared" si="283"/>
        <v>4.2</v>
      </c>
      <c r="Q89" s="288">
        <f>26</f>
        <v>26</v>
      </c>
      <c r="R89" s="289">
        <f>1.3</f>
        <v>1.3</v>
      </c>
      <c r="S89" s="293">
        <f>325</f>
        <v>325</v>
      </c>
      <c r="T89" s="294">
        <f>525</f>
        <v>525</v>
      </c>
      <c r="U89" s="298" t="e">
        <f ca="1">(30+30*P_Q+0.5*Self_AP)*MOD_Magic</f>
        <v>#NAME?</v>
      </c>
      <c r="V89" s="299" t="e">
        <f ca="1">(15+45*P_W+0.7*Self_AP)*MOD_Magic</f>
        <v>#NAME?</v>
      </c>
      <c r="W89" s="299" t="e">
        <f ca="1">(30+30*P_E+0.3*Self_AP)*MOD_Magic</f>
        <v>#NAME?</v>
      </c>
      <c r="X89" s="299" t="e">
        <f ca="1">(100 + 150 * P_R + 0.95 * Self_AP) * MOD_Magic</f>
        <v>#NAME?</v>
      </c>
      <c r="Y89" s="300" t="e">
        <f ca="1">(10 + 40 * Sc_Lin + 0.15 * Self_AP) * MOD_Magic</f>
        <v>#NAME?</v>
      </c>
      <c r="Z89" s="281">
        <f>6.75-0.75*P_Q</f>
        <v>6.75</v>
      </c>
      <c r="AA89" s="282">
        <f>7</f>
        <v>7</v>
      </c>
      <c r="AB89" s="282">
        <f>9</f>
        <v>9</v>
      </c>
      <c r="AC89" s="282">
        <f>125-15*P_R</f>
        <v>125</v>
      </c>
      <c r="AD89" s="283">
        <f t="shared" si="285"/>
        <v>1</v>
      </c>
      <c r="AE89" s="284" t="b">
        <f>FALSE</f>
        <v>0</v>
      </c>
      <c r="AF89" s="285" t="e">
        <f ca="1">_xludf.Image("https://ddragon.leagueoflegends.com/cdn/11.19.1/img/champion/Orianna.png")</f>
        <v>#NAME?</v>
      </c>
      <c r="AG89" s="282">
        <f ca="1">IFERROR(__xludf.DUMMYFUNCTION("IF(OR(REGEXMATCH(FORMULATEXT(U89),""HMOD""),NOT(P_Q&gt;0)),0,U89)+IF(OR(REGEXMATCH(FORMULATEXT(V89),""HMOD""),NOT(P_W&gt;0)),0,V89)+IF(OR(REGEXMATCH(FORMULATEXT(W89),""HMOD""),NOT(P_E&gt;0)),0,W89)+IF(OR(REGEXMATCH(FORMULATEXT(X89),""HMOD""),NOT(P_R&gt;0)),0,X89)+IF("&amp;"REGEXMATCH(FORMULATEXT(Y89),""HMOD""),0,Y89)+Self_Proc_item+Self_Proc_Summ+Self_Proc_Rune+3*Self_DPS"),10)</f>
        <v>10</v>
      </c>
      <c r="AH89" s="282">
        <f t="shared" si="8"/>
        <v>0</v>
      </c>
      <c r="AI89" s="282" t="b">
        <f t="shared" si="255"/>
        <v>0</v>
      </c>
      <c r="AJ89" s="283" t="b">
        <f t="shared" si="262"/>
        <v>0</v>
      </c>
    </row>
    <row r="90" spans="1:36">
      <c r="A90" s="267" t="s">
        <v>275</v>
      </c>
      <c r="B90" s="287">
        <f>660</f>
        <v>660</v>
      </c>
      <c r="C90" s="287">
        <f t="shared" ref="C90:C91" si="290">109</f>
        <v>109</v>
      </c>
      <c r="D90" s="288">
        <f>9</f>
        <v>9</v>
      </c>
      <c r="E90" s="289">
        <f>0.9</f>
        <v>0.9</v>
      </c>
      <c r="F90" s="288">
        <f>341</f>
        <v>341</v>
      </c>
      <c r="G90" s="288">
        <f>65</f>
        <v>65</v>
      </c>
      <c r="H90" s="288">
        <f t="shared" si="288"/>
        <v>8</v>
      </c>
      <c r="I90" s="289">
        <f>0.6</f>
        <v>0.6</v>
      </c>
      <c r="J90" s="290">
        <f>69</f>
        <v>69</v>
      </c>
      <c r="K90" s="288">
        <f>3.5</f>
        <v>3.5</v>
      </c>
      <c r="L90" s="291">
        <f t="shared" ref="L90:M90" si="291">0.625</f>
        <v>0.625</v>
      </c>
      <c r="M90" s="291">
        <f t="shared" si="291"/>
        <v>0.625</v>
      </c>
      <c r="N90" s="292">
        <f>2%</f>
        <v>0.02</v>
      </c>
      <c r="O90" s="287">
        <f>33</f>
        <v>33</v>
      </c>
      <c r="P90" s="287">
        <f>5.2</f>
        <v>5.2</v>
      </c>
      <c r="Q90" s="288">
        <f>32</f>
        <v>32</v>
      </c>
      <c r="R90" s="289">
        <f t="shared" ref="R90:R94" si="292">2.05</f>
        <v>2.0499999999999998</v>
      </c>
      <c r="S90" s="293">
        <f>335</f>
        <v>335</v>
      </c>
      <c r="T90" s="294">
        <f t="shared" ref="T90:T91" si="293">175</f>
        <v>175</v>
      </c>
      <c r="U90" s="295" t="e">
        <f ca="1">(-5+25*P_Q+1.1*Self_AD)*MOD_Phys</f>
        <v>#NAME?</v>
      </c>
      <c r="V90" s="296" t="e">
        <f ca="1">((0.11+0.01*P_W)*E_MHP)*MOD_Magic</f>
        <v>#NAME?</v>
      </c>
      <c r="W90" s="296" t="e">
        <f ca="1">(35+45*P_E+0.4*Self_BoAR+0.4*Self_BoMR)*MOD_Magic</f>
        <v>#NAME?</v>
      </c>
      <c r="X90" s="296" t="e">
        <f ca="1">(150+100*P_R+0.4*Self_AP)*MOD_Magic</f>
        <v>#NAME?</v>
      </c>
      <c r="Y90" s="297" t="e">
        <f ca="1">((((Self_Level-1)/17)*0.08+0.1)*E_MHP)*MOD_Magic</f>
        <v>#NAME?</v>
      </c>
      <c r="Z90" s="281">
        <f>9.5-0.5*P_Q</f>
        <v>9.5</v>
      </c>
      <c r="AA90" s="282">
        <f>12.5 - 0.5 * P_W</f>
        <v>12.5</v>
      </c>
      <c r="AB90" s="282">
        <f>17 - P_E</f>
        <v>17</v>
      </c>
      <c r="AC90" s="282">
        <f>160 - 20 * P_R</f>
        <v>160</v>
      </c>
      <c r="AD90" s="283">
        <f t="shared" si="285"/>
        <v>1</v>
      </c>
      <c r="AE90" s="284" t="b">
        <f t="shared" ref="AE90:AE94" si="294">TRUE</f>
        <v>1</v>
      </c>
      <c r="AF90" s="285" t="e">
        <f ca="1">_xludf.Image("https://ddragon.leagueoflegends.com/cdn/11.19.1/img/champion/Ornn.png")</f>
        <v>#NAME?</v>
      </c>
      <c r="AG90" s="282">
        <f ca="1">IFERROR(__xludf.DUMMYFUNCTION("IF(OR(REGEXMATCH(FORMULATEXT(U90),""HMOD""),NOT(P_Q&gt;0)),0,U90)+IF(OR(REGEXMATCH(FORMULATEXT(V90),""HMOD""),NOT(P_W&gt;0)),0,V90)+IF(OR(REGEXMATCH(FORMULATEXT(W90),""HMOD""),NOT(P_E&gt;0)),0,W90)+IF(OR(REGEXMATCH(FORMULATEXT(X90),""HMOD""),NOT(P_R&gt;0)),0,X90)+IF("&amp;"REGEXMATCH(FORMULATEXT(Y90),""HMOD""),0,Y90)+Self_Proc_item+Self_Proc_Summ+Self_Proc_Rune+3*Self_DPS"),0)</f>
        <v>0</v>
      </c>
      <c r="AH90" s="282">
        <f t="shared" si="8"/>
        <v>0</v>
      </c>
      <c r="AI90" s="282" t="b">
        <f t="shared" si="255"/>
        <v>0</v>
      </c>
      <c r="AJ90" s="283" t="b">
        <f t="shared" si="262"/>
        <v>0</v>
      </c>
    </row>
    <row r="91" spans="1:36">
      <c r="A91" s="301" t="s">
        <v>276</v>
      </c>
      <c r="B91" s="282">
        <f>650</f>
        <v>650</v>
      </c>
      <c r="C91" s="282">
        <f t="shared" si="290"/>
        <v>109</v>
      </c>
      <c r="D91" s="282">
        <f>6</f>
        <v>6</v>
      </c>
      <c r="E91" s="302">
        <f>0.65</f>
        <v>0.65</v>
      </c>
      <c r="F91" s="282">
        <f>317</f>
        <v>317</v>
      </c>
      <c r="G91" s="282">
        <f>31</f>
        <v>31</v>
      </c>
      <c r="H91" s="282">
        <f>7.4</f>
        <v>7.4</v>
      </c>
      <c r="I91" s="302">
        <f>0.45</f>
        <v>0.45</v>
      </c>
      <c r="J91" s="303">
        <f t="shared" ref="J91:J92" si="295">64</f>
        <v>64</v>
      </c>
      <c r="K91" s="282">
        <f>3.3</f>
        <v>3.3</v>
      </c>
      <c r="L91" s="304">
        <f t="shared" ref="L91:M91" si="296">0.658</f>
        <v>0.65800000000000003</v>
      </c>
      <c r="M91" s="304">
        <f t="shared" si="296"/>
        <v>0.65800000000000003</v>
      </c>
      <c r="N91" s="305">
        <f>2.95%</f>
        <v>2.9500000000000002E-2</v>
      </c>
      <c r="O91" s="282">
        <f>40</f>
        <v>40</v>
      </c>
      <c r="P91" s="282">
        <f>4.95</f>
        <v>4.95</v>
      </c>
      <c r="Q91" s="282">
        <f>28</f>
        <v>28</v>
      </c>
      <c r="R91" s="302">
        <f t="shared" si="292"/>
        <v>2.0499999999999998</v>
      </c>
      <c r="S91" s="285">
        <f t="shared" ref="S91:S92" si="297">345</f>
        <v>345</v>
      </c>
      <c r="T91" s="286">
        <f t="shared" si="293"/>
        <v>175</v>
      </c>
      <c r="U91" s="298" t="e">
        <f ca="1">(IF(E_CHP&lt;=20,75*P_Q+80+2.3*Self_BoAD,40+30*P_Q+1.15*Self_BoAD)+IF(Steroid_Q,7+13*Self_Level+1.15*Self_BoAD,0))*MOD_Phys</f>
        <v>#NAME?</v>
      </c>
      <c r="V91" s="299" t="e">
        <f ca="1">(20+40*P_W+Self_AP+IF(Steroid_W,(1.2+0.45*((Self_Level-1)/17))*Self_AvgAA+3*OH_Magic+3*OH_Phys,0))*MOD_Phys</f>
        <v>#NAME?</v>
      </c>
      <c r="W91" s="299" t="e">
        <f ca="1">(55+50*P_E+1.5*Self_BoAD+IF(Steroid_E,(5/3)*Self_AD,Self_AD))*MOD_Phys</f>
        <v>#NAME?</v>
      </c>
      <c r="X91" s="299" t="e">
        <f ca="1">(100+200*P_R+Self_AP)*MOD_Magic+IF(Steroid_R,U91,0)</f>
        <v>#NAME?</v>
      </c>
      <c r="Y91" s="300">
        <f>0</f>
        <v>0</v>
      </c>
      <c r="Z91" s="284">
        <f>11.75 - 0.75 * P_Q</f>
        <v>11.75</v>
      </c>
      <c r="AA91" s="282">
        <f>14-P_W</f>
        <v>14</v>
      </c>
      <c r="AB91" s="282">
        <f>23 - P_E</f>
        <v>23</v>
      </c>
      <c r="AC91" s="285">
        <f>195-15*P_R</f>
        <v>195</v>
      </c>
      <c r="AD91" s="286">
        <f t="shared" si="285"/>
        <v>1</v>
      </c>
      <c r="AE91" s="284" t="b">
        <f t="shared" si="294"/>
        <v>1</v>
      </c>
      <c r="AF91" s="285" t="e">
        <f ca="1">_xludf.Image("https://ddragon.leagueoflegends.com/cdn/11.19.1/img/champion/Pantheon.png")</f>
        <v>#NAME?</v>
      </c>
      <c r="AG91" s="282">
        <f ca="1">IFERROR(__xludf.DUMMYFUNCTION("IF(OR(REGEXMATCH(FORMULATEXT(U91),""HMOD""),NOT(P_Q&gt;0)),0,U91)+IF(OR(REGEXMATCH(FORMULATEXT(V91),""HMOD""),NOT(P_W&gt;0)),0,V91)+IF(OR(REGEXMATCH(FORMULATEXT(W91),""HMOD""),NOT(P_E&gt;0)),0,W91)+IF(OR(REGEXMATCH(FORMULATEXT(X91),""HMOD""),NOT(P_R&gt;0)),0,X91)+IF("&amp;"REGEXMATCH(FORMULATEXT(Y91),""HMOD""),0,Y91)+Self_Proc_item+Self_Proc_Summ+Self_Proc_Rune+3*Self_DPS"),0)</f>
        <v>0</v>
      </c>
      <c r="AH91" s="282">
        <f t="shared" si="8"/>
        <v>0</v>
      </c>
      <c r="AI91" s="282" t="b">
        <f t="shared" si="255"/>
        <v>0</v>
      </c>
      <c r="AJ91" s="283" t="b">
        <f t="shared" si="262"/>
        <v>0</v>
      </c>
    </row>
    <row r="92" spans="1:36">
      <c r="A92" s="301" t="s">
        <v>277</v>
      </c>
      <c r="B92" s="282">
        <f>610</f>
        <v>610</v>
      </c>
      <c r="C92" s="282">
        <f t="shared" ref="C92:C93" si="298">104</f>
        <v>104</v>
      </c>
      <c r="D92" s="282">
        <f>8</f>
        <v>8</v>
      </c>
      <c r="E92" s="302">
        <f>0.8</f>
        <v>0.8</v>
      </c>
      <c r="F92" s="282">
        <f>280</f>
        <v>280</v>
      </c>
      <c r="G92" s="282">
        <f>40</f>
        <v>40</v>
      </c>
      <c r="H92" s="282">
        <f>7</f>
        <v>7</v>
      </c>
      <c r="I92" s="302">
        <f>0.7</f>
        <v>0.7</v>
      </c>
      <c r="J92" s="303">
        <f t="shared" si="295"/>
        <v>64</v>
      </c>
      <c r="K92" s="282">
        <f>4</f>
        <v>4</v>
      </c>
      <c r="L92" s="304">
        <f t="shared" ref="L92:M92" si="299">0.625</f>
        <v>0.625</v>
      </c>
      <c r="M92" s="304">
        <f t="shared" si="299"/>
        <v>0.625</v>
      </c>
      <c r="N92" s="305">
        <f t="shared" ref="N92:N93" si="300">2.5%</f>
        <v>2.5000000000000001E-2</v>
      </c>
      <c r="O92" s="282">
        <f>38</f>
        <v>38</v>
      </c>
      <c r="P92" s="282">
        <f t="shared" ref="P92:P95" si="301">4.7</f>
        <v>4.7</v>
      </c>
      <c r="Q92" s="282">
        <f t="shared" ref="Q92:Q94" si="302">32</f>
        <v>32</v>
      </c>
      <c r="R92" s="302">
        <f t="shared" si="292"/>
        <v>2.0499999999999998</v>
      </c>
      <c r="S92" s="285">
        <f t="shared" si="297"/>
        <v>345</v>
      </c>
      <c r="T92" s="286">
        <f>125</f>
        <v>125</v>
      </c>
      <c r="U92" s="295" t="e">
        <f ca="1">(0.9 * Self_BoAD + 0.09 * E_MHP + 20 * P_Q + 20) * MOD_Phys * IF(Steroid_Q, 2, 1)</f>
        <v>#NAME?</v>
      </c>
      <c r="V92" s="296" t="e">
        <f ca="1">(0.7*Self_AP+40*P_W+30)*MOD_Magic</f>
        <v>#NAME?</v>
      </c>
      <c r="W92" s="296" t="e">
        <f ca="1">(Self_BoAD+40*P_E+80)*MOD_Phys</f>
        <v>#NAME?</v>
      </c>
      <c r="X92" s="296" t="e">
        <f ca="1">(0.9*Self_BoAD+100*P_R+100)*MOD_Phys</f>
        <v>#NAME?</v>
      </c>
      <c r="Y92" s="297" t="e">
        <f ca="1">(20 + 160 * Sc_Lin)*MOD_Magic</f>
        <v>#NAME?</v>
      </c>
      <c r="Z92" s="284">
        <f>9-P_Q</f>
        <v>9</v>
      </c>
      <c r="AA92" s="285">
        <f>22-P_W*2</f>
        <v>22</v>
      </c>
      <c r="AB92" s="282">
        <f>15-P_E</f>
        <v>15</v>
      </c>
      <c r="AC92" s="285">
        <f>160 - 20 * P_R</f>
        <v>160</v>
      </c>
      <c r="AD92" s="286">
        <v>13</v>
      </c>
      <c r="AE92" s="284" t="b">
        <f t="shared" si="294"/>
        <v>1</v>
      </c>
      <c r="AF92" s="285" t="e">
        <f ca="1">_xludf.Image("https://ddragon.leagueoflegends.com/cdn/11.19.1/img/champion/Poppy.png")</f>
        <v>#NAME?</v>
      </c>
      <c r="AG92" s="282">
        <f ca="1">IFERROR(__xludf.DUMMYFUNCTION("IF(OR(REGEXMATCH(FORMULATEXT(U92),""HMOD""),NOT(P_Q&gt;0)),0,U92)+IF(OR(REGEXMATCH(FORMULATEXT(V92),""HMOD""),NOT(P_W&gt;0)),0,V92)+IF(OR(REGEXMATCH(FORMULATEXT(W92),""HMOD""),NOT(P_E&gt;0)),0,W92)+IF(OR(REGEXMATCH(FORMULATEXT(X92),""HMOD""),NOT(P_R&gt;0)),0,X92)+IF("&amp;"REGEXMATCH(FORMULATEXT(Y92),""HMOD""),0,Y92)+Self_Proc_item+Self_Proc_Summ+Self_Proc_Rune+3*Self_DPS"),20)</f>
        <v>20</v>
      </c>
      <c r="AH92" s="282">
        <f t="shared" si="8"/>
        <v>0</v>
      </c>
      <c r="AI92" s="282" t="b">
        <f t="shared" si="255"/>
        <v>0</v>
      </c>
      <c r="AJ92" s="283" t="b">
        <f t="shared" si="262"/>
        <v>0</v>
      </c>
    </row>
    <row r="93" spans="1:36">
      <c r="A93" s="267" t="s">
        <v>278</v>
      </c>
      <c r="B93" s="287">
        <f>670</f>
        <v>670</v>
      </c>
      <c r="C93" s="287">
        <f t="shared" si="298"/>
        <v>104</v>
      </c>
      <c r="D93" s="288">
        <f>7</f>
        <v>7</v>
      </c>
      <c r="E93" s="289">
        <f>0.5</f>
        <v>0.5</v>
      </c>
      <c r="F93" s="288">
        <f>415</f>
        <v>415</v>
      </c>
      <c r="G93" s="288">
        <f t="shared" ref="G93:G94" si="303">50</f>
        <v>50</v>
      </c>
      <c r="H93" s="288">
        <f>8</f>
        <v>8</v>
      </c>
      <c r="I93" s="289">
        <f>1</f>
        <v>1</v>
      </c>
      <c r="J93" s="290">
        <f>62</f>
        <v>62</v>
      </c>
      <c r="K93" s="288">
        <f>2</f>
        <v>2</v>
      </c>
      <c r="L93" s="291">
        <f t="shared" ref="L93:M93" si="304">0.667</f>
        <v>0.66700000000000004</v>
      </c>
      <c r="M93" s="291">
        <f t="shared" si="304"/>
        <v>0.66700000000000004</v>
      </c>
      <c r="N93" s="292">
        <f t="shared" si="300"/>
        <v>2.5000000000000001E-2</v>
      </c>
      <c r="O93" s="287">
        <f>45</f>
        <v>45</v>
      </c>
      <c r="P93" s="287">
        <f t="shared" si="301"/>
        <v>4.7</v>
      </c>
      <c r="Q93" s="288">
        <f t="shared" si="302"/>
        <v>32</v>
      </c>
      <c r="R93" s="289">
        <f t="shared" si="292"/>
        <v>2.0499999999999998</v>
      </c>
      <c r="S93" s="293">
        <f>330</f>
        <v>330</v>
      </c>
      <c r="T93" s="294">
        <f t="shared" ref="T93:T94" si="305">150</f>
        <v>150</v>
      </c>
      <c r="U93" s="298" t="e">
        <f ca="1">(50 * P_Q + 50 + 0.6 * Self_BoAD) * MOD_Phys</f>
        <v>#NAME?</v>
      </c>
      <c r="V93" s="299">
        <f>0</f>
        <v>0</v>
      </c>
      <c r="W93" s="299" t="e">
        <f ca="1">(40 * P_E + 65 + Self_BoAD) * MOD_Phys</f>
        <v>#NAME?</v>
      </c>
      <c r="X93" s="299" t="e">
        <f ca="1">(0.8*Self_BoAD+Self_Leth*1.5+IF(Self_Level&gt;=6,250+40*(Self_Level-6),0)-IF(Self_Level&gt;9,10*(Self_Level-9),0)-IF(Self_Level&gt;11,10*(Self_Level-11),0)-IF(Self_Level&gt;16,10*(Self_Level-16),0))*IF(Steroid_R,1,MOD_Phys)</f>
        <v>#NAME?</v>
      </c>
      <c r="Y93" s="300">
        <f>0</f>
        <v>0</v>
      </c>
      <c r="Z93" s="281">
        <f>10.5-0.5*P_Q</f>
        <v>10.5</v>
      </c>
      <c r="AA93" s="282">
        <f>12.5 - 0.5 * P_W</f>
        <v>12.5</v>
      </c>
      <c r="AB93" s="282">
        <f>16-P_E</f>
        <v>16</v>
      </c>
      <c r="AC93" s="282">
        <f>115-15*P_R</f>
        <v>115</v>
      </c>
      <c r="AD93" s="283">
        <f>1</f>
        <v>1</v>
      </c>
      <c r="AE93" s="284" t="b">
        <f t="shared" si="294"/>
        <v>1</v>
      </c>
      <c r="AF93" s="285" t="e">
        <f ca="1">_xludf.Image("https://ddragon.leagueoflegends.com/cdn/11.19.1/img/champion/Pyke.png")</f>
        <v>#NAME?</v>
      </c>
      <c r="AG93" s="282">
        <f ca="1">IFERROR(__xludf.DUMMYFUNCTION("IF(OR(REGEXMATCH(FORMULATEXT(U93),""HMOD""),NOT(P_Q&gt;0)),0,U93)+IF(OR(REGEXMATCH(FORMULATEXT(V93),""HMOD""),NOT(P_W&gt;0)),0,V93)+IF(OR(REGEXMATCH(FORMULATEXT(W93),""HMOD""),NOT(P_E&gt;0)),0,W93)+IF(OR(REGEXMATCH(FORMULATEXT(X93),""HMOD""),NOT(P_R&gt;0)),0,X93)+IF("&amp;"REGEXMATCH(FORMULATEXT(Y93),""HMOD""),0,Y93)+Self_Proc_item+Self_Proc_Summ+Self_Proc_Rune+3*Self_DPS"),0)</f>
        <v>0</v>
      </c>
      <c r="AH93" s="282">
        <f t="shared" si="8"/>
        <v>0</v>
      </c>
      <c r="AI93" s="282" t="b">
        <f t="shared" si="255"/>
        <v>0</v>
      </c>
      <c r="AJ93" s="283" t="b">
        <f t="shared" si="262"/>
        <v>0</v>
      </c>
    </row>
    <row r="94" spans="1:36">
      <c r="A94" s="267" t="s">
        <v>279</v>
      </c>
      <c r="B94" s="287">
        <f>590</f>
        <v>590</v>
      </c>
      <c r="C94" s="287">
        <f>124</f>
        <v>124</v>
      </c>
      <c r="D94" s="288">
        <f>6</f>
        <v>6</v>
      </c>
      <c r="E94" s="289">
        <f>0.9</f>
        <v>0.9</v>
      </c>
      <c r="F94" s="288">
        <f>320</f>
        <v>320</v>
      </c>
      <c r="G94" s="288">
        <f t="shared" si="303"/>
        <v>50</v>
      </c>
      <c r="H94" s="288">
        <f t="shared" ref="H94:H95" si="306">7</f>
        <v>7</v>
      </c>
      <c r="I94" s="289">
        <f>0.5</f>
        <v>0.5</v>
      </c>
      <c r="J94" s="290">
        <f>66</f>
        <v>66</v>
      </c>
      <c r="K94" s="288">
        <f>3.1</f>
        <v>3.1</v>
      </c>
      <c r="L94" s="291">
        <f>0.688</f>
        <v>0.68799999999999994</v>
      </c>
      <c r="M94" s="291">
        <f>0.625</f>
        <v>0.625</v>
      </c>
      <c r="N94" s="292">
        <f>2.1%</f>
        <v>2.1000000000000001E-2</v>
      </c>
      <c r="O94" s="287">
        <f t="shared" ref="O94:O95" si="307">28</f>
        <v>28</v>
      </c>
      <c r="P94" s="287">
        <f t="shared" si="301"/>
        <v>4.7</v>
      </c>
      <c r="Q94" s="288">
        <f t="shared" si="302"/>
        <v>32</v>
      </c>
      <c r="R94" s="289">
        <f t="shared" si="292"/>
        <v>2.0499999999999998</v>
      </c>
      <c r="S94" s="293">
        <f t="shared" ref="S94:S98" si="308">335</f>
        <v>335</v>
      </c>
      <c r="T94" s="294">
        <f t="shared" si="305"/>
        <v>150</v>
      </c>
      <c r="U94" s="295" t="e">
        <f ca="1">IF(Steroid_Q, 1.6, 1) * (15 + 35 * P_Q + 0.75 * Self_BoAD) * MOD_Phys</f>
        <v>#NAME?</v>
      </c>
      <c r="V94" s="296" t="e">
        <f ca="1">(14*P_W+0.1*Self_BoAD+0.45*Self_AP-6)*MOD_Magic</f>
        <v>#NAME?</v>
      </c>
      <c r="W94" s="296" t="e">
        <f ca="1">(10 + 40 * P_E + 0.5 * Self_BoAD) * MOD_Phys</f>
        <v>#NAME?</v>
      </c>
      <c r="X94" s="296" t="e">
        <f ca="1">(100*P_R+1.7*Self_BoAD+(0.08+0.02*P_R)*E_MHP)*MOD_Phys</f>
        <v>#NAME?</v>
      </c>
      <c r="Y94" s="297" t="e">
        <f ca="1">(11+4*Self_Level+0.3*Self_BoAD+0.3*Self_AP)*MOD_Phys</f>
        <v>#NAME?</v>
      </c>
      <c r="Z94" s="281">
        <f t="shared" ref="Z94:AA94" si="309">7</f>
        <v>7</v>
      </c>
      <c r="AA94" s="282">
        <f t="shared" si="309"/>
        <v>7</v>
      </c>
      <c r="AB94" s="282">
        <f>12 - P_E</f>
        <v>12</v>
      </c>
      <c r="AC94" s="282">
        <f>120</f>
        <v>120</v>
      </c>
      <c r="AD94" s="283">
        <f>25</f>
        <v>25</v>
      </c>
      <c r="AE94" s="284" t="b">
        <f t="shared" si="294"/>
        <v>1</v>
      </c>
      <c r="AF94" s="285" t="e">
        <f ca="1">_xludf.Image("https://ddragon.leagueoflegends.com/cdn/11.19.1/img/champion/Qiyana.png")</f>
        <v>#NAME?</v>
      </c>
      <c r="AG94" s="282">
        <f ca="1">IFERROR(__xludf.DUMMYFUNCTION("IF(OR(REGEXMATCH(FORMULATEXT(U94),""HMOD""),NOT(P_Q&gt;0)),0,U94)+IF(OR(REGEXMATCH(FORMULATEXT(V94),""HMOD""),NOT(P_W&gt;0)),0,V94)+IF(OR(REGEXMATCH(FORMULATEXT(W94),""HMOD""),NOT(P_E&gt;0)),0,W94)+IF(OR(REGEXMATCH(FORMULATEXT(X94),""HMOD""),NOT(P_R&gt;0)),0,X94)+IF("&amp;"REGEXMATCH(FORMULATEXT(Y94),""HMOD""),0,Y94)+Self_Proc_item+Self_Proc_Summ+Self_Proc_Rune+3*Self_DPS"),15)</f>
        <v>15</v>
      </c>
      <c r="AH94" s="282">
        <f t="shared" si="8"/>
        <v>0</v>
      </c>
      <c r="AI94" s="282" t="b">
        <f t="shared" si="255"/>
        <v>0</v>
      </c>
      <c r="AJ94" s="283" t="b">
        <f t="shared" si="262"/>
        <v>0</v>
      </c>
    </row>
    <row r="95" spans="1:36">
      <c r="A95" s="267" t="s">
        <v>280</v>
      </c>
      <c r="B95" s="287">
        <f>603</f>
        <v>603</v>
      </c>
      <c r="C95" s="287">
        <f t="shared" ref="C95:C96" si="310">99</f>
        <v>99</v>
      </c>
      <c r="D95" s="288">
        <f>5.5</f>
        <v>5.5</v>
      </c>
      <c r="E95" s="289">
        <f>0.55</f>
        <v>0.55000000000000004</v>
      </c>
      <c r="F95" s="288">
        <f>269</f>
        <v>269</v>
      </c>
      <c r="G95" s="288">
        <f>35</f>
        <v>35</v>
      </c>
      <c r="H95" s="288">
        <f t="shared" si="306"/>
        <v>7</v>
      </c>
      <c r="I95" s="289">
        <f>0.4</f>
        <v>0.4</v>
      </c>
      <c r="J95" s="290">
        <f>59</f>
        <v>59</v>
      </c>
      <c r="K95" s="288">
        <f>2.4</f>
        <v>2.4</v>
      </c>
      <c r="L95" s="291">
        <f t="shared" ref="L95:M95" si="311">0.668</f>
        <v>0.66800000000000004</v>
      </c>
      <c r="M95" s="291">
        <f t="shared" si="311"/>
        <v>0.66800000000000004</v>
      </c>
      <c r="N95" s="292">
        <f>3.1%</f>
        <v>3.1E-2</v>
      </c>
      <c r="O95" s="287">
        <f t="shared" si="307"/>
        <v>28</v>
      </c>
      <c r="P95" s="287">
        <f t="shared" si="301"/>
        <v>4.7</v>
      </c>
      <c r="Q95" s="288">
        <f>30</f>
        <v>30</v>
      </c>
      <c r="R95" s="289">
        <f>1.3</f>
        <v>1.3</v>
      </c>
      <c r="S95" s="293">
        <f t="shared" si="308"/>
        <v>335</v>
      </c>
      <c r="T95" s="294">
        <f>525</f>
        <v>525</v>
      </c>
      <c r="U95" s="298" t="e">
        <f ca="1">(25*P_Q-5+(0.7+0.1*P_Q)*Self_AD+0.5*Self_AP)*MOD_Phys</f>
        <v>#NAME?</v>
      </c>
      <c r="V95" s="299">
        <f>0</f>
        <v>0</v>
      </c>
      <c r="W95" s="299" t="e">
        <f ca="1">(10+30*P_E+(0.2)*Self_BoAD)*MOD_Phys</f>
        <v>#NAME?</v>
      </c>
      <c r="X95" s="299" t="e">
        <f ca="1">0.7*Self_AD*MOD_Phys</f>
        <v>#NAME?</v>
      </c>
      <c r="Y95" s="300" t="e">
        <f ca="1">(5+5*Self_Level+(0.14+0.02*Self_Level)*Self_AD)*MOD_Phys</f>
        <v>#NAME?</v>
      </c>
      <c r="Z95" s="281">
        <f>11.5-0.5*P_Q</f>
        <v>11.5</v>
      </c>
      <c r="AA95" s="282">
        <f>55-5*P_W</f>
        <v>55</v>
      </c>
      <c r="AB95" s="282">
        <f>13-P_E</f>
        <v>13</v>
      </c>
      <c r="AC95" s="282">
        <f>3</f>
        <v>3</v>
      </c>
      <c r="AD95" s="283">
        <f>8*(0.99^(Self_Crit*100))</f>
        <v>8</v>
      </c>
      <c r="AE95" s="284" t="b">
        <f t="shared" ref="AE95:AE96" si="312">FALSE</f>
        <v>0</v>
      </c>
      <c r="AF95" s="285" t="e">
        <f ca="1">_xludf.Image("https://ddragon.leagueoflegends.com/cdn/11.19.1/img/champion/Quinn.png")</f>
        <v>#NAME?</v>
      </c>
      <c r="AG95" s="282">
        <f ca="1">IFERROR(__xludf.DUMMYFUNCTION("IF(OR(REGEXMATCH(FORMULATEXT(U95),""HMOD""),NOT(P_Q&gt;0)),0,U95)+IF(OR(REGEXMATCH(FORMULATEXT(V95),""HMOD""),NOT(P_W&gt;0)),0,V95)+IF(OR(REGEXMATCH(FORMULATEXT(W95),""HMOD""),NOT(P_E&gt;0)),0,W95)+IF(OR(REGEXMATCH(FORMULATEXT(X95),""HMOD""),NOT(P_R&gt;0)),0,X95)+IF("&amp;"REGEXMATCH(FORMULATEXT(Y95),""HMOD""),0,Y95)+Self_Proc_item+Self_Proc_Summ+Self_Proc_Rune+3*Self_DPS"),10)</f>
        <v>10</v>
      </c>
      <c r="AH95" s="282">
        <f t="shared" si="8"/>
        <v>0</v>
      </c>
      <c r="AI95" s="282" t="b">
        <f t="shared" si="255"/>
        <v>0</v>
      </c>
      <c r="AJ95" s="283" t="b">
        <f t="shared" si="262"/>
        <v>0</v>
      </c>
    </row>
    <row r="96" spans="1:36">
      <c r="A96" s="267" t="s">
        <v>281</v>
      </c>
      <c r="B96" s="287">
        <f>610</f>
        <v>610</v>
      </c>
      <c r="C96" s="287">
        <f t="shared" si="310"/>
        <v>99</v>
      </c>
      <c r="D96" s="288">
        <f>5</f>
        <v>5</v>
      </c>
      <c r="E96" s="289">
        <f>0.5</f>
        <v>0.5</v>
      </c>
      <c r="F96" s="288">
        <f>315</f>
        <v>315</v>
      </c>
      <c r="G96" s="288">
        <f>50</f>
        <v>50</v>
      </c>
      <c r="H96" s="288">
        <f>8.75</f>
        <v>8.75</v>
      </c>
      <c r="I96" s="289">
        <f t="shared" ref="I96:I97" si="313">0.5</f>
        <v>0.5</v>
      </c>
      <c r="J96" s="290">
        <f>62</f>
        <v>62</v>
      </c>
      <c r="K96" s="288">
        <f>3.5</f>
        <v>3.5</v>
      </c>
      <c r="L96" s="291">
        <f t="shared" ref="L96:M96" si="314">0.635</f>
        <v>0.63500000000000001</v>
      </c>
      <c r="M96" s="291">
        <f t="shared" si="314"/>
        <v>0.63500000000000001</v>
      </c>
      <c r="N96" s="292">
        <f>3%</f>
        <v>0.03</v>
      </c>
      <c r="O96" s="287">
        <f>30</f>
        <v>30</v>
      </c>
      <c r="P96" s="287">
        <f>4.9</f>
        <v>4.9000000000000004</v>
      </c>
      <c r="Q96" s="288">
        <f t="shared" ref="Q96:Q102" si="315">32</f>
        <v>32</v>
      </c>
      <c r="R96" s="289">
        <f t="shared" ref="R96:R102" si="316">2.05</f>
        <v>2.0499999999999998</v>
      </c>
      <c r="S96" s="293">
        <f t="shared" si="308"/>
        <v>335</v>
      </c>
      <c r="T96" s="294">
        <f>300</f>
        <v>300</v>
      </c>
      <c r="U96" s="295" t="e">
        <f ca="1">(45 * P_Q + 25 + 0.7 * Self_AP) * MOD_Magic</f>
        <v>#NAME?</v>
      </c>
      <c r="V96" s="296" t="e">
        <f ca="1">(50 * P_W + 20 + 0.8 * Self_AP) * MOD_Magic</f>
        <v>#NAME?</v>
      </c>
      <c r="W96" s="296">
        <f>(25+25*P_E+0.7*Self_AP)*MOD_Heal</f>
        <v>25</v>
      </c>
      <c r="X96" s="296" t="e">
        <f ca="1">(100*P_R+0.5*Self_AP)*MOD_Magic</f>
        <v>#NAME?</v>
      </c>
      <c r="Y96" s="297">
        <f>(30 + 195 * Sc_Lin + 0.95 * Self_AP) * MOD_SelfHeal</f>
        <v>30</v>
      </c>
      <c r="Z96" s="281">
        <f>12-P_Q</f>
        <v>12</v>
      </c>
      <c r="AA96" s="282">
        <f>17.5-1.5*P_W</f>
        <v>17.5</v>
      </c>
      <c r="AB96" s="282">
        <f>22-2*P_E</f>
        <v>22</v>
      </c>
      <c r="AC96" s="282">
        <f>150-20*P_R</f>
        <v>150</v>
      </c>
      <c r="AD96" s="283">
        <f>41.5-1.5*Self_Level</f>
        <v>40</v>
      </c>
      <c r="AE96" s="284" t="b">
        <f t="shared" si="312"/>
        <v>0</v>
      </c>
      <c r="AF96" s="285" t="e">
        <f ca="1">_xludf.Image("https://ddragon.leagueoflegends.com/cdn/11.19.1/img/champion/Rakan.png")</f>
        <v>#NAME?</v>
      </c>
      <c r="AG96" s="282">
        <f ca="1">IFERROR(__xludf.DUMMYFUNCTION("IF(OR(REGEXMATCH(FORMULATEXT(U96),""HMOD""),NOT(P_Q&gt;0)),0,U96)+IF(OR(REGEXMATCH(FORMULATEXT(V96),""HMOD""),NOT(P_W&gt;0)),0,V96)+IF(OR(REGEXMATCH(FORMULATEXT(W96),""HMOD""),NOT(P_E&gt;0)),0,W96)+IF(OR(REGEXMATCH(FORMULATEXT(X96),""HMOD""),NOT(P_R&gt;0)),0,X96)+IF("&amp;"REGEXMATCH(FORMULATEXT(Y96),""HMOD""),0,Y96)+Self_Proc_item+Self_Proc_Summ+Self_Proc_Rune+3*Self_DPS"),30)</f>
        <v>30</v>
      </c>
      <c r="AH96" s="282">
        <f t="shared" si="8"/>
        <v>0</v>
      </c>
      <c r="AI96" s="282" t="b">
        <f t="shared" si="255"/>
        <v>0</v>
      </c>
      <c r="AJ96" s="283" t="b">
        <f t="shared" si="262"/>
        <v>0</v>
      </c>
    </row>
    <row r="97" spans="1:36">
      <c r="A97" s="267" t="s">
        <v>282</v>
      </c>
      <c r="B97" s="287">
        <f>614</f>
        <v>614</v>
      </c>
      <c r="C97" s="287">
        <f>94</f>
        <v>94</v>
      </c>
      <c r="D97" s="288">
        <f>8</f>
        <v>8</v>
      </c>
      <c r="E97" s="289">
        <f>0.55</f>
        <v>0.55000000000000004</v>
      </c>
      <c r="F97" s="288">
        <f>310</f>
        <v>310</v>
      </c>
      <c r="G97" s="288">
        <f>33</f>
        <v>33</v>
      </c>
      <c r="H97" s="288">
        <f>7.8</f>
        <v>7.8</v>
      </c>
      <c r="I97" s="289">
        <f t="shared" si="313"/>
        <v>0.5</v>
      </c>
      <c r="J97" s="290">
        <f>53</f>
        <v>53</v>
      </c>
      <c r="K97" s="288">
        <f>2.75</f>
        <v>2.75</v>
      </c>
      <c r="L97" s="291">
        <f>0.656</f>
        <v>0.65600000000000003</v>
      </c>
      <c r="M97" s="291">
        <f>0.625</f>
        <v>0.625</v>
      </c>
      <c r="N97" s="292">
        <f>2.215%</f>
        <v>2.215E-2</v>
      </c>
      <c r="O97" s="287">
        <f t="shared" ref="O97:O98" si="317">36</f>
        <v>36</v>
      </c>
      <c r="P97" s="287">
        <f>5.5</f>
        <v>5.5</v>
      </c>
      <c r="Q97" s="288">
        <f t="shared" si="315"/>
        <v>32</v>
      </c>
      <c r="R97" s="289">
        <f t="shared" si="316"/>
        <v>2.0499999999999998</v>
      </c>
      <c r="S97" s="293">
        <f t="shared" si="308"/>
        <v>335</v>
      </c>
      <c r="T97" s="294">
        <f>125</f>
        <v>125</v>
      </c>
      <c r="U97" s="298" t="e">
        <f ca="1">(25 * P_Q + 75 + Self_AP)*MOD_Magic</f>
        <v>#NAME?</v>
      </c>
      <c r="V97" s="299">
        <f t="shared" ref="V97:W97" si="318">0</f>
        <v>0</v>
      </c>
      <c r="W97" s="299">
        <f t="shared" si="318"/>
        <v>0</v>
      </c>
      <c r="X97" s="299" t="e">
        <f ca="1">(75 * P_R + 25 + 0.6 * Self_AP + IF(Steroid_R, 1.5, 1) * (10 * P_R + 10 + 0.1 * Self_AP) * 4) * MOD_Magic</f>
        <v>#NAME?</v>
      </c>
      <c r="Y97" s="300">
        <f>IF(Steroid_W, 1.5, 1) * (10 + 0.1 * Self_AR)</f>
        <v>10</v>
      </c>
      <c r="Z97" s="281">
        <f>18.5-2.5*P_Q</f>
        <v>18.5</v>
      </c>
      <c r="AA97" s="282">
        <f>7</f>
        <v>7</v>
      </c>
      <c r="AB97" s="282">
        <f>12</f>
        <v>12</v>
      </c>
      <c r="AC97" s="282">
        <f>90</f>
        <v>90</v>
      </c>
      <c r="AD97" s="283">
        <f t="shared" ref="AD97:AD105" si="319">1</f>
        <v>1</v>
      </c>
      <c r="AE97" s="284" t="b">
        <f t="shared" ref="AE97:AE103" si="320">TRUE</f>
        <v>1</v>
      </c>
      <c r="AF97" s="285" t="e">
        <f ca="1">_xludf.Image("https://ddragon.leagueoflegends.com/cdn/11.19.1/img/champion/Rammus.png")</f>
        <v>#NAME?</v>
      </c>
      <c r="AG97" s="282">
        <f ca="1">IFERROR(__xludf.DUMMYFUNCTION("IF(OR(REGEXMATCH(FORMULATEXT(U97),""HMOD""),NOT(P_Q&gt;0)),0,U97)+IF(OR(REGEXMATCH(FORMULATEXT(V97),""HMOD""),NOT(P_W&gt;0)),0,V97)+IF(OR(REGEXMATCH(FORMULATEXT(W97),""HMOD""),NOT(P_E&gt;0)),0,W97)+IF(OR(REGEXMATCH(FORMULATEXT(X97),""HMOD""),NOT(P_R&gt;0)),0,X97)+IF("&amp;"REGEXMATCH(FORMULATEXT(Y97),""HMOD""),0,Y97)+Self_Proc_item+Self_Proc_Summ+Self_Proc_Rune+3*Self_DPS"),10)</f>
        <v>10</v>
      </c>
      <c r="AH97" s="282">
        <f t="shared" si="8"/>
        <v>0</v>
      </c>
      <c r="AI97" s="282" t="b">
        <f t="shared" si="255"/>
        <v>0</v>
      </c>
      <c r="AJ97" s="283" t="b">
        <f t="shared" si="262"/>
        <v>0</v>
      </c>
    </row>
    <row r="98" spans="1:36">
      <c r="A98" s="267" t="s">
        <v>283</v>
      </c>
      <c r="B98" s="287">
        <f>640</f>
        <v>640</v>
      </c>
      <c r="C98" s="287">
        <f>99</f>
        <v>99</v>
      </c>
      <c r="D98" s="288">
        <f>7.5</f>
        <v>7.5</v>
      </c>
      <c r="E98" s="289">
        <f>0.65</f>
        <v>0.65</v>
      </c>
      <c r="F98" s="288">
        <f>100</f>
        <v>100</v>
      </c>
      <c r="G98" s="288">
        <f t="shared" ref="G98:I98" si="321">0</f>
        <v>0</v>
      </c>
      <c r="H98" s="288">
        <f t="shared" si="321"/>
        <v>0</v>
      </c>
      <c r="I98" s="289">
        <f t="shared" si="321"/>
        <v>0</v>
      </c>
      <c r="J98" s="290">
        <f>61</f>
        <v>61</v>
      </c>
      <c r="K98" s="288">
        <f t="shared" ref="K98:K99" si="322">3</f>
        <v>3</v>
      </c>
      <c r="L98" s="291">
        <f t="shared" ref="L98:M98" si="323">0.667</f>
        <v>0.66700000000000004</v>
      </c>
      <c r="M98" s="291">
        <f t="shared" si="323"/>
        <v>0.66700000000000004</v>
      </c>
      <c r="N98" s="292">
        <f>2%</f>
        <v>0.02</v>
      </c>
      <c r="O98" s="287">
        <f t="shared" si="317"/>
        <v>36</v>
      </c>
      <c r="P98" s="287">
        <f>4.95</f>
        <v>4.95</v>
      </c>
      <c r="Q98" s="288">
        <f t="shared" si="315"/>
        <v>32</v>
      </c>
      <c r="R98" s="289">
        <f t="shared" si="316"/>
        <v>2.0499999999999998</v>
      </c>
      <c r="S98" s="293">
        <f t="shared" si="308"/>
        <v>335</v>
      </c>
      <c r="T98" s="294">
        <f>175</f>
        <v>175</v>
      </c>
      <c r="U98" s="295" t="e">
        <f ca="1">IF(Steroid_Form,(33*P_Q+25+0.5*Self_BoAD+0.7*Self_AP)*MOD_Phys,(48+18*P_Q+1.5*Self_BoAD)*MOD_Phys)</f>
        <v>#NAME?</v>
      </c>
      <c r="V98" s="296">
        <f>IF(Steroid_Form,(0.8*Self_BoAD+40+15*P_W)*MOD_Phys,0)</f>
        <v>0</v>
      </c>
      <c r="W98" s="296" t="e">
        <f ca="1">IF(Steroid_Form,0,IF(Steroid_E,(100+10*P_E+1.7*Self_BoAD)*Calc!O10,(50+5*P_E+0.85*Self_BoAD)*MOD_Phys))</f>
        <v>#NAME?</v>
      </c>
      <c r="X98" s="296" t="e">
        <f ca="1">(150*P_R-50+1.75*Self_BoAD+(0.15+0.05*P_R)*E_MisHPV)*MOD_Phys</f>
        <v>#NAME?</v>
      </c>
      <c r="Y98" s="297">
        <f t="shared" ref="Y98:Y101" si="324">0</f>
        <v>0</v>
      </c>
      <c r="Z98" s="281">
        <f>IF(Steroid_Form, 12.5, 4.5) - 0.5 * P_Q</f>
        <v>4.5</v>
      </c>
      <c r="AA98" s="282">
        <f>IF(Steroid_Form,1,4)</f>
        <v>4</v>
      </c>
      <c r="AB98" s="282">
        <f>IF(Steroid_Form,28-2*P_E,12)</f>
        <v>12</v>
      </c>
      <c r="AC98" s="282">
        <f>110 - 10 * P_R</f>
        <v>110</v>
      </c>
      <c r="AD98" s="283">
        <f t="shared" si="319"/>
        <v>1</v>
      </c>
      <c r="AE98" s="284" t="b">
        <f t="shared" si="320"/>
        <v>1</v>
      </c>
      <c r="AF98" s="285" t="e">
        <f ca="1">_xludf.Image("https://ddragon.leagueoflegends.com/cdn/11.19.1/img/champion/RekSai.png")</f>
        <v>#NAME?</v>
      </c>
      <c r="AG98" s="282">
        <f ca="1">IFERROR(__xludf.DUMMYFUNCTION("IF(OR(REGEXMATCH(FORMULATEXT(U98),""HMOD""),NOT(P_Q&gt;0)),0,U98)+IF(OR(REGEXMATCH(FORMULATEXT(V98),""HMOD""),NOT(P_W&gt;0)),0,V98)+IF(OR(REGEXMATCH(FORMULATEXT(W98),""HMOD""),NOT(P_E&gt;0)),0,W98)+IF(OR(REGEXMATCH(FORMULATEXT(X98),""HMOD""),NOT(P_R&gt;0)),0,X98)+IF("&amp;"REGEXMATCH(FORMULATEXT(Y98),""HMOD""),0,Y98)+Self_Proc_item+Self_Proc_Summ+Self_Proc_Rune+3*Self_DPS"),0)</f>
        <v>0</v>
      </c>
      <c r="AH98" s="282">
        <f t="shared" si="8"/>
        <v>0</v>
      </c>
      <c r="AI98" s="282" t="b">
        <f t="shared" si="255"/>
        <v>0</v>
      </c>
      <c r="AJ98" s="283" t="b">
        <f>TRUE</f>
        <v>1</v>
      </c>
    </row>
    <row r="99" spans="1:36">
      <c r="A99" s="267" t="s">
        <v>284</v>
      </c>
      <c r="B99" s="287">
        <f>610</f>
        <v>610</v>
      </c>
      <c r="C99" s="287">
        <f>104</f>
        <v>104</v>
      </c>
      <c r="D99" s="288">
        <f>8.5</f>
        <v>8.5</v>
      </c>
      <c r="E99" s="289">
        <f>0.85</f>
        <v>0.85</v>
      </c>
      <c r="F99" s="288">
        <f>300</f>
        <v>300</v>
      </c>
      <c r="G99" s="288">
        <f>45</f>
        <v>45</v>
      </c>
      <c r="H99" s="288">
        <f>7</f>
        <v>7</v>
      </c>
      <c r="I99" s="289">
        <f>0.55</f>
        <v>0.55000000000000004</v>
      </c>
      <c r="J99" s="290">
        <f>55</f>
        <v>55</v>
      </c>
      <c r="K99" s="288">
        <f t="shared" si="322"/>
        <v>3</v>
      </c>
      <c r="L99" s="291">
        <f t="shared" ref="L99:M99" si="325">0.625</f>
        <v>0.625</v>
      </c>
      <c r="M99" s="291">
        <f t="shared" si="325"/>
        <v>0.625</v>
      </c>
      <c r="N99" s="292">
        <f>1.5%</f>
        <v>1.4999999999999999E-2</v>
      </c>
      <c r="O99" s="287">
        <f>39</f>
        <v>39</v>
      </c>
      <c r="P99" s="287">
        <f>4.2</f>
        <v>4.2</v>
      </c>
      <c r="Q99" s="288">
        <f t="shared" si="315"/>
        <v>32</v>
      </c>
      <c r="R99" s="289">
        <f t="shared" si="316"/>
        <v>2.0499999999999998</v>
      </c>
      <c r="S99" s="293">
        <f>330</f>
        <v>330</v>
      </c>
      <c r="T99" s="294">
        <f>175 + IF(Steroid_Form, 75, 0)</f>
        <v>175</v>
      </c>
      <c r="U99" s="298" t="e">
        <f ca="1">(20 + 40 * P_Q + 0.6 * Self_AP) * MOD_Magic</f>
        <v>#NAME?</v>
      </c>
      <c r="V99" s="299" t="e">
        <f ca="1">(30 + 30 * P_W + 0.6 * Self_AP) * MOD_Magic</f>
        <v>#NAME?</v>
      </c>
      <c r="W99" s="299" t="e">
        <f ca="1">(15 + 10 * P_E + 0.5 * Self_AP + 0.03 * E_MHP)*MOD_Magic</f>
        <v>#NAME?</v>
      </c>
      <c r="X99" s="299" t="e">
        <f ca="1">(40+80*P_R+1.1*Self_AP)*MOD_Magic</f>
        <v>#NAME?</v>
      </c>
      <c r="Y99" s="300">
        <f t="shared" si="324"/>
        <v>0</v>
      </c>
      <c r="Z99" s="281">
        <f>11.5-0.5*P_Q</f>
        <v>11.5</v>
      </c>
      <c r="AA99" s="282">
        <f>11</f>
        <v>11</v>
      </c>
      <c r="AB99" s="282">
        <f>13</f>
        <v>13</v>
      </c>
      <c r="AC99" s="282">
        <f>140 - 20 * P_R</f>
        <v>140</v>
      </c>
      <c r="AD99" s="283">
        <f t="shared" si="319"/>
        <v>1</v>
      </c>
      <c r="AE99" s="284" t="b">
        <f t="shared" si="320"/>
        <v>1</v>
      </c>
      <c r="AF99" s="285" t="e">
        <f ca="1">_xludf.Image("https://ddragon.leagueoflegends.com/cdn/11.19.1/img/champion/Rell.png")</f>
        <v>#NAME?</v>
      </c>
      <c r="AG99" s="282">
        <f ca="1">IFERROR(__xludf.DUMMYFUNCTION("IF(OR(REGEXMATCH(FORMULATEXT(U99),""HMOD""),NOT(P_Q&gt;0)),0,U99)+IF(OR(REGEXMATCH(FORMULATEXT(V99),""HMOD""),NOT(P_W&gt;0)),0,V99)+IF(OR(REGEXMATCH(FORMULATEXT(W99),""HMOD""),NOT(P_E&gt;0)),0,W99)+IF(OR(REGEXMATCH(FORMULATEXT(X99),""HMOD""),NOT(P_R&gt;0)),0,X99)+IF("&amp;"REGEXMATCH(FORMULATEXT(Y99),""HMOD""),0,Y99)+Self_Proc_item+Self_Proc_Summ+Self_Proc_Rune+3*Self_DPS"),0)</f>
        <v>0</v>
      </c>
      <c r="AH99" s="282">
        <f t="shared" si="8"/>
        <v>0</v>
      </c>
      <c r="AI99" s="282" t="b">
        <f t="shared" si="255"/>
        <v>0</v>
      </c>
      <c r="AJ99" s="283" t="b">
        <f>FALSE</f>
        <v>0</v>
      </c>
    </row>
    <row r="100" spans="1:36">
      <c r="A100" s="267" t="s">
        <v>285</v>
      </c>
      <c r="B100" s="287">
        <f>660</f>
        <v>660</v>
      </c>
      <c r="C100" s="287">
        <f>111</f>
        <v>111</v>
      </c>
      <c r="D100" s="288">
        <f>8</f>
        <v>8</v>
      </c>
      <c r="E100" s="289">
        <f>0.75</f>
        <v>0.75</v>
      </c>
      <c r="F100" s="288">
        <f>100</f>
        <v>100</v>
      </c>
      <c r="G100" s="288">
        <f t="shared" ref="G100:I100" si="326">0</f>
        <v>0</v>
      </c>
      <c r="H100" s="288">
        <f t="shared" si="326"/>
        <v>0</v>
      </c>
      <c r="I100" s="289">
        <f t="shared" si="326"/>
        <v>0</v>
      </c>
      <c r="J100" s="290">
        <f>66</f>
        <v>66</v>
      </c>
      <c r="K100" s="288">
        <f>4.15</f>
        <v>4.1500000000000004</v>
      </c>
      <c r="L100" s="291">
        <f t="shared" ref="L100:M100" si="327">0.665</f>
        <v>0.66500000000000004</v>
      </c>
      <c r="M100" s="291">
        <f t="shared" si="327"/>
        <v>0.66500000000000004</v>
      </c>
      <c r="N100" s="292">
        <f>2.75%</f>
        <v>2.75E-2</v>
      </c>
      <c r="O100" s="287">
        <f>35</f>
        <v>35</v>
      </c>
      <c r="P100" s="287">
        <f>5.2</f>
        <v>5.2</v>
      </c>
      <c r="Q100" s="288">
        <f t="shared" si="315"/>
        <v>32</v>
      </c>
      <c r="R100" s="289">
        <f t="shared" si="316"/>
        <v>2.0499999999999998</v>
      </c>
      <c r="S100" s="293">
        <f t="shared" ref="S100:S101" si="328">345</f>
        <v>345</v>
      </c>
      <c r="T100" s="294">
        <f t="shared" ref="T100:T103" si="329">125</f>
        <v>125</v>
      </c>
      <c r="U100" s="295" t="e">
        <f ca="1">IF(Steroid_Q,1.4 * Self_BoAD + 45 * P_Q + 45, Self_BoAD + 30 * P_Q + 30)*MOD_Phys</f>
        <v>#NAME?</v>
      </c>
      <c r="V100" s="296" t="e">
        <f ca="1">IF(Steroid_W,(2.25*Self_AD+45*P_W-30)*MOD_Phys+3*(OH_Phys+OH_Magic),(1.5*Self_AD+30*P_W-20)*MOD_Phys+2*(OH_Phys+OH_Magic))</f>
        <v>#NAME?</v>
      </c>
      <c r="W100" s="296" t="e">
        <f ca="1">IF(Steroid_E,(20+85*P_E+2.25*Self_BoAD)*MOD_Phys,(20+60*P_E+1.8*Self_BoAD)*MOD_Phys)</f>
        <v>#NAME?</v>
      </c>
      <c r="X100" s="296" t="e">
        <f ca="1">(900 * P_R + 3 * Self_AP + 3 * Self_BoAD) * MOD_Magic</f>
        <v>#NAME?</v>
      </c>
      <c r="Y100" s="297">
        <f t="shared" si="324"/>
        <v>0</v>
      </c>
      <c r="Z100" s="281">
        <f>7</f>
        <v>7</v>
      </c>
      <c r="AA100" s="282">
        <f>18 - 2 * P_W</f>
        <v>18</v>
      </c>
      <c r="AB100" s="282">
        <f>17 - P_E</f>
        <v>17</v>
      </c>
      <c r="AC100" s="282">
        <f>140 - 20 * P_R</f>
        <v>140</v>
      </c>
      <c r="AD100" s="283">
        <f t="shared" si="319"/>
        <v>1</v>
      </c>
      <c r="AE100" s="284" t="b">
        <f t="shared" si="320"/>
        <v>1</v>
      </c>
      <c r="AF100" s="285" t="e">
        <f ca="1">_xludf.Image("https://ddragon.leagueoflegends.com/cdn/11.19.1/img/champion/Renekton.png")</f>
        <v>#NAME?</v>
      </c>
      <c r="AG100" s="282">
        <f ca="1">IFERROR(__xludf.DUMMYFUNCTION("IF(OR(REGEXMATCH(FORMULATEXT(U100),""HMOD""),NOT(P_Q&gt;0)),0,U100)+IF(OR(REGEXMATCH(FORMULATEXT(V100),""HMOD""),NOT(P_W&gt;0)),0,V100)+IF(OR(REGEXMATCH(FORMULATEXT(W100),""HMOD""),NOT(P_E&gt;0)),0,W100)+IF(OR(REGEXMATCH(FORMULATEXT(X100),""HMOD""),NOT(P_R&gt;0)),0,X"&amp;"100)+IF(REGEXMATCH(FORMULATEXT(Y100),""HMOD""),0,Y100)+Self_Proc_item+Self_Proc_Summ+Self_Proc_Rune+3*Self_DPS"),0)</f>
        <v>0</v>
      </c>
      <c r="AH100" s="282">
        <f t="shared" si="8"/>
        <v>0</v>
      </c>
      <c r="AI100" s="282" t="b">
        <f t="shared" si="255"/>
        <v>0</v>
      </c>
      <c r="AJ100" s="283" t="b">
        <f t="shared" ref="AJ100:AJ103" si="330">TRUE</f>
        <v>1</v>
      </c>
    </row>
    <row r="101" spans="1:36">
      <c r="A101" s="267" t="s">
        <v>286</v>
      </c>
      <c r="B101" s="287">
        <f>620</f>
        <v>620</v>
      </c>
      <c r="C101" s="287">
        <f>104</f>
        <v>104</v>
      </c>
      <c r="D101" s="288">
        <f>7</f>
        <v>7</v>
      </c>
      <c r="E101" s="289">
        <f t="shared" ref="E101:E102" si="331">0.5</f>
        <v>0.5</v>
      </c>
      <c r="F101" s="288">
        <f>4</f>
        <v>4</v>
      </c>
      <c r="G101" s="288">
        <f t="shared" ref="G101:I101" si="332">0</f>
        <v>0</v>
      </c>
      <c r="H101" s="288">
        <f t="shared" si="332"/>
        <v>0</v>
      </c>
      <c r="I101" s="289">
        <f t="shared" si="332"/>
        <v>0</v>
      </c>
      <c r="J101" s="290">
        <f>68</f>
        <v>68</v>
      </c>
      <c r="K101" s="288">
        <f t="shared" ref="K101:K102" si="333">3</f>
        <v>3</v>
      </c>
      <c r="L101" s="291">
        <f t="shared" ref="L101:M101" si="334">0.666</f>
        <v>0.66600000000000004</v>
      </c>
      <c r="M101" s="291">
        <f t="shared" si="334"/>
        <v>0.66600000000000004</v>
      </c>
      <c r="N101" s="292">
        <f>3%</f>
        <v>0.03</v>
      </c>
      <c r="O101" s="287">
        <f>34</f>
        <v>34</v>
      </c>
      <c r="P101" s="287">
        <f>4.2</f>
        <v>4.2</v>
      </c>
      <c r="Q101" s="288">
        <f t="shared" si="315"/>
        <v>32</v>
      </c>
      <c r="R101" s="289">
        <f t="shared" si="316"/>
        <v>2.0499999999999998</v>
      </c>
      <c r="S101" s="293">
        <f t="shared" si="328"/>
        <v>345</v>
      </c>
      <c r="T101" s="294">
        <f t="shared" si="329"/>
        <v>125</v>
      </c>
      <c r="U101" s="298" t="e">
        <f ca="1">IF(Steroid_Q,(1.4*Self_AD+15+15*Self_Level-IF(Self_Level&gt;9,5*(Self_Level-9),0))*MOD_Phys,(15+15*P_Q+(0.95+0.05*P_Q)*Self_AD)*MOD_Phys) * (1 + IF(IT_CDMG &gt; 0, 0.99, 0.66) * Self_Crit)</f>
        <v>#NAME?</v>
      </c>
      <c r="V101" s="299" t="e">
        <f ca="1">IF(Steroid_W,(40+10*Self_Level+0.8*Self_AP)*MOD_Magic,(30*P_W+20+0.8*Self_AP)*MOD_Magic)</f>
        <v>#NAME?</v>
      </c>
      <c r="W101" s="299" t="e">
        <f ca="1">IF(Steroid_E,(35+15*Self_Level+0.8*Self_BoAD)*MOD_Phys,(10+45*P_E+0.8*Self_BoAD)*MOD_Phys)</f>
        <v>#NAME?</v>
      </c>
      <c r="X101" s="299" t="e">
        <f ca="1">(1.5*Self_AD)*MOD_Phys</f>
        <v>#NAME?</v>
      </c>
      <c r="Y101" s="300">
        <f t="shared" si="324"/>
        <v>0</v>
      </c>
      <c r="Z101" s="281">
        <f>6.5 - 0.5 * P_Q</f>
        <v>6.5</v>
      </c>
      <c r="AA101" s="282">
        <f>17.5-1.5*P_W</f>
        <v>17.5</v>
      </c>
      <c r="AB101" s="282">
        <f>10</f>
        <v>10</v>
      </c>
      <c r="AC101" s="282">
        <f>120-10*P_R</f>
        <v>120</v>
      </c>
      <c r="AD101" s="283">
        <f t="shared" si="319"/>
        <v>1</v>
      </c>
      <c r="AE101" s="284" t="b">
        <f t="shared" si="320"/>
        <v>1</v>
      </c>
      <c r="AF101" s="285" t="e">
        <f ca="1">_xludf.Image("https://ddragon.leagueoflegends.com/cdn/11.19.1/img/champion/Rengar.png")</f>
        <v>#NAME?</v>
      </c>
      <c r="AG101" s="282">
        <f ca="1">IFERROR(__xludf.DUMMYFUNCTION("IF(OR(REGEXMATCH(FORMULATEXT(U101),""HMOD""),NOT(P_Q&gt;0)),0,U101)+IF(OR(REGEXMATCH(FORMULATEXT(V101),""HMOD""),NOT(P_W&gt;0)),0,V101)+IF(OR(REGEXMATCH(FORMULATEXT(W101),""HMOD""),NOT(P_E&gt;0)),0,W101)+IF(OR(REGEXMATCH(FORMULATEXT(X101),""HMOD""),NOT(P_R&gt;0)),0,X"&amp;"101)+IF(REGEXMATCH(FORMULATEXT(Y101),""HMOD""),0,Y101)+Self_Proc_item+Self_Proc_Summ+Self_Proc_Rune+3*Self_DPS"),0)</f>
        <v>0</v>
      </c>
      <c r="AH101" s="282">
        <f t="shared" si="8"/>
        <v>0</v>
      </c>
      <c r="AI101" s="282" t="b">
        <f t="shared" si="255"/>
        <v>0</v>
      </c>
      <c r="AJ101" s="283" t="b">
        <f t="shared" si="330"/>
        <v>1</v>
      </c>
    </row>
    <row r="102" spans="1:36">
      <c r="A102" s="301" t="s">
        <v>287</v>
      </c>
      <c r="B102" s="282">
        <f>630</f>
        <v>630</v>
      </c>
      <c r="C102" s="282">
        <f>100</f>
        <v>100</v>
      </c>
      <c r="D102" s="282">
        <f>8.5</f>
        <v>8.5</v>
      </c>
      <c r="E102" s="302">
        <f t="shared" si="331"/>
        <v>0.5</v>
      </c>
      <c r="F102" s="282">
        <f t="shared" ref="F102:I102" si="335">0</f>
        <v>0</v>
      </c>
      <c r="G102" s="282">
        <f t="shared" si="335"/>
        <v>0</v>
      </c>
      <c r="H102" s="282">
        <f t="shared" si="335"/>
        <v>0</v>
      </c>
      <c r="I102" s="302">
        <f t="shared" si="335"/>
        <v>0</v>
      </c>
      <c r="J102" s="303">
        <f>64</f>
        <v>64</v>
      </c>
      <c r="K102" s="282">
        <f t="shared" si="333"/>
        <v>3</v>
      </c>
      <c r="L102" s="304">
        <f t="shared" ref="L102:M102" si="336">0.625</f>
        <v>0.625</v>
      </c>
      <c r="M102" s="304">
        <f t="shared" si="336"/>
        <v>0.625</v>
      </c>
      <c r="N102" s="305">
        <f>3.5%</f>
        <v>3.5000000000000003E-2</v>
      </c>
      <c r="O102" s="282">
        <f>33</f>
        <v>33</v>
      </c>
      <c r="P102" s="282">
        <f>4.4</f>
        <v>4.4000000000000004</v>
      </c>
      <c r="Q102" s="282">
        <f t="shared" si="315"/>
        <v>32</v>
      </c>
      <c r="R102" s="302">
        <f t="shared" si="316"/>
        <v>2.0499999999999998</v>
      </c>
      <c r="S102" s="285">
        <f>340</f>
        <v>340</v>
      </c>
      <c r="T102" s="286">
        <f t="shared" si="329"/>
        <v>125</v>
      </c>
      <c r="U102" s="295" t="e">
        <f ca="1">((1.2+0.15*P_Q)*Self_AD+60*P_Q-15)*MOD_Phys</f>
        <v>#NAME?</v>
      </c>
      <c r="V102" s="296" t="e">
        <f ca="1">(Self_BoAD + 30 * P_W + 35) * MOD_Phys</f>
        <v>#NAME?</v>
      </c>
      <c r="W102" s="296">
        <f>(35 * P_E + 45 + 1.1 * Self_BoAD) * MOD_Heal</f>
        <v>45</v>
      </c>
      <c r="X102" s="296">
        <f>(50+50*P_R+0.6*Self_BoAD)*(1+(2*(1-(IF(E_CHP&lt;25,25,E_CHP)-25)/75)))</f>
        <v>50</v>
      </c>
      <c r="Y102" s="297" t="e">
        <f ca="1">(0.3 + 0.3 * Sc_Lin) * Self_AD * MOD_Phys</f>
        <v>#NAME?</v>
      </c>
      <c r="Z102" s="284">
        <f>13</f>
        <v>13</v>
      </c>
      <c r="AA102" s="282">
        <f>12-P_W</f>
        <v>12</v>
      </c>
      <c r="AB102" s="282">
        <f>11-P_E</f>
        <v>11</v>
      </c>
      <c r="AC102" s="285">
        <f>150-30*P_R</f>
        <v>150</v>
      </c>
      <c r="AD102" s="286">
        <f t="shared" si="319"/>
        <v>1</v>
      </c>
      <c r="AE102" s="284" t="b">
        <f t="shared" si="320"/>
        <v>1</v>
      </c>
      <c r="AF102" s="285" t="e">
        <f ca="1">_xludf.Image("https://ddragon.leagueoflegends.com/cdn/11.19.1/img/champion/Riven.png")</f>
        <v>#NAME?</v>
      </c>
      <c r="AG102" s="282">
        <f ca="1">IFERROR(__xludf.DUMMYFUNCTION("IF(OR(REGEXMATCH(FORMULATEXT(U102),""HMOD""),NOT(P_Q&gt;0)),0,U102)+IF(OR(REGEXMATCH(FORMULATEXT(V102),""HMOD""),NOT(P_W&gt;0)),0,V102)+IF(OR(REGEXMATCH(FORMULATEXT(W102),""HMOD""),NOT(P_E&gt;0)),0,W102)+IF(OR(REGEXMATCH(FORMULATEXT(X102),""HMOD""),NOT(P_R&gt;0)),0,X"&amp;"102)+IF(REGEXMATCH(FORMULATEXT(Y102),""HMOD""),0,Y102)+Self_Proc_item+Self_Proc_Summ+Self_Proc_Rune+3*Self_DPS"),0)</f>
        <v>0</v>
      </c>
      <c r="AH102" s="282">
        <f t="shared" si="8"/>
        <v>0</v>
      </c>
      <c r="AI102" s="282" t="b">
        <f t="shared" si="255"/>
        <v>0</v>
      </c>
      <c r="AJ102" s="283" t="b">
        <f t="shared" si="330"/>
        <v>1</v>
      </c>
    </row>
    <row r="103" spans="1:36">
      <c r="A103" s="267" t="s">
        <v>288</v>
      </c>
      <c r="B103" s="287">
        <f>625</f>
        <v>625</v>
      </c>
      <c r="C103" s="287">
        <f>105</f>
        <v>105</v>
      </c>
      <c r="D103" s="288">
        <f>7</f>
        <v>7</v>
      </c>
      <c r="E103" s="289">
        <f>0.6</f>
        <v>0.6</v>
      </c>
      <c r="F103" s="288">
        <f>150</f>
        <v>150</v>
      </c>
      <c r="G103" s="288">
        <f t="shared" ref="G103:I103" si="337">0</f>
        <v>0</v>
      </c>
      <c r="H103" s="288">
        <f t="shared" si="337"/>
        <v>0</v>
      </c>
      <c r="I103" s="289">
        <f t="shared" si="337"/>
        <v>0</v>
      </c>
      <c r="J103" s="290">
        <f>61</f>
        <v>61</v>
      </c>
      <c r="K103" s="288">
        <f>3.2</f>
        <v>3.2</v>
      </c>
      <c r="L103" s="291">
        <f t="shared" ref="L103:M103" si="338">0.644</f>
        <v>0.64400000000000002</v>
      </c>
      <c r="M103" s="291">
        <f t="shared" si="338"/>
        <v>0.64400000000000002</v>
      </c>
      <c r="N103" s="292">
        <f>1.85%</f>
        <v>1.8500000000000003E-2</v>
      </c>
      <c r="O103" s="287">
        <f>36</f>
        <v>36</v>
      </c>
      <c r="P103" s="287">
        <f>4.7</f>
        <v>4.7</v>
      </c>
      <c r="Q103" s="288">
        <f>28</f>
        <v>28</v>
      </c>
      <c r="R103" s="289">
        <f>1.55</f>
        <v>1.55</v>
      </c>
      <c r="S103" s="293">
        <f>345</f>
        <v>345</v>
      </c>
      <c r="T103" s="294">
        <f t="shared" si="329"/>
        <v>125</v>
      </c>
      <c r="U103" s="298" t="e">
        <f ca="1">IF(Steroid_Q, 1.5, 1) * (120 + 15 * P_Q + (0.05 + 0.01 * P_Q) * E_MHP + 1.1 * Self_AP) * MOD_Magic</f>
        <v>#NAME?</v>
      </c>
      <c r="V103" s="299">
        <f>IF(Steroid_W, 1.5, 1) * (-5 + 30 * P_W + 0.25 * Self_AP + 0.04 * Self_MHP) * MOD_Heal</f>
        <v>-5</v>
      </c>
      <c r="W103" s="299" t="e">
        <f ca="1">IF(Steroid_E,1.5,1)*(70+50*P_E+0.8*Self_AP)*MOD_Magic</f>
        <v>#NAME?</v>
      </c>
      <c r="X103" s="299" t="e">
        <f ca="1">(1.75 * Self_AP + 350 * P_R + 350) * MOD_Magic</f>
        <v>#NAME?</v>
      </c>
      <c r="Y103" s="300" t="e">
        <f ca="1">(5 + 35 * Sc_Lin + 0.25 * Self_AP + 0.06 * E_MHP) * MOD_Magic * IF(Steroid_P, 1, 0)</f>
        <v>#NAME?</v>
      </c>
      <c r="Z103" s="281">
        <f>11-P_Q</f>
        <v>11</v>
      </c>
      <c r="AA103" s="282">
        <f t="shared" ref="AA103:AB103" si="339">6</f>
        <v>6</v>
      </c>
      <c r="AB103" s="282">
        <f t="shared" si="339"/>
        <v>6</v>
      </c>
      <c r="AC103" s="282">
        <f>155-25*P_R</f>
        <v>155</v>
      </c>
      <c r="AD103" s="283">
        <f t="shared" si="319"/>
        <v>1</v>
      </c>
      <c r="AE103" s="284" t="b">
        <f t="shared" si="320"/>
        <v>1</v>
      </c>
      <c r="AF103" s="285" t="e">
        <f ca="1">_xludf.Image("https://ddragon.leagueoflegends.com/cdn/11.19.1/img/champion/Rumble.png")</f>
        <v>#NAME?</v>
      </c>
      <c r="AG103" s="282">
        <f ca="1">IFERROR(__xludf.DUMMYFUNCTION("IF(OR(REGEXMATCH(FORMULATEXT(U103),""HMOD""),NOT(P_Q&gt;0)),0,U103)+IF(OR(REGEXMATCH(FORMULATEXT(V103),""HMOD""),NOT(P_W&gt;0)),0,V103)+IF(OR(REGEXMATCH(FORMULATEXT(W103),""HMOD""),NOT(P_E&gt;0)),0,W103)+IF(OR(REGEXMATCH(FORMULATEXT(X103),""HMOD""),NOT(P_R&gt;0)),0,X"&amp;"103)+IF(REGEXMATCH(FORMULATEXT(Y103),""HMOD""),0,Y103)+Self_Proc_item+Self_Proc_Summ+Self_Proc_Rune+3*Self_DPS"),0)</f>
        <v>0</v>
      </c>
      <c r="AH103" s="282">
        <f t="shared" si="8"/>
        <v>0</v>
      </c>
      <c r="AI103" s="282" t="b">
        <f t="shared" si="255"/>
        <v>0</v>
      </c>
      <c r="AJ103" s="283" t="b">
        <f t="shared" si="330"/>
        <v>1</v>
      </c>
    </row>
    <row r="104" spans="1:36">
      <c r="A104" s="301" t="s">
        <v>289</v>
      </c>
      <c r="B104" s="282">
        <f>645</f>
        <v>645</v>
      </c>
      <c r="C104" s="282">
        <f>124</f>
        <v>124</v>
      </c>
      <c r="D104" s="282">
        <f>8</f>
        <v>8</v>
      </c>
      <c r="E104" s="302">
        <f>1</f>
        <v>1</v>
      </c>
      <c r="F104" s="282">
        <f>300</f>
        <v>300</v>
      </c>
      <c r="G104" s="282">
        <f>70</f>
        <v>70</v>
      </c>
      <c r="H104" s="282">
        <f>8</f>
        <v>8</v>
      </c>
      <c r="I104" s="302">
        <f>0.8</f>
        <v>0.8</v>
      </c>
      <c r="J104" s="303">
        <f>58</f>
        <v>58</v>
      </c>
      <c r="K104" s="282">
        <f>3</f>
        <v>3</v>
      </c>
      <c r="L104" s="304">
        <f t="shared" ref="L104:M104" si="340">0.625</f>
        <v>0.625</v>
      </c>
      <c r="M104" s="304">
        <f t="shared" si="340"/>
        <v>0.625</v>
      </c>
      <c r="N104" s="305">
        <f>2.112%</f>
        <v>2.112E-2</v>
      </c>
      <c r="O104" s="282">
        <f>22</f>
        <v>22</v>
      </c>
      <c r="P104" s="282">
        <f>4.2</f>
        <v>4.2</v>
      </c>
      <c r="Q104" s="282">
        <f>32</f>
        <v>32</v>
      </c>
      <c r="R104" s="302">
        <f t="shared" ref="R104:R105" si="341">1.3</f>
        <v>1.3</v>
      </c>
      <c r="S104" s="285">
        <f>340</f>
        <v>340</v>
      </c>
      <c r="T104" s="286">
        <f>550</f>
        <v>550</v>
      </c>
      <c r="U104" s="295" t="e">
        <f ca="1">(20 * P_Q + 50 + 0.55 * Self_AP + 0.02 * Self_BoMP) * MOD_Magic * IF(Steroid_Q,1.1 + 0.3 * P_R, 1)</f>
        <v>#NAME?</v>
      </c>
      <c r="V104" s="296" t="e">
        <f ca="1">(30 * P_W + 50 + 0.7 * Self_AP + 0.04 * Self_BoMP) * MOD_Magic</f>
        <v>#NAME?</v>
      </c>
      <c r="W104" s="296" t="e">
        <f ca="1">(30 * P_E + 30 + 0.5 * Self_AP + 0.02 * Self_BoMP) * MOD_Magic</f>
        <v>#NAME?</v>
      </c>
      <c r="X104" s="296">
        <f>0</f>
        <v>0</v>
      </c>
      <c r="Y104" s="297">
        <f>Calc!I7</f>
        <v>0</v>
      </c>
      <c r="Z104" s="284">
        <f>5</f>
        <v>5</v>
      </c>
      <c r="AA104" s="282">
        <f>14-P_W</f>
        <v>14</v>
      </c>
      <c r="AB104" s="285">
        <f>3.75 - 0.25 * P_E</f>
        <v>3.75</v>
      </c>
      <c r="AC104" s="285">
        <f>240-30*P_R</f>
        <v>240</v>
      </c>
      <c r="AD104" s="286">
        <f t="shared" si="319"/>
        <v>1</v>
      </c>
      <c r="AE104" s="284" t="b">
        <f t="shared" ref="AE104:AE105" si="342">FALSE</f>
        <v>0</v>
      </c>
      <c r="AF104" s="285" t="e">
        <f ca="1">_xludf.Image("https://ddragon.leagueoflegends.com/cdn/11.19.1/img/champion/Ryze.png")</f>
        <v>#NAME?</v>
      </c>
      <c r="AG104" s="282">
        <f ca="1">IFERROR(__xludf.DUMMYFUNCTION("IF(OR(REGEXMATCH(FORMULATEXT(U104),""HMOD""),NOT(P_Q&gt;0)),0,U104)+IF(OR(REGEXMATCH(FORMULATEXT(V104),""HMOD""),NOT(P_W&gt;0)),0,V104)+IF(OR(REGEXMATCH(FORMULATEXT(W104),""HMOD""),NOT(P_E&gt;0)),0,W104)+IF(OR(REGEXMATCH(FORMULATEXT(X104),""HMOD""),NOT(P_R&gt;0)),0,X"&amp;"104)+IF(REGEXMATCH(FORMULATEXT(Y104),""HMOD""),0,Y104)+Self_Proc_item+Self_Proc_Summ+Self_Proc_Rune+3*Self_DPS"),0)</f>
        <v>0</v>
      </c>
      <c r="AH104" s="282">
        <f t="shared" si="8"/>
        <v>0</v>
      </c>
      <c r="AI104" s="282" t="b">
        <f t="shared" si="255"/>
        <v>0</v>
      </c>
      <c r="AJ104" s="283" t="b">
        <f t="shared" ref="AJ104:AJ108" si="343">FALSE</f>
        <v>0</v>
      </c>
    </row>
    <row r="105" spans="1:36">
      <c r="A105" s="301" t="s">
        <v>290</v>
      </c>
      <c r="B105" s="282">
        <f>600</f>
        <v>600</v>
      </c>
      <c r="C105" s="282">
        <f>108</f>
        <v>108</v>
      </c>
      <c r="D105" s="282">
        <f>3.25</f>
        <v>3.25</v>
      </c>
      <c r="E105" s="302">
        <f>0.55</f>
        <v>0.55000000000000004</v>
      </c>
      <c r="F105" s="282">
        <f>349</f>
        <v>349</v>
      </c>
      <c r="G105" s="282">
        <f>38</f>
        <v>38</v>
      </c>
      <c r="H105" s="282">
        <f>8.18</f>
        <v>8.18</v>
      </c>
      <c r="I105" s="302">
        <f t="shared" ref="I105:I107" si="344">0.7</f>
        <v>0.7</v>
      </c>
      <c r="J105" s="303">
        <f>57</f>
        <v>57</v>
      </c>
      <c r="K105" s="282">
        <f>3.3</f>
        <v>3.3</v>
      </c>
      <c r="L105" s="304">
        <f t="shared" ref="L105:M105" si="345">0.658</f>
        <v>0.65800000000000003</v>
      </c>
      <c r="M105" s="304">
        <f t="shared" si="345"/>
        <v>0.65800000000000003</v>
      </c>
      <c r="N105" s="305">
        <f>3.3%</f>
        <v>3.3000000000000002E-2</v>
      </c>
      <c r="O105" s="282">
        <f>26</f>
        <v>26</v>
      </c>
      <c r="P105" s="282">
        <f>4.7</f>
        <v>4.7</v>
      </c>
      <c r="Q105" s="282">
        <f>30</f>
        <v>30</v>
      </c>
      <c r="R105" s="302">
        <f t="shared" si="341"/>
        <v>1.3</v>
      </c>
      <c r="S105" s="285">
        <f>335</f>
        <v>335</v>
      </c>
      <c r="T105" s="286">
        <f>500</f>
        <v>500</v>
      </c>
      <c r="U105" s="298" t="e">
        <f ca="1">(5*P_Q-5+Self_AD*(0.75+0.1*P_Q))*MOD_Phys*(1+(0.25+IT_CDMG)*Self_Crit)</f>
        <v>#NAME?</v>
      </c>
      <c r="V105" s="299" t="e">
        <f ca="1">(10+30*P_W+1.6*Self_BoAD)*MOD_Phys</f>
        <v>#NAME?</v>
      </c>
      <c r="W105" s="299" t="e">
        <f ca="1">(40+10*P_E+0.2*Self_BoAD)*MOD_Magic</f>
        <v>#NAME?</v>
      </c>
      <c r="X105" s="299" t="e">
        <f ca="1">(100 * P_R + 5 * Self_AD - 50) * MOD_Phys * (1 + Self_Crit * (Self_CritDMG - 1) )</f>
        <v>#NAME?</v>
      </c>
      <c r="Y105" s="300" t="e">
        <f ca="1">(1+Self_Level+(0.035+0.07*Sc_Lin)*Self_BoAD)*MOD_Magic*(1+(1-(E_CHP/100)))</f>
        <v>#NAME?</v>
      </c>
      <c r="Z105" s="284">
        <f>7-P_Q</f>
        <v>7</v>
      </c>
      <c r="AA105" s="285">
        <f>32-2*P_W</f>
        <v>32</v>
      </c>
      <c r="AB105" s="285">
        <f>22-2*P_E</f>
        <v>22</v>
      </c>
      <c r="AC105" s="285">
        <f>5</f>
        <v>5</v>
      </c>
      <c r="AD105" s="286">
        <f t="shared" si="319"/>
        <v>1</v>
      </c>
      <c r="AE105" s="284" t="b">
        <f t="shared" si="342"/>
        <v>0</v>
      </c>
      <c r="AF105" s="285" t="e">
        <f ca="1">_xludf.Image("https://ddragon.leagueoflegends.com/cdn/11.19.1/img/champion/Samira.png")</f>
        <v>#NAME?</v>
      </c>
      <c r="AG105" s="282">
        <f ca="1">IFERROR(__xludf.DUMMYFUNCTION("IF(OR(REGEXMATCH(FORMULATEXT(U105),""HMOD""),NOT(P_Q&gt;0)),0,U105)+IF(OR(REGEXMATCH(FORMULATEXT(V105),""HMOD""),NOT(P_W&gt;0)),0,V105)+IF(OR(REGEXMATCH(FORMULATEXT(W105),""HMOD""),NOT(P_E&gt;0)),0,W105)+IF(OR(REGEXMATCH(FORMULATEXT(X105),""HMOD""),NOT(P_R&gt;0)),0,X"&amp;"105)+IF(REGEXMATCH(FORMULATEXT(Y105),""HMOD""),0,Y105)+Self_Proc_item+Self_Proc_Summ+Self_Proc_Rune+3*Self_DPS"),2)</f>
        <v>2</v>
      </c>
      <c r="AH105" s="282">
        <f t="shared" si="8"/>
        <v>0</v>
      </c>
      <c r="AI105" s="282" t="b">
        <f t="shared" si="255"/>
        <v>0</v>
      </c>
      <c r="AJ105" s="283" t="b">
        <f t="shared" si="343"/>
        <v>0</v>
      </c>
    </row>
    <row r="106" spans="1:36">
      <c r="A106" s="267" t="s">
        <v>291</v>
      </c>
      <c r="B106" s="287">
        <f>630</f>
        <v>630</v>
      </c>
      <c r="C106" s="287">
        <f>114</f>
        <v>114</v>
      </c>
      <c r="D106" s="288">
        <f>8.5</f>
        <v>8.5</v>
      </c>
      <c r="E106" s="289">
        <f>1</f>
        <v>1</v>
      </c>
      <c r="F106" s="288">
        <f>400</f>
        <v>400</v>
      </c>
      <c r="G106" s="288">
        <f>40</f>
        <v>40</v>
      </c>
      <c r="H106" s="288">
        <f>7</f>
        <v>7</v>
      </c>
      <c r="I106" s="289">
        <f t="shared" si="344"/>
        <v>0.7</v>
      </c>
      <c r="J106" s="290">
        <f>66</f>
        <v>66</v>
      </c>
      <c r="K106" s="288">
        <f>4</f>
        <v>4</v>
      </c>
      <c r="L106" s="291">
        <f>0.688</f>
        <v>0.68799999999999994</v>
      </c>
      <c r="M106" s="291">
        <f>0.625</f>
        <v>0.625</v>
      </c>
      <c r="N106" s="292">
        <f>3.5%</f>
        <v>3.5000000000000003E-2</v>
      </c>
      <c r="O106" s="287">
        <f>34</f>
        <v>34</v>
      </c>
      <c r="P106" s="287">
        <f>5.45</f>
        <v>5.45</v>
      </c>
      <c r="Q106" s="288">
        <f>32</f>
        <v>32</v>
      </c>
      <c r="R106" s="289">
        <f>2.05</f>
        <v>2.0499999999999998</v>
      </c>
      <c r="S106" s="293">
        <f>340</f>
        <v>340</v>
      </c>
      <c r="T106" s="294">
        <f>150</f>
        <v>150</v>
      </c>
      <c r="U106" s="295" t="e">
        <f ca="1">(40 + 50 * P_Q + 0.6 * Self_AP) * MOD_Magic</f>
        <v>#NAME?</v>
      </c>
      <c r="V106" s="296" t="e">
        <f ca="1">(0.08*Self_MHP+45*P_W+0.8*Self_AP+5)*MOD_Phys</f>
        <v>#NAME?</v>
      </c>
      <c r="W106" s="296" t="e">
        <f ca="1">(5+50*P_E+0.6*Self_AP)*MOD_Magic+IF(Steroid_E,Y106,0)</f>
        <v>#NAME?</v>
      </c>
      <c r="X106" s="296" t="e">
        <f ca="1">IF(Steroid_R,0.8*Self_AP+100+100*P_R,0.4*Self_AP+100+25*P_R)*MOD_Magic</f>
        <v>#NAME?</v>
      </c>
      <c r="Y106" s="297" t="e">
        <f ca="1">0.1*E_MHP*MOD_Magic</f>
        <v>#NAME?</v>
      </c>
      <c r="Z106" s="281">
        <f>20.5 - 1.5 * P_Q</f>
        <v>20.5</v>
      </c>
      <c r="AA106" s="282">
        <f>10-P_W</f>
        <v>10</v>
      </c>
      <c r="AB106" s="282">
        <f>1.5</f>
        <v>1.5</v>
      </c>
      <c r="AC106" s="282">
        <f>150-20*P_R</f>
        <v>150</v>
      </c>
      <c r="AD106" s="283">
        <f>12 - Sc_Lin</f>
        <v>12</v>
      </c>
      <c r="AE106" s="284" t="b">
        <f>TRUE</f>
        <v>1</v>
      </c>
      <c r="AF106" s="285" t="e">
        <f ca="1">_xludf.Image("https://ddragon.leagueoflegends.com/cdn/11.19.1/img/champion/Sejuani.png")</f>
        <v>#NAME?</v>
      </c>
      <c r="AG106" s="282">
        <f ca="1">IFERROR(__xludf.DUMMYFUNCTION("IF(OR(REGEXMATCH(FORMULATEXT(U106),""HMOD""),NOT(P_Q&gt;0)),0,U106)+IF(OR(REGEXMATCH(FORMULATEXT(V106),""HMOD""),NOT(P_W&gt;0)),0,V106)+IF(OR(REGEXMATCH(FORMULATEXT(W106),""HMOD""),NOT(P_E&gt;0)),0,W106)+IF(OR(REGEXMATCH(FORMULATEXT(X106),""HMOD""),NOT(P_R&gt;0)),0,X"&amp;"106)+IF(REGEXMATCH(FORMULATEXT(Y106),""HMOD""),0,Y106)+Self_Proc_item+Self_Proc_Summ+Self_Proc_Rune+3*Self_DPS"),0)</f>
        <v>0</v>
      </c>
      <c r="AH106" s="282">
        <f t="shared" si="8"/>
        <v>0</v>
      </c>
      <c r="AI106" s="282" t="b">
        <f t="shared" si="255"/>
        <v>0</v>
      </c>
      <c r="AJ106" s="283" t="b">
        <f t="shared" si="343"/>
        <v>0</v>
      </c>
    </row>
    <row r="107" spans="1:36">
      <c r="A107" s="267" t="s">
        <v>292</v>
      </c>
      <c r="B107" s="287">
        <f>530</f>
        <v>530</v>
      </c>
      <c r="C107" s="287">
        <f>89</f>
        <v>89</v>
      </c>
      <c r="D107" s="288">
        <f>3.5</f>
        <v>3.5</v>
      </c>
      <c r="E107" s="289">
        <f>0.55</f>
        <v>0.55000000000000004</v>
      </c>
      <c r="F107" s="288">
        <f>350</f>
        <v>350</v>
      </c>
      <c r="G107" s="288">
        <f>45</f>
        <v>45</v>
      </c>
      <c r="H107" s="288">
        <f>12</f>
        <v>12</v>
      </c>
      <c r="I107" s="289">
        <f t="shared" si="344"/>
        <v>0.7</v>
      </c>
      <c r="J107" s="290">
        <f t="shared" ref="J107:J108" si="346">50</f>
        <v>50</v>
      </c>
      <c r="K107" s="288">
        <f>0</f>
        <v>0</v>
      </c>
      <c r="L107" s="291">
        <f>0.625</f>
        <v>0.625</v>
      </c>
      <c r="M107" s="291">
        <f>0.4</f>
        <v>0.4</v>
      </c>
      <c r="N107" s="292">
        <f>4%</f>
        <v>0.04</v>
      </c>
      <c r="O107" s="287">
        <f>28</f>
        <v>28</v>
      </c>
      <c r="P107" s="287">
        <f>4.7</f>
        <v>4.7</v>
      </c>
      <c r="Q107" s="288">
        <f t="shared" ref="Q107:Q108" si="347">30</f>
        <v>30</v>
      </c>
      <c r="R107" s="289">
        <f t="shared" ref="R107:R108" si="348">1.3</f>
        <v>1.3</v>
      </c>
      <c r="S107" s="293">
        <f>330</f>
        <v>330</v>
      </c>
      <c r="T107" s="294">
        <v>600</v>
      </c>
      <c r="U107" s="298" t="e">
        <f ca="1">(-5 + 35 * P_Q + 0.5 * Self_BoAD) * MOD_Phys + OH_Phys + OH_Magic</f>
        <v>#NAME?</v>
      </c>
      <c r="V107" s="299" t="e">
        <f ca="1">(25+45*P_W+0.7*Self_BoAD)*MOD_Phys</f>
        <v>#NAME?</v>
      </c>
      <c r="W107" s="299">
        <f>0</f>
        <v>0</v>
      </c>
      <c r="X107" s="299" t="e">
        <f ca="1">(100 + 150 * P_R + 1.15 * Self_AD + 0.7 * Self_AP) * MOD_Phys</f>
        <v>#NAME?</v>
      </c>
      <c r="Y107" s="300" t="e">
        <f ca="1">IF(Self_Level &gt; 10, 0.1, 0.01*Self_Level + 0.1) * E_CHPV * MOD_Phys</f>
        <v>#NAME?</v>
      </c>
      <c r="Z107" s="281">
        <f>15</f>
        <v>15</v>
      </c>
      <c r="AA107" s="282">
        <f>11</f>
        <v>11</v>
      </c>
      <c r="AB107" s="282">
        <f>27.5-1.5*P_E</f>
        <v>27.5</v>
      </c>
      <c r="AC107" s="282">
        <f>160 - 20 * P_R</f>
        <v>160</v>
      </c>
      <c r="AD107" s="283">
        <f>4</f>
        <v>4</v>
      </c>
      <c r="AE107" s="284" t="b">
        <f t="shared" ref="AE107:AE108" si="349">FALSE</f>
        <v>0</v>
      </c>
      <c r="AF107" s="285" t="e">
        <f ca="1">_xludf.Image("https://ddragon.leagueoflegends.com/cdn/11.19.1/img/champion/Senna.png")</f>
        <v>#NAME?</v>
      </c>
      <c r="AG107" s="282">
        <f ca="1">IFERROR(__xludf.DUMMYFUNCTION("IF(OR(REGEXMATCH(FORMULATEXT(U107),""HMOD""),NOT(P_Q&gt;0)),0,U107)+IF(OR(REGEXMATCH(FORMULATEXT(V107),""HMOD""),NOT(P_W&gt;0)),0,V107)+IF(OR(REGEXMATCH(FORMULATEXT(W107),""HMOD""),NOT(P_E&gt;0)),0,W107)+IF(OR(REGEXMATCH(FORMULATEXT(X107),""HMOD""),NOT(P_R&gt;0)),0,X"&amp;"107)+IF(REGEXMATCH(FORMULATEXT(Y107),""HMOD""),0,Y107)+Self_Proc_item+Self_Proc_Summ+Self_Proc_Rune+3*Self_DPS"),0)</f>
        <v>0</v>
      </c>
      <c r="AH107" s="282">
        <f t="shared" si="8"/>
        <v>0</v>
      </c>
      <c r="AI107" s="282" t="b">
        <f t="shared" si="255"/>
        <v>0</v>
      </c>
      <c r="AJ107" s="283" t="b">
        <f t="shared" si="343"/>
        <v>0</v>
      </c>
    </row>
    <row r="108" spans="1:36">
      <c r="A108" s="267" t="s">
        <v>293</v>
      </c>
      <c r="B108" s="287">
        <f>570</f>
        <v>570</v>
      </c>
      <c r="C108" s="287">
        <f>104</f>
        <v>104</v>
      </c>
      <c r="D108" s="288">
        <f>6.5</f>
        <v>6.5</v>
      </c>
      <c r="E108" s="289">
        <f>0.6</f>
        <v>0.6</v>
      </c>
      <c r="F108" s="288">
        <f>440</f>
        <v>440</v>
      </c>
      <c r="G108" s="288">
        <f>40</f>
        <v>40</v>
      </c>
      <c r="H108" s="288">
        <f>8</f>
        <v>8</v>
      </c>
      <c r="I108" s="289">
        <f>1</f>
        <v>1</v>
      </c>
      <c r="J108" s="290">
        <f t="shared" si="346"/>
        <v>50</v>
      </c>
      <c r="K108" s="288">
        <f>3</f>
        <v>3</v>
      </c>
      <c r="L108" s="291">
        <f>0.669</f>
        <v>0.66900000000000004</v>
      </c>
      <c r="M108" s="291">
        <f>0.625</f>
        <v>0.625</v>
      </c>
      <c r="N108" s="292">
        <f>1%</f>
        <v>0.01</v>
      </c>
      <c r="O108" s="287">
        <f>19</f>
        <v>19</v>
      </c>
      <c r="P108" s="287">
        <f>4.2</f>
        <v>4.2</v>
      </c>
      <c r="Q108" s="288">
        <f t="shared" si="347"/>
        <v>30</v>
      </c>
      <c r="R108" s="289">
        <f t="shared" si="348"/>
        <v>1.3</v>
      </c>
      <c r="S108" s="293">
        <f>325</f>
        <v>325</v>
      </c>
      <c r="T108" s="294">
        <f>525</f>
        <v>525</v>
      </c>
      <c r="U108" s="295" t="e">
        <f ca="1">(40+15*P_Q+(0.4+0.05*P_Q)*Self_AP)*MOD_Magic*IF(Steroid_Q,2,1)*(1+0.5*(1-(IF(E_CHP&lt;25,25,E_CHP)-25)/75))</f>
        <v>#NAME?</v>
      </c>
      <c r="V108" s="296">
        <f>(30 + 20 * P_W + 0.25 * Self_AP) * MOD_Heal * IF(Steroid_W, 2, 1) + IF(Steroid_W, ((0.045 + 0.005 * P_W + 0.00004 * Self_AP) * Self_MisHPV) * MOD_Heal, 0)</f>
        <v>30</v>
      </c>
      <c r="W108" s="296" t="e">
        <f ca="1">(40+20*P_E+0.35*Self_AP)*MOD_Magic*IF(Steroid_E,2,1)</f>
        <v>#NAME?</v>
      </c>
      <c r="X108" s="296" t="e">
        <f ca="1">(100+50*P_R+0.6*Self_AP)*MOD_Magic</f>
        <v>#NAME?</v>
      </c>
      <c r="Y108" s="297" t="e">
        <f ca="1">(IF(Self_Level &gt;= 16, 24, IF(Self_Level &gt;= 11, 14, IF(Self_Level &gt;= 6, 8, 4))) + (0.07 * Self_AP)) * MOD_Magic * IF(Steroid_P, 6, 1)</f>
        <v>#NAME?</v>
      </c>
      <c r="Z108" s="281">
        <f>11.25-1.25*P_Q</f>
        <v>11.25</v>
      </c>
      <c r="AA108" s="282">
        <f>30 - 2 * P_W</f>
        <v>30</v>
      </c>
      <c r="AB108" s="282">
        <f>10</f>
        <v>10</v>
      </c>
      <c r="AC108" s="282">
        <f>190-30*P_R</f>
        <v>190</v>
      </c>
      <c r="AD108" s="283">
        <f t="shared" ref="AD108:AD109" si="350">1</f>
        <v>1</v>
      </c>
      <c r="AE108" s="284" t="b">
        <f t="shared" si="349"/>
        <v>0</v>
      </c>
      <c r="AF108" s="285" t="e">
        <f ca="1">_xludf.Image("https://ddragon.leagueoflegends.com/cdn/11.19.1/img/champion/Seraphine.png")</f>
        <v>#NAME?</v>
      </c>
      <c r="AG108" s="282">
        <f ca="1">IFERROR(__xludf.DUMMYFUNCTION("IF(OR(REGEXMATCH(FORMULATEXT(U108),""HMOD""),NOT(P_Q&gt;0)),0,U108)+IF(OR(REGEXMATCH(FORMULATEXT(V108),""HMOD""),NOT(P_W&gt;0)),0,V108)+IF(OR(REGEXMATCH(FORMULATEXT(W108),""HMOD""),NOT(P_E&gt;0)),0,W108)+IF(OR(REGEXMATCH(FORMULATEXT(X108),""HMOD""),NOT(P_R&gt;0)),0,X"&amp;"108)+IF(REGEXMATCH(FORMULATEXT(Y108),""HMOD""),0,Y108)+Self_Proc_item+Self_Proc_Summ+Self_Proc_Rune+3*Self_DPS"),4)</f>
        <v>4</v>
      </c>
      <c r="AH108" s="282">
        <f t="shared" si="8"/>
        <v>0</v>
      </c>
      <c r="AI108" s="282" t="b">
        <f t="shared" si="255"/>
        <v>0</v>
      </c>
      <c r="AJ108" s="283" t="b">
        <f t="shared" si="343"/>
        <v>0</v>
      </c>
    </row>
    <row r="109" spans="1:36">
      <c r="A109" s="267" t="s">
        <v>294</v>
      </c>
      <c r="B109" s="287">
        <f>670</f>
        <v>670</v>
      </c>
      <c r="C109" s="287">
        <f>114</f>
        <v>114</v>
      </c>
      <c r="D109" s="288">
        <f>7</f>
        <v>7</v>
      </c>
      <c r="E109" s="289">
        <f>0.5</f>
        <v>0.5</v>
      </c>
      <c r="F109" s="288">
        <f t="shared" ref="F109:I109" si="351">0</f>
        <v>0</v>
      </c>
      <c r="G109" s="288">
        <f t="shared" si="351"/>
        <v>0</v>
      </c>
      <c r="H109" s="288">
        <f t="shared" si="351"/>
        <v>0</v>
      </c>
      <c r="I109" s="289">
        <f t="shared" si="351"/>
        <v>0</v>
      </c>
      <c r="J109" s="290">
        <f>60</f>
        <v>60</v>
      </c>
      <c r="K109" s="288">
        <f>4</f>
        <v>4</v>
      </c>
      <c r="L109" s="291">
        <f t="shared" ref="L109:M109" si="352">0.625</f>
        <v>0.625</v>
      </c>
      <c r="M109" s="291">
        <f t="shared" si="352"/>
        <v>0.625</v>
      </c>
      <c r="N109" s="292">
        <f>1.75%</f>
        <v>1.7500000000000002E-2</v>
      </c>
      <c r="O109" s="287">
        <f>33</f>
        <v>33</v>
      </c>
      <c r="P109" s="287">
        <f>5.2</f>
        <v>5.2</v>
      </c>
      <c r="Q109" s="288">
        <f>28</f>
        <v>28</v>
      </c>
      <c r="R109" s="289">
        <f t="shared" ref="R109:R114" si="353">2.05</f>
        <v>2.0499999999999998</v>
      </c>
      <c r="S109" s="293">
        <f>340</f>
        <v>340</v>
      </c>
      <c r="T109" s="294">
        <f t="shared" ref="T109:T113" si="354">125</f>
        <v>125</v>
      </c>
      <c r="U109" s="298" t="e">
        <f ca="1">(20*P_Q+2*Self_AD+(0.02+(P_Q*0.0001+0.0001)*Self_AD)*E_MHP)*MOD_Phys</f>
        <v>#NAME?</v>
      </c>
      <c r="V109" s="299">
        <f>(20 * P_W + 60 + IF(Steroid_W, (0.0025 * Self_BoAD + 0.25) * 0.5 * Self_MHP, 0)) * Calc!O10</f>
        <v>60</v>
      </c>
      <c r="W109" s="299" t="e">
        <f ca="1">(20*P_E+30+0.6*Self_AD)*MOD_Phys</f>
        <v>#NAME?</v>
      </c>
      <c r="X109" s="299" t="e">
        <f ca="1">(100 + 100 * P_R + 1.2 * Self_BoAD + (0.3 + 0.1 * P_R) * E_BoHp) * MOD_Phys</f>
        <v>#NAME?</v>
      </c>
      <c r="Y109" s="300" t="e">
        <f ca="1">(5*Self_Level+0.55*Self_BoAD)*MOD_Phys</f>
        <v>#NAME?</v>
      </c>
      <c r="Z109" s="281">
        <f>10 - P_Q</f>
        <v>10</v>
      </c>
      <c r="AA109" s="282">
        <f>19.5-1.5*P_W</f>
        <v>19.5</v>
      </c>
      <c r="AB109" s="282">
        <f>17.5-1.5*P_E</f>
        <v>17.5</v>
      </c>
      <c r="AC109" s="282">
        <f>140 - 20 * P_R</f>
        <v>140</v>
      </c>
      <c r="AD109" s="283">
        <f t="shared" si="350"/>
        <v>1</v>
      </c>
      <c r="AE109" s="284" t="b">
        <f t="shared" ref="AE109:AE114" si="355">TRUE</f>
        <v>1</v>
      </c>
      <c r="AF109" s="285" t="e">
        <f ca="1">_xludf.Image("https://ddragon.leagueoflegends.com/cdn/11.19.1/img/champion/Sett.png")</f>
        <v>#NAME?</v>
      </c>
      <c r="AG109" s="282">
        <f ca="1">IFERROR(__xludf.DUMMYFUNCTION("IF(OR(REGEXMATCH(FORMULATEXT(U109),""HMOD""),NOT(P_Q&gt;0)),0,U109)+IF(OR(REGEXMATCH(FORMULATEXT(V109),""HMOD""),NOT(P_W&gt;0)),0,V109)+IF(OR(REGEXMATCH(FORMULATEXT(W109),""HMOD""),NOT(P_E&gt;0)),0,W109)+IF(OR(REGEXMATCH(FORMULATEXT(X109),""HMOD""),NOT(P_R&gt;0)),0,X"&amp;"109)+IF(REGEXMATCH(FORMULATEXT(Y109),""HMOD""),0,Y109)+Self_Proc_item+Self_Proc_Summ+Self_Proc_Rune+3*Self_DPS"),5)</f>
        <v>5</v>
      </c>
      <c r="AH109" s="282">
        <f t="shared" si="8"/>
        <v>0</v>
      </c>
      <c r="AI109" s="282" t="b">
        <f t="shared" si="255"/>
        <v>0</v>
      </c>
      <c r="AJ109" s="283" t="b">
        <f>TRUE</f>
        <v>1</v>
      </c>
    </row>
    <row r="110" spans="1:36">
      <c r="A110" s="267" t="s">
        <v>295</v>
      </c>
      <c r="B110" s="287">
        <f>630</f>
        <v>630</v>
      </c>
      <c r="C110" s="287">
        <f t="shared" ref="C110:C111" si="356">99</f>
        <v>99</v>
      </c>
      <c r="D110" s="288">
        <f t="shared" ref="D110:D112" si="357">8.5</f>
        <v>8.5</v>
      </c>
      <c r="E110" s="289">
        <f>0.55</f>
        <v>0.55000000000000004</v>
      </c>
      <c r="F110" s="288">
        <f>297</f>
        <v>297</v>
      </c>
      <c r="G110" s="288">
        <f>40</f>
        <v>40</v>
      </c>
      <c r="H110" s="288">
        <f>7.2</f>
        <v>7.2</v>
      </c>
      <c r="I110" s="289">
        <f>0.45</f>
        <v>0.45</v>
      </c>
      <c r="J110" s="290">
        <f>63</f>
        <v>63</v>
      </c>
      <c r="K110" s="288">
        <f t="shared" ref="K110:K111" si="358">3</f>
        <v>3</v>
      </c>
      <c r="L110" s="291">
        <f t="shared" ref="L110:M110" si="359">0.694</f>
        <v>0.69399999999999995</v>
      </c>
      <c r="M110" s="291">
        <f t="shared" si="359"/>
        <v>0.69399999999999995</v>
      </c>
      <c r="N110" s="292">
        <f t="shared" ref="N110:N111" si="360">3%</f>
        <v>0.03</v>
      </c>
      <c r="O110" s="287">
        <f>30</f>
        <v>30</v>
      </c>
      <c r="P110" s="287">
        <f>4</f>
        <v>4</v>
      </c>
      <c r="Q110" s="288">
        <f t="shared" ref="Q110:Q114" si="361">32</f>
        <v>32</v>
      </c>
      <c r="R110" s="289">
        <f t="shared" si="353"/>
        <v>2.0499999999999998</v>
      </c>
      <c r="S110" s="293">
        <f>345</f>
        <v>345</v>
      </c>
      <c r="T110" s="294">
        <f t="shared" si="354"/>
        <v>125</v>
      </c>
      <c r="U110" s="295" t="e">
        <f ca="1">(10 * P_Q + 15 + 0.5 * Self_BoAD + IF(Steroid_Q, (0.15 * Self_BoAD + 10 + Sc_Lin * 15), 0)) * MOD_Phys * IF(Steroid_Q, IF(1 + Self_Crit * (Self_CritDMG - 1) &gt; 1.4, 1 + Self_Crit * (Self_CritDMG - 1), 1.4 + IT_CDMG), 1)</f>
        <v>#NAME?</v>
      </c>
      <c r="V110" s="296" t="e">
        <f ca="1">(0.24 * Self_AP+15*P_W+10)*MOD_Magic*IF(Steroid_W,10,1)</f>
        <v>#NAME?</v>
      </c>
      <c r="W110" s="296" t="e">
        <f ca="1">(25 * P_E + 45 + 0.6 * Self_AP + 0.8 * Self_BoAD + IF(Steroid_E, 15 + Sc_Lin * 35 + 0.1 * Self_AP)) * MOD_Magic * IF(E_CHP &lt;= 30, 1.5, 1)</f>
        <v>#NAME?</v>
      </c>
      <c r="X110" s="296" t="e">
        <f ca="1">(0.7*Self_AP+75+75*P_R)*MOD_Magic</f>
        <v>#NAME?</v>
      </c>
      <c r="Y110" s="297" t="e">
        <f ca="1">(0.25 * Self_BoAD + 20 + Sc_Lin * 15)*MOD_Phys</f>
        <v>#NAME?</v>
      </c>
      <c r="Z110" s="281">
        <f>12.5-0.5*P_Q</f>
        <v>12.5</v>
      </c>
      <c r="AA110" s="282">
        <f>15</f>
        <v>15</v>
      </c>
      <c r="AB110" s="282">
        <f>8</f>
        <v>8</v>
      </c>
      <c r="AC110" s="282">
        <f>110 - 10 * P_R</f>
        <v>110</v>
      </c>
      <c r="AD110" s="283">
        <f>3</f>
        <v>3</v>
      </c>
      <c r="AE110" s="284" t="b">
        <f t="shared" si="355"/>
        <v>1</v>
      </c>
      <c r="AF110" s="285" t="e">
        <f ca="1">_xludf.Image("https://ddragon.leagueoflegends.com/cdn/11.19.1/img/champion/Shaco.png")</f>
        <v>#NAME?</v>
      </c>
      <c r="AG110" s="282">
        <f ca="1">IFERROR(__xludf.DUMMYFUNCTION("IF(OR(REGEXMATCH(FORMULATEXT(U110),""HMOD""),NOT(P_Q&gt;0)),0,U110)+IF(OR(REGEXMATCH(FORMULATEXT(V110),""HMOD""),NOT(P_W&gt;0)),0,V110)+IF(OR(REGEXMATCH(FORMULATEXT(W110),""HMOD""),NOT(P_E&gt;0)),0,W110)+IF(OR(REGEXMATCH(FORMULATEXT(X110),""HMOD""),NOT(P_R&gt;0)),0,X"&amp;"110)+IF(REGEXMATCH(FORMULATEXT(Y110),""HMOD""),0,Y110)+Self_Proc_item+Self_Proc_Summ+Self_Proc_Rune+3*Self_DPS"),20)</f>
        <v>20</v>
      </c>
      <c r="AH110" s="282">
        <f t="shared" si="8"/>
        <v>0</v>
      </c>
      <c r="AI110" s="282" t="b">
        <f t="shared" si="255"/>
        <v>0</v>
      </c>
      <c r="AJ110" s="283" t="b">
        <f t="shared" ref="AJ110:AJ111" si="362">FALSE</f>
        <v>0</v>
      </c>
    </row>
    <row r="111" spans="1:36">
      <c r="A111" s="267" t="s">
        <v>296</v>
      </c>
      <c r="B111" s="287">
        <f>610</f>
        <v>610</v>
      </c>
      <c r="C111" s="287">
        <f t="shared" si="356"/>
        <v>99</v>
      </c>
      <c r="D111" s="288">
        <f t="shared" si="357"/>
        <v>8.5</v>
      </c>
      <c r="E111" s="289">
        <f>0.75</f>
        <v>0.75</v>
      </c>
      <c r="F111" s="288">
        <f>400</f>
        <v>400</v>
      </c>
      <c r="G111" s="288">
        <f t="shared" ref="G111:G112" si="363">0</f>
        <v>0</v>
      </c>
      <c r="H111" s="288">
        <f>50</f>
        <v>50</v>
      </c>
      <c r="I111" s="289">
        <f>0</f>
        <v>0</v>
      </c>
      <c r="J111" s="290">
        <f>60</f>
        <v>60</v>
      </c>
      <c r="K111" s="288">
        <f t="shared" si="358"/>
        <v>3</v>
      </c>
      <c r="L111" s="291">
        <f>0.751</f>
        <v>0.751</v>
      </c>
      <c r="M111" s="291">
        <f>0.651</f>
        <v>0.65100000000000002</v>
      </c>
      <c r="N111" s="292">
        <f t="shared" si="360"/>
        <v>0.03</v>
      </c>
      <c r="O111" s="287">
        <f>34</f>
        <v>34</v>
      </c>
      <c r="P111" s="287">
        <f>4.2</f>
        <v>4.2</v>
      </c>
      <c r="Q111" s="288">
        <f t="shared" si="361"/>
        <v>32</v>
      </c>
      <c r="R111" s="289">
        <f t="shared" si="353"/>
        <v>2.0499999999999998</v>
      </c>
      <c r="S111" s="293">
        <f>340</f>
        <v>340</v>
      </c>
      <c r="T111" s="294">
        <f t="shared" si="354"/>
        <v>125</v>
      </c>
      <c r="U111" s="298">
        <v>30</v>
      </c>
      <c r="V111" s="299">
        <f>0</f>
        <v>0</v>
      </c>
      <c r="W111" s="299" t="e">
        <f ca="1">(35+25*P_E+0.15*Self_BoHP)*MOD_Phys</f>
        <v>#NAME?</v>
      </c>
      <c r="X111" s="299">
        <f>(160 * P_R + 1.35 * Self_AP + 0.16 * Self_BoHP - 30) * MOD_Heal * IF(Steroid_R, 1.6, 1)</f>
        <v>-30</v>
      </c>
      <c r="Y111" s="300">
        <f>(47+3*Self_Level+0.12*Self_BoHP)*MOD_SelfHeal</f>
        <v>50</v>
      </c>
      <c r="Z111" s="281">
        <f>8.75-0.75*P_Q</f>
        <v>8.75</v>
      </c>
      <c r="AA111" s="282">
        <f>19.5-1.5*P_W</f>
        <v>19.5</v>
      </c>
      <c r="AB111" s="282">
        <f>20-2*P_E</f>
        <v>20</v>
      </c>
      <c r="AC111" s="282">
        <f>220-20*P_R</f>
        <v>220</v>
      </c>
      <c r="AD111" s="283">
        <f>10</f>
        <v>10</v>
      </c>
      <c r="AE111" s="284" t="b">
        <f t="shared" si="355"/>
        <v>1</v>
      </c>
      <c r="AF111" s="285" t="e">
        <f ca="1">_xludf.Image("https://ddragon.leagueoflegends.com/cdn/11.19.1/img/champion/Shen.png")</f>
        <v>#NAME?</v>
      </c>
      <c r="AG111" s="282">
        <f ca="1">IFERROR(__xludf.DUMMYFUNCTION("IF(OR(REGEXMATCH(FORMULATEXT(U111),""HMOD""),NOT(P_Q&gt;0)),0,U111)+IF(OR(REGEXMATCH(FORMULATEXT(V111),""HMOD""),NOT(P_W&gt;0)),0,V111)+IF(OR(REGEXMATCH(FORMULATEXT(W111),""HMOD""),NOT(P_E&gt;0)),0,W111)+IF(OR(REGEXMATCH(FORMULATEXT(X111),""HMOD""),NOT(P_R&gt;0)),0,X"&amp;"111)+IF(REGEXMATCH(FORMULATEXT(Y111),""HMOD""),0,Y111)+Self_Proc_item+Self_Proc_Summ+Self_Proc_Rune+3*Self_DPS"),50)</f>
        <v>50</v>
      </c>
      <c r="AH111" s="282">
        <f t="shared" si="8"/>
        <v>0</v>
      </c>
      <c r="AI111" s="282" t="b">
        <f>TRUE</f>
        <v>1</v>
      </c>
      <c r="AJ111" s="283" t="b">
        <f t="shared" si="362"/>
        <v>0</v>
      </c>
    </row>
    <row r="112" spans="1:36">
      <c r="A112" s="267" t="s">
        <v>297</v>
      </c>
      <c r="B112" s="287">
        <f>665</f>
        <v>665</v>
      </c>
      <c r="C112" s="287">
        <f>109</f>
        <v>109</v>
      </c>
      <c r="D112" s="288">
        <f t="shared" si="357"/>
        <v>8.5</v>
      </c>
      <c r="E112" s="289">
        <f>0.8</f>
        <v>0.8</v>
      </c>
      <c r="F112" s="288">
        <f>100</f>
        <v>100</v>
      </c>
      <c r="G112" s="288">
        <f t="shared" si="363"/>
        <v>0</v>
      </c>
      <c r="H112" s="288">
        <f t="shared" ref="H112:I112" si="364">0</f>
        <v>0</v>
      </c>
      <c r="I112" s="289">
        <f t="shared" si="364"/>
        <v>0</v>
      </c>
      <c r="J112" s="290">
        <f>66</f>
        <v>66</v>
      </c>
      <c r="K112" s="288">
        <f>3.4</f>
        <v>3.4</v>
      </c>
      <c r="L112" s="291">
        <f t="shared" ref="L112:M112" si="365">0.658</f>
        <v>0.65800000000000003</v>
      </c>
      <c r="M112" s="291">
        <f t="shared" si="365"/>
        <v>0.65800000000000003</v>
      </c>
      <c r="N112" s="292">
        <f>2.5%</f>
        <v>2.5000000000000001E-2</v>
      </c>
      <c r="O112" s="287">
        <f>38</f>
        <v>38</v>
      </c>
      <c r="P112" s="287">
        <f>4.55</f>
        <v>4.55</v>
      </c>
      <c r="Q112" s="288">
        <f t="shared" si="361"/>
        <v>32</v>
      </c>
      <c r="R112" s="289">
        <f t="shared" si="353"/>
        <v>2.0499999999999998</v>
      </c>
      <c r="S112" s="293">
        <f>350</f>
        <v>350</v>
      </c>
      <c r="T112" s="294">
        <f t="shared" si="354"/>
        <v>125</v>
      </c>
      <c r="U112" s="295" t="e">
        <f ca="1">((1.05 + 0.15 * P_Q) * Self_AD + 0.6 * Self_AP) * MOD_Phys</f>
        <v>#NAME?</v>
      </c>
      <c r="V112" s="296" t="e">
        <f ca="1">(7.5 + 12.5 * P_W + 0.3 * Self_BoAD) * MOD_Magic</f>
        <v>#NAME?</v>
      </c>
      <c r="W112" s="296" t="e">
        <f ca="1">(20 + 40 * P_E + 0.4 * Self_AD + 0.9 * Self_AP + IF(Steroid_Form,(315 + IF(Self_Level &gt; 6, 25 * Self_Level, 0) + 0.3 * Self_AD + 0.3 * Self_AP), 0)) * MOD_Magic</f>
        <v>#NAME?</v>
      </c>
      <c r="X112" s="296" t="e">
        <f ca="1">IF(Steroid_Form,0,(50+100+1.3*Self_AP)*MOD_Magic)</f>
        <v>#NAME?</v>
      </c>
      <c r="Y112" s="297">
        <f>0</f>
        <v>0</v>
      </c>
      <c r="Z112" s="281">
        <f>7.5-0.5*P_Q</f>
        <v>7.5</v>
      </c>
      <c r="AA112" s="282">
        <f>12</f>
        <v>12</v>
      </c>
      <c r="AB112" s="282">
        <f>13-P_E</f>
        <v>13</v>
      </c>
      <c r="AC112" s="282">
        <f t="shared" ref="AC112:AD112" si="366">1</f>
        <v>1</v>
      </c>
      <c r="AD112" s="283">
        <f t="shared" si="366"/>
        <v>1</v>
      </c>
      <c r="AE112" s="284" t="b">
        <f t="shared" si="355"/>
        <v>1</v>
      </c>
      <c r="AF112" s="285" t="e">
        <f ca="1">_xludf.Image("https://ddragon.leagueoflegends.com/cdn/11.19.1/img/champion/Shyvana.png")</f>
        <v>#NAME?</v>
      </c>
      <c r="AG112" s="282">
        <f ca="1">IFERROR(__xludf.DUMMYFUNCTION("IF(OR(REGEXMATCH(FORMULATEXT(U112),""HMOD""),NOT(P_Q&gt;0)),0,U112)+IF(OR(REGEXMATCH(FORMULATEXT(V112),""HMOD""),NOT(P_W&gt;0)),0,V112)+IF(OR(REGEXMATCH(FORMULATEXT(W112),""HMOD""),NOT(P_E&gt;0)),0,W112)+IF(OR(REGEXMATCH(FORMULATEXT(X112),""HMOD""),NOT(P_R&gt;0)),0,X"&amp;"112)+IF(REGEXMATCH(FORMULATEXT(Y112),""HMOD""),0,Y112)+Self_Proc_item+Self_Proc_Summ+Self_Proc_Rune+3*Self_DPS"),0)</f>
        <v>0</v>
      </c>
      <c r="AH112" s="282">
        <f t="shared" si="8"/>
        <v>0</v>
      </c>
      <c r="AI112" s="282" t="b">
        <f t="shared" ref="AI112:AI154" si="367">FALSE</f>
        <v>0</v>
      </c>
      <c r="AJ112" s="283" t="b">
        <f>TRUE</f>
        <v>1</v>
      </c>
    </row>
    <row r="113" spans="1:36">
      <c r="A113" s="267" t="s">
        <v>298</v>
      </c>
      <c r="B113" s="287">
        <f>650</f>
        <v>650</v>
      </c>
      <c r="C113" s="287">
        <f>99</f>
        <v>99</v>
      </c>
      <c r="D113" s="288">
        <f>9.5</f>
        <v>9.5</v>
      </c>
      <c r="E113" s="289">
        <f>0.55</f>
        <v>0.55000000000000004</v>
      </c>
      <c r="F113" s="288">
        <f>330</f>
        <v>330</v>
      </c>
      <c r="G113" s="288">
        <f>45</f>
        <v>45</v>
      </c>
      <c r="H113" s="288">
        <f>7.5</f>
        <v>7.5</v>
      </c>
      <c r="I113" s="289">
        <f>0.55</f>
        <v>0.55000000000000004</v>
      </c>
      <c r="J113" s="290">
        <f>63</f>
        <v>63</v>
      </c>
      <c r="K113" s="288">
        <f>3.38</f>
        <v>3.38</v>
      </c>
      <c r="L113" s="291">
        <f t="shared" ref="L113:M113" si="368">0.613</f>
        <v>0.61299999999999999</v>
      </c>
      <c r="M113" s="291">
        <f t="shared" si="368"/>
        <v>0.61299999999999999</v>
      </c>
      <c r="N113" s="292">
        <f>1.9%</f>
        <v>1.9E-2</v>
      </c>
      <c r="O113" s="287">
        <f>34</f>
        <v>34</v>
      </c>
      <c r="P113" s="287">
        <f>4.7</f>
        <v>4.7</v>
      </c>
      <c r="Q113" s="288">
        <f t="shared" si="361"/>
        <v>32</v>
      </c>
      <c r="R113" s="289">
        <f t="shared" si="353"/>
        <v>2.0499999999999998</v>
      </c>
      <c r="S113" s="293">
        <f t="shared" ref="S113:S114" si="369">345</f>
        <v>345</v>
      </c>
      <c r="T113" s="294">
        <f t="shared" si="354"/>
        <v>125</v>
      </c>
      <c r="U113" s="298" t="e">
        <f ca="1">(0.9*Self_AP+20*P_Q+20)*MOD_Magic</f>
        <v>#NAME?</v>
      </c>
      <c r="V113" s="299">
        <f>0</f>
        <v>0</v>
      </c>
      <c r="W113" s="299" t="e">
        <f ca="1">(0.6 * Self_AP + (0.055 + 0.005 * P_E) * E_MHP + 10 * P_E + 40) * MOD_Magic</f>
        <v>#NAME?</v>
      </c>
      <c r="X113" s="299">
        <f t="shared" ref="X113:Y113" si="370">0</f>
        <v>0</v>
      </c>
      <c r="Y113" s="300">
        <f t="shared" si="370"/>
        <v>0</v>
      </c>
      <c r="Z113" s="281">
        <f>1</f>
        <v>1</v>
      </c>
      <c r="AA113" s="282">
        <f>18 - P_W</f>
        <v>18</v>
      </c>
      <c r="AB113" s="282">
        <f>10.5-0.5*P_E</f>
        <v>10.5</v>
      </c>
      <c r="AC113" s="282">
        <f>130 - 10 * P_R</f>
        <v>130</v>
      </c>
      <c r="AD113" s="283">
        <f>8</f>
        <v>8</v>
      </c>
      <c r="AE113" s="284" t="b">
        <f t="shared" si="355"/>
        <v>1</v>
      </c>
      <c r="AF113" s="285" t="e">
        <f ca="1">_xludf.Image("https://ddragon.leagueoflegends.com/cdn/11.19.1/img/champion/Singed.png")</f>
        <v>#NAME?</v>
      </c>
      <c r="AG113" s="282">
        <f ca="1">IFERROR(__xludf.DUMMYFUNCTION("IF(OR(REGEXMATCH(FORMULATEXT(U113),""HMOD""),NOT(P_Q&gt;0)),0,U113)+IF(OR(REGEXMATCH(FORMULATEXT(V113),""HMOD""),NOT(P_W&gt;0)),0,V113)+IF(OR(REGEXMATCH(FORMULATEXT(W113),""HMOD""),NOT(P_E&gt;0)),0,W113)+IF(OR(REGEXMATCH(FORMULATEXT(X113),""HMOD""),NOT(P_R&gt;0)),0,X"&amp;"113)+IF(REGEXMATCH(FORMULATEXT(Y113),""HMOD""),0,Y113)+Self_Proc_item+Self_Proc_Summ+Self_Proc_Rune+3*Self_DPS"),0)</f>
        <v>0</v>
      </c>
      <c r="AH113" s="282">
        <f t="shared" si="8"/>
        <v>0</v>
      </c>
      <c r="AI113" s="282" t="b">
        <f t="shared" si="367"/>
        <v>0</v>
      </c>
      <c r="AJ113" s="283" t="b">
        <f t="shared" ref="AJ113:AJ129" si="371">FALSE</f>
        <v>0</v>
      </c>
    </row>
    <row r="114" spans="1:36">
      <c r="A114" s="267" t="s">
        <v>299</v>
      </c>
      <c r="B114" s="287">
        <f>655</f>
        <v>655</v>
      </c>
      <c r="C114" s="287">
        <f>87</f>
        <v>87</v>
      </c>
      <c r="D114" s="288">
        <f>7.5</f>
        <v>7.5</v>
      </c>
      <c r="E114" s="289">
        <f>0.8</f>
        <v>0.8</v>
      </c>
      <c r="F114" s="288">
        <f>400</f>
        <v>400</v>
      </c>
      <c r="G114" s="288">
        <f>52</f>
        <v>52</v>
      </c>
      <c r="H114" s="288">
        <f>8</f>
        <v>8</v>
      </c>
      <c r="I114" s="289">
        <f>0.6</f>
        <v>0.6</v>
      </c>
      <c r="J114" s="290">
        <f>68</f>
        <v>68</v>
      </c>
      <c r="K114" s="288">
        <f>4</f>
        <v>4</v>
      </c>
      <c r="L114" s="291">
        <f t="shared" ref="L114:M114" si="372">0.679</f>
        <v>0.67900000000000005</v>
      </c>
      <c r="M114" s="291">
        <f t="shared" si="372"/>
        <v>0.67900000000000005</v>
      </c>
      <c r="N114" s="292">
        <f>1.3%</f>
        <v>1.3000000000000001E-2</v>
      </c>
      <c r="O114" s="287">
        <f>32</f>
        <v>32</v>
      </c>
      <c r="P114" s="287">
        <f>4.2</f>
        <v>4.2</v>
      </c>
      <c r="Q114" s="288">
        <f t="shared" si="361"/>
        <v>32</v>
      </c>
      <c r="R114" s="289">
        <f t="shared" si="353"/>
        <v>2.0499999999999998</v>
      </c>
      <c r="S114" s="293">
        <f t="shared" si="369"/>
        <v>345</v>
      </c>
      <c r="T114" s="294">
        <f>175</f>
        <v>175</v>
      </c>
      <c r="U114" s="295" t="e">
        <f ca="1">IF(Steroid_Q,25 + 65 * P_Q + (1.125 + 0.225 * P_Q) * Self_AD,20 + 20 * P_Q + (0.375 + 0.075 * P_Q) * Self_AD) * MOD_Phys</f>
        <v>#NAME?</v>
      </c>
      <c r="V114" s="296" t="e">
        <f ca="1">(0.4 * Self_AP + 25 * P_W + 15 + (0.09 + 0.01 * P_E) * E_MHP) * MOD_Magic</f>
        <v>#NAME?</v>
      </c>
      <c r="W114" s="296" t="e">
        <f ca="1">(30+35*P_E+0.55*Self_AP)*MOD_Magic</f>
        <v>#NAME?</v>
      </c>
      <c r="X114" s="296" t="e">
        <f ca="1">(IF(Steroid_R,2,1)*0.4*Self_BoAD+IF(Steroid_R,2.667,1)*(150*P_R))*MOD_Phys</f>
        <v>#NAME?</v>
      </c>
      <c r="Y114" s="297" t="e">
        <f ca="1">0.1*E_MHP*MOD_Phys</f>
        <v>#NAME?</v>
      </c>
      <c r="Z114" s="281">
        <f>11-P_Q</f>
        <v>11</v>
      </c>
      <c r="AA114" s="282">
        <f>16-P_W</f>
        <v>16</v>
      </c>
      <c r="AB114" s="282">
        <f>13-P_E</f>
        <v>13</v>
      </c>
      <c r="AC114" s="282">
        <f>180-40*P_R</f>
        <v>180</v>
      </c>
      <c r="AD114" s="283">
        <f t="shared" ref="AD114:AD119" si="373">1</f>
        <v>1</v>
      </c>
      <c r="AE114" s="284" t="b">
        <f t="shared" si="355"/>
        <v>1</v>
      </c>
      <c r="AF114" s="285" t="e">
        <f ca="1">_xludf.Image("https://ddragon.leagueoflegends.com/cdn/11.19.1/img/champion/Sion.png")</f>
        <v>#NAME?</v>
      </c>
      <c r="AG114" s="282">
        <f ca="1">IFERROR(__xludf.DUMMYFUNCTION("IF(OR(REGEXMATCH(FORMULATEXT(U114),""HMOD""),NOT(P_Q&gt;0)),0,U114)+IF(OR(REGEXMATCH(FORMULATEXT(V114),""HMOD""),NOT(P_W&gt;0)),0,V114)+IF(OR(REGEXMATCH(FORMULATEXT(W114),""HMOD""),NOT(P_E&gt;0)),0,W114)+IF(OR(REGEXMATCH(FORMULATEXT(X114),""HMOD""),NOT(P_R&gt;0)),0,X"&amp;"114)+IF(REGEXMATCH(FORMULATEXT(Y114),""HMOD""),0,Y114)+Self_Proc_item+Self_Proc_Summ+Self_Proc_Rune+3*Self_DPS"),0)</f>
        <v>0</v>
      </c>
      <c r="AH114" s="282">
        <f t="shared" si="8"/>
        <v>0</v>
      </c>
      <c r="AI114" s="282" t="b">
        <f t="shared" si="367"/>
        <v>0</v>
      </c>
      <c r="AJ114" s="283" t="b">
        <f t="shared" si="371"/>
        <v>0</v>
      </c>
    </row>
    <row r="115" spans="1:36">
      <c r="A115" s="267" t="s">
        <v>300</v>
      </c>
      <c r="B115" s="287">
        <f>600</f>
        <v>600</v>
      </c>
      <c r="C115" s="287">
        <f>104</f>
        <v>104</v>
      </c>
      <c r="D115" s="288">
        <f>3.25</f>
        <v>3.25</v>
      </c>
      <c r="E115" s="289">
        <f>0.55</f>
        <v>0.55000000000000004</v>
      </c>
      <c r="F115" s="288">
        <f>340</f>
        <v>340</v>
      </c>
      <c r="G115" s="288">
        <f>45</f>
        <v>45</v>
      </c>
      <c r="H115" s="288">
        <f>6</f>
        <v>6</v>
      </c>
      <c r="I115" s="289">
        <f>0.8</f>
        <v>0.8</v>
      </c>
      <c r="J115" s="290">
        <f>58</f>
        <v>58</v>
      </c>
      <c r="K115" s="288">
        <f>2.5</f>
        <v>2.5</v>
      </c>
      <c r="L115" s="291">
        <f t="shared" ref="L115:M115" si="374">0.625</f>
        <v>0.625</v>
      </c>
      <c r="M115" s="291">
        <f t="shared" si="374"/>
        <v>0.625</v>
      </c>
      <c r="N115" s="292">
        <f>2%</f>
        <v>0.02</v>
      </c>
      <c r="O115" s="287">
        <f>26</f>
        <v>26</v>
      </c>
      <c r="P115" s="287">
        <f>4.45</f>
        <v>4.45</v>
      </c>
      <c r="Q115" s="288">
        <f>30</f>
        <v>30</v>
      </c>
      <c r="R115" s="289">
        <f>1.3</f>
        <v>1.3</v>
      </c>
      <c r="S115" s="293">
        <f t="shared" ref="S115:S116" si="375">335</f>
        <v>335</v>
      </c>
      <c r="T115" s="294">
        <f>500</f>
        <v>500</v>
      </c>
      <c r="U115" s="298" t="e">
        <f ca="1">(15 * P_Q + (0.75 + 0.05 * P_Q) * Self_AD + 0.6 * Self_AP) * MOD_Phys * IF(Steroid_Q,2,1) * (1 + 0.5 * Self_Crit)</f>
        <v>#NAME?</v>
      </c>
      <c r="V115" s="299" t="e">
        <f ca="1">((0.25 + 0.05 * P_W) * Self_AD) * MOD_Hit</f>
        <v>#NAME?</v>
      </c>
      <c r="W115" s="299">
        <f>((0.55 + 0.05 * P_E) * Self_AD + 0.5 * Self_AP) * MOD_SelfHeal</f>
        <v>0</v>
      </c>
      <c r="X115" s="299">
        <f t="shared" ref="X115:Y115" si="376">0</f>
        <v>0</v>
      </c>
      <c r="Y115" s="300">
        <f t="shared" si="376"/>
        <v>0</v>
      </c>
      <c r="Z115" s="281">
        <f>10.5-0.5*P_Q</f>
        <v>10.5</v>
      </c>
      <c r="AA115" s="282">
        <f>12</f>
        <v>12</v>
      </c>
      <c r="AB115" s="282">
        <f>25.5-1.5*P_E</f>
        <v>25.5</v>
      </c>
      <c r="AC115" s="282">
        <f>140 - 20 * P_R</f>
        <v>140</v>
      </c>
      <c r="AD115" s="283">
        <f t="shared" si="373"/>
        <v>1</v>
      </c>
      <c r="AE115" s="284" t="b">
        <f>FALSE</f>
        <v>0</v>
      </c>
      <c r="AF115" s="285" t="e">
        <f ca="1">_xludf.Image("https://ddragon.leagueoflegends.com/cdn/11.19.1/img/champion/Sivir.png")</f>
        <v>#NAME?</v>
      </c>
      <c r="AG115" s="282">
        <f ca="1">IFERROR(__xludf.DUMMYFUNCTION("IF(OR(REGEXMATCH(FORMULATEXT(U115),""HMOD""),NOT(P_Q&gt;0)),0,U115)+IF(OR(REGEXMATCH(FORMULATEXT(V115),""HMOD""),NOT(P_W&gt;0)),0,V115)+IF(OR(REGEXMATCH(FORMULATEXT(W115),""HMOD""),NOT(P_E&gt;0)),0,W115)+IF(OR(REGEXMATCH(FORMULATEXT(X115),""HMOD""),NOT(P_R&gt;0)),0,X"&amp;"115)+IF(REGEXMATCH(FORMULATEXT(Y115),""HMOD""),0,Y115)+Self_Proc_item+Self_Proc_Summ+Self_Proc_Rune+3*Self_DPS"),0)</f>
        <v>0</v>
      </c>
      <c r="AH115" s="282">
        <f t="shared" si="8"/>
        <v>0</v>
      </c>
      <c r="AI115" s="282" t="b">
        <f t="shared" si="367"/>
        <v>0</v>
      </c>
      <c r="AJ115" s="283" t="b">
        <f t="shared" si="371"/>
        <v>0</v>
      </c>
    </row>
    <row r="116" spans="1:36">
      <c r="A116" s="301" t="s">
        <v>301</v>
      </c>
      <c r="B116" s="282">
        <f>650</f>
        <v>650</v>
      </c>
      <c r="C116" s="282">
        <f>99</f>
        <v>99</v>
      </c>
      <c r="D116" s="282">
        <f>9</f>
        <v>9</v>
      </c>
      <c r="E116" s="302">
        <f>0.85</f>
        <v>0.85</v>
      </c>
      <c r="F116" s="282">
        <f>320</f>
        <v>320</v>
      </c>
      <c r="G116" s="282">
        <f>60</f>
        <v>60</v>
      </c>
      <c r="H116" s="282">
        <f>7.2</f>
        <v>7.2</v>
      </c>
      <c r="I116" s="302">
        <f>0.45</f>
        <v>0.45</v>
      </c>
      <c r="J116" s="303">
        <f>65</f>
        <v>65</v>
      </c>
      <c r="K116" s="282">
        <f>4.5</f>
        <v>4.5</v>
      </c>
      <c r="L116" s="304">
        <f t="shared" ref="L116:M116" si="377">0.625</f>
        <v>0.625</v>
      </c>
      <c r="M116" s="304">
        <f t="shared" si="377"/>
        <v>0.625</v>
      </c>
      <c r="N116" s="305">
        <f>2.1%</f>
        <v>2.1000000000000001E-2</v>
      </c>
      <c r="O116" s="282">
        <f>38</f>
        <v>38</v>
      </c>
      <c r="P116" s="282">
        <f>5</f>
        <v>5</v>
      </c>
      <c r="Q116" s="282">
        <f>32</f>
        <v>32</v>
      </c>
      <c r="R116" s="302">
        <f>2.05</f>
        <v>2.0499999999999998</v>
      </c>
      <c r="S116" s="285">
        <f t="shared" si="375"/>
        <v>335</v>
      </c>
      <c r="T116" s="286">
        <f>125</f>
        <v>125</v>
      </c>
      <c r="U116" s="295" t="e">
        <f ca="1">((0.005+0.005*P_Q)*E_MHP+0.2*Self_AD)*MOD_Phys+IF(Steroid_Q,((0.005+0.005*P_Q)*E_MHP+0.3*Self_AP+0.2*Self_AD)*MOD_Magic,0)</f>
        <v>#NAME?</v>
      </c>
      <c r="V116" s="296">
        <f>((0.08+0.01*P_W)*Self_MHP+0.8*Self_AP)*MOD_Heal</f>
        <v>0</v>
      </c>
      <c r="W116" s="296" t="e">
        <f ca="1">(0.2*Self_AP+25*P_E+15)*MOD_Magic+(20*P_E+10)*MOD_Phys</f>
        <v>#NAME?</v>
      </c>
      <c r="X116" s="296">
        <f>(Self_AP+80*P_E-40)</f>
        <v>-40</v>
      </c>
      <c r="Y116" s="297">
        <f>0</f>
        <v>0</v>
      </c>
      <c r="Z116" s="284">
        <f>3.75-0.25*P_Q</f>
        <v>3.75</v>
      </c>
      <c r="AA116" s="285">
        <f>13.5-0.5*P_W</f>
        <v>13.5</v>
      </c>
      <c r="AB116" s="285">
        <f>14.5 - 0.5 * P_E</f>
        <v>14.5</v>
      </c>
      <c r="AC116" s="285">
        <f>140 - 20 * P_R</f>
        <v>140</v>
      </c>
      <c r="AD116" s="286">
        <f t="shared" si="373"/>
        <v>1</v>
      </c>
      <c r="AE116" s="284" t="b">
        <f>TRUE</f>
        <v>1</v>
      </c>
      <c r="AF116" s="285" t="e">
        <f ca="1">_xludf.Image("https://ddragon.leagueoflegends.com/cdn/11.19.1/img/champion/Skarner.png")</f>
        <v>#NAME?</v>
      </c>
      <c r="AG116" s="282">
        <f ca="1">IFERROR(__xludf.DUMMYFUNCTION("IF(OR(REGEXMATCH(FORMULATEXT(U116),""HMOD""),NOT(P_Q&gt;0)),0,U116)+IF(OR(REGEXMATCH(FORMULATEXT(V116),""HMOD""),NOT(P_W&gt;0)),0,V116)+IF(OR(REGEXMATCH(FORMULATEXT(W116),""HMOD""),NOT(P_E&gt;0)),0,W116)+IF(OR(REGEXMATCH(FORMULATEXT(X116),""HMOD""),NOT(P_R&gt;0)),0,X"&amp;"116)+IF(REGEXMATCH(FORMULATEXT(Y116),""HMOD""),0,Y116)+Self_Proc_item+Self_Proc_Summ+Self_Proc_Rune+3*Self_DPS"),0)</f>
        <v>0</v>
      </c>
      <c r="AH116" s="282">
        <f t="shared" si="8"/>
        <v>0</v>
      </c>
      <c r="AI116" s="282" t="b">
        <f t="shared" si="367"/>
        <v>0</v>
      </c>
      <c r="AJ116" s="283" t="b">
        <f t="shared" si="371"/>
        <v>0</v>
      </c>
    </row>
    <row r="117" spans="1:36">
      <c r="A117" s="267" t="s">
        <v>302</v>
      </c>
      <c r="B117" s="287">
        <f>550</f>
        <v>550</v>
      </c>
      <c r="C117" s="287">
        <f>91</f>
        <v>91</v>
      </c>
      <c r="D117" s="288">
        <f>5.5</f>
        <v>5.5</v>
      </c>
      <c r="E117" s="289">
        <f>0.55</f>
        <v>0.55000000000000004</v>
      </c>
      <c r="F117" s="288">
        <f>340</f>
        <v>340</v>
      </c>
      <c r="G117" s="288">
        <f>45</f>
        <v>45</v>
      </c>
      <c r="H117" s="288">
        <f t="shared" ref="H117:H118" si="378">11.5</f>
        <v>11.5</v>
      </c>
      <c r="I117" s="289">
        <f t="shared" ref="I117:I118" si="379">0.4</f>
        <v>0.4</v>
      </c>
      <c r="J117" s="290">
        <f>49</f>
        <v>49</v>
      </c>
      <c r="K117" s="288">
        <f t="shared" ref="K117:K118" si="380">3</f>
        <v>3</v>
      </c>
      <c r="L117" s="291">
        <f t="shared" ref="L117:M117" si="381">0.644</f>
        <v>0.64400000000000002</v>
      </c>
      <c r="M117" s="291">
        <f t="shared" si="381"/>
        <v>0.64400000000000002</v>
      </c>
      <c r="N117" s="292">
        <f>2.3%</f>
        <v>2.3E-2</v>
      </c>
      <c r="O117" s="287">
        <f>26</f>
        <v>26</v>
      </c>
      <c r="P117" s="287">
        <f>4.2</f>
        <v>4.2</v>
      </c>
      <c r="Q117" s="288">
        <f t="shared" ref="Q117:Q119" si="382">30</f>
        <v>30</v>
      </c>
      <c r="R117" s="289">
        <f t="shared" ref="R117:R119" si="383">1.3</f>
        <v>1.3</v>
      </c>
      <c r="S117" s="293">
        <f t="shared" ref="S117:S118" si="384">325</f>
        <v>325</v>
      </c>
      <c r="T117" s="294">
        <f t="shared" ref="T117:T118" si="385">550</f>
        <v>550</v>
      </c>
      <c r="U117" s="298" t="e">
        <f ca="1">(40 * P_Q + 10 + 0.6 * Self_AP) * MOD_Magic</f>
        <v>#NAME?</v>
      </c>
      <c r="V117" s="299">
        <f>(35*P_W+20+0.4*Self_AP)*MOD_Heal</f>
        <v>20</v>
      </c>
      <c r="W117" s="299">
        <f>0</f>
        <v>0</v>
      </c>
      <c r="X117" s="299" t="e">
        <f ca="1">(Self_AP*0.5+50+100*P_R)*MOD_Magic</f>
        <v>#NAME?</v>
      </c>
      <c r="Y117" s="300" t="e">
        <f ca="1">(10 + 10 * Self_Level + IF(Self_Level &gt; 8, 5 * (Self_Level - 8), 0) + 0.2 * Self_AP) * IF(Steroid_Q, 1.4, 1) * MOD_Magic</f>
        <v>#NAME?</v>
      </c>
      <c r="Z117" s="281">
        <f>8</f>
        <v>8</v>
      </c>
      <c r="AA117" s="282">
        <f>10</f>
        <v>10</v>
      </c>
      <c r="AB117" s="282">
        <f>14</f>
        <v>14</v>
      </c>
      <c r="AC117" s="282">
        <f>160 - 20 * P_R</f>
        <v>160</v>
      </c>
      <c r="AD117" s="283">
        <f t="shared" si="373"/>
        <v>1</v>
      </c>
      <c r="AE117" s="284" t="b">
        <f t="shared" ref="AE117:AE119" si="386">FALSE</f>
        <v>0</v>
      </c>
      <c r="AF117" s="285" t="e">
        <f ca="1">_xludf.Image("https://ddragon.leagueoflegends.com/cdn/11.19.1/img/champion/Sona.png")</f>
        <v>#NAME?</v>
      </c>
      <c r="AG117" s="282">
        <f ca="1">IFERROR(__xludf.DUMMYFUNCTION("IF(OR(REGEXMATCH(FORMULATEXT(U117),""HMOD""),NOT(P_Q&gt;0)),0,U117)+IF(OR(REGEXMATCH(FORMULATEXT(V117),""HMOD""),NOT(P_W&gt;0)),0,V117)+IF(OR(REGEXMATCH(FORMULATEXT(W117),""HMOD""),NOT(P_E&gt;0)),0,W117)+IF(OR(REGEXMATCH(FORMULATEXT(X117),""HMOD""),NOT(P_R&gt;0)),0,X"&amp;"117)+IF(REGEXMATCH(FORMULATEXT(Y117),""HMOD""),0,Y117)+Self_Proc_item+Self_Proc_Summ+Self_Proc_Rune+3*Self_DPS"),20)</f>
        <v>20</v>
      </c>
      <c r="AH117" s="282">
        <f t="shared" si="8"/>
        <v>0</v>
      </c>
      <c r="AI117" s="282" t="b">
        <f t="shared" si="367"/>
        <v>0</v>
      </c>
      <c r="AJ117" s="283" t="b">
        <f t="shared" si="371"/>
        <v>0</v>
      </c>
    </row>
    <row r="118" spans="1:36">
      <c r="A118" s="267" t="s">
        <v>303</v>
      </c>
      <c r="B118" s="287">
        <f>605</f>
        <v>605</v>
      </c>
      <c r="C118" s="287">
        <f>88</f>
        <v>88</v>
      </c>
      <c r="D118" s="288">
        <f>2.5</f>
        <v>2.5</v>
      </c>
      <c r="E118" s="289">
        <f>0.5</f>
        <v>0.5</v>
      </c>
      <c r="F118" s="288">
        <f>425</f>
        <v>425</v>
      </c>
      <c r="G118" s="288">
        <f>40</f>
        <v>40</v>
      </c>
      <c r="H118" s="288">
        <f t="shared" si="378"/>
        <v>11.5</v>
      </c>
      <c r="I118" s="289">
        <f t="shared" si="379"/>
        <v>0.4</v>
      </c>
      <c r="J118" s="290">
        <f>50</f>
        <v>50</v>
      </c>
      <c r="K118" s="288">
        <f t="shared" si="380"/>
        <v>3</v>
      </c>
      <c r="L118" s="291">
        <f t="shared" ref="L118:M118" si="387">0.625</f>
        <v>0.625</v>
      </c>
      <c r="M118" s="291">
        <f t="shared" si="387"/>
        <v>0.625</v>
      </c>
      <c r="N118" s="292">
        <f>2.14%</f>
        <v>2.1400000000000002E-2</v>
      </c>
      <c r="O118" s="287">
        <f>32</f>
        <v>32</v>
      </c>
      <c r="P118" s="287">
        <f>5</f>
        <v>5</v>
      </c>
      <c r="Q118" s="288">
        <f t="shared" si="382"/>
        <v>30</v>
      </c>
      <c r="R118" s="289">
        <f t="shared" si="383"/>
        <v>1.3</v>
      </c>
      <c r="S118" s="293">
        <f t="shared" si="384"/>
        <v>325</v>
      </c>
      <c r="T118" s="294">
        <f t="shared" si="385"/>
        <v>550</v>
      </c>
      <c r="U118" s="295" t="e">
        <f ca="1">(35*P_Q+50+0.35*Self_AP)*MOD_Magic</f>
        <v>#NAME?</v>
      </c>
      <c r="V118" s="296">
        <f>(70+20*P_W+0.5*Self_AP)*MOD_Heal</f>
        <v>70</v>
      </c>
      <c r="W118" s="296" t="e">
        <f ca="1">(0.8*Self_AP+50*P_E+90)*MOD_Magic</f>
        <v>#NAME?</v>
      </c>
      <c r="X118" s="296">
        <f>(50 + 100 * P_R + 0.5 * Self_AP) * MOD_Heal</f>
        <v>50</v>
      </c>
      <c r="Y118" s="297">
        <f t="shared" ref="Y118:Y119" si="388">0</f>
        <v>0</v>
      </c>
      <c r="Z118" s="281">
        <f>9-P_Q</f>
        <v>9</v>
      </c>
      <c r="AA118" s="282">
        <f>7-1*P_W</f>
        <v>7</v>
      </c>
      <c r="AB118" s="282">
        <f>26-2*P_E</f>
        <v>26</v>
      </c>
      <c r="AC118" s="282">
        <f>175-15*P_R</f>
        <v>175</v>
      </c>
      <c r="AD118" s="283">
        <f t="shared" si="373"/>
        <v>1</v>
      </c>
      <c r="AE118" s="284" t="b">
        <f t="shared" si="386"/>
        <v>0</v>
      </c>
      <c r="AF118" s="285" t="e">
        <f ca="1">_xludf.Image("https://ddragon.leagueoflegends.com/cdn/11.19.1/img/champion/Soraka.png")</f>
        <v>#NAME?</v>
      </c>
      <c r="AG118" s="282">
        <f ca="1">IFERROR(__xludf.DUMMYFUNCTION("IF(OR(REGEXMATCH(FORMULATEXT(U118),""HMOD""),NOT(P_Q&gt;0)),0,U118)+IF(OR(REGEXMATCH(FORMULATEXT(V118),""HMOD""),NOT(P_W&gt;0)),0,V118)+IF(OR(REGEXMATCH(FORMULATEXT(W118),""HMOD""),NOT(P_E&gt;0)),0,W118)+IF(OR(REGEXMATCH(FORMULATEXT(X118),""HMOD""),NOT(P_R&gt;0)),0,X"&amp;"118)+IF(REGEXMATCH(FORMULATEXT(Y118),""HMOD""),0,Y118)+Self_Proc_item+Self_Proc_Summ+Self_Proc_Rune+3*Self_DPS"),0)</f>
        <v>0</v>
      </c>
      <c r="AH118" s="282">
        <f t="shared" si="8"/>
        <v>0</v>
      </c>
      <c r="AI118" s="282" t="b">
        <f t="shared" si="367"/>
        <v>0</v>
      </c>
      <c r="AJ118" s="283" t="b">
        <f t="shared" si="371"/>
        <v>0</v>
      </c>
    </row>
    <row r="119" spans="1:36">
      <c r="A119" s="267" t="s">
        <v>304</v>
      </c>
      <c r="B119" s="287">
        <f>595</f>
        <v>595</v>
      </c>
      <c r="C119" s="287">
        <f>99</f>
        <v>99</v>
      </c>
      <c r="D119" s="288">
        <f>7</f>
        <v>7</v>
      </c>
      <c r="E119" s="289">
        <f>0.65</f>
        <v>0.65</v>
      </c>
      <c r="F119" s="288">
        <f>468</f>
        <v>468</v>
      </c>
      <c r="G119" s="288">
        <f>28.5</f>
        <v>28.5</v>
      </c>
      <c r="H119" s="288">
        <f t="shared" ref="H119:H123" si="389">8</f>
        <v>8</v>
      </c>
      <c r="I119" s="289">
        <f t="shared" ref="I119:I121" si="390">0.8</f>
        <v>0.8</v>
      </c>
      <c r="J119" s="290">
        <f>58</f>
        <v>58</v>
      </c>
      <c r="K119" s="288">
        <f>2.7</f>
        <v>2.7</v>
      </c>
      <c r="L119" s="291">
        <f t="shared" ref="L119:M119" si="391">0.625</f>
        <v>0.625</v>
      </c>
      <c r="M119" s="291">
        <f t="shared" si="391"/>
        <v>0.625</v>
      </c>
      <c r="N119" s="292">
        <f>2.11%</f>
        <v>2.1099999999999997E-2</v>
      </c>
      <c r="O119" s="287">
        <f>26</f>
        <v>26</v>
      </c>
      <c r="P119" s="287">
        <f t="shared" ref="P119:P120" si="392">5.2</f>
        <v>5.2</v>
      </c>
      <c r="Q119" s="288">
        <f t="shared" si="382"/>
        <v>30</v>
      </c>
      <c r="R119" s="289">
        <f t="shared" si="383"/>
        <v>1.3</v>
      </c>
      <c r="S119" s="293">
        <f>330</f>
        <v>330</v>
      </c>
      <c r="T119" s="294">
        <f>525</f>
        <v>525</v>
      </c>
      <c r="U119" s="298" t="e">
        <f ca="1">IF(Steroid_Q, 65 + 60 * P_Q + 0.8 * Self_AP, 20 * P_Q + 45 + 0.4 * Self_AP) * MOD_Magic</f>
        <v>#NAME?</v>
      </c>
      <c r="V119" s="299" t="e">
        <f ca="1">(45+35*P_W+0.55*Self_AP)*MOD_Magic</f>
        <v>#NAME?</v>
      </c>
      <c r="W119" s="299" t="e">
        <f ca="1">(0.5*Self_AP+45*P_E+25)*MOD_Magic</f>
        <v>#NAME?</v>
      </c>
      <c r="X119" s="299" t="e">
        <f ca="1">(75+Self_AP*0.6+75*P_R)*MOD_Magic</f>
        <v>#NAME?</v>
      </c>
      <c r="Y119" s="300">
        <f t="shared" si="388"/>
        <v>0</v>
      </c>
      <c r="Z119" s="281">
        <f>8-P_Q</f>
        <v>8</v>
      </c>
      <c r="AA119" s="282">
        <f>23-P_W</f>
        <v>23</v>
      </c>
      <c r="AB119" s="282">
        <f>10</f>
        <v>10</v>
      </c>
      <c r="AC119" s="282">
        <f>120-20*P_R</f>
        <v>120</v>
      </c>
      <c r="AD119" s="283">
        <f t="shared" si="373"/>
        <v>1</v>
      </c>
      <c r="AE119" s="284" t="b">
        <f t="shared" si="386"/>
        <v>0</v>
      </c>
      <c r="AF119" s="285" t="e">
        <f ca="1">_xludf.Image("https://ddragon.leagueoflegends.com/cdn/11.19.1/img/champion/Swain.png")</f>
        <v>#NAME?</v>
      </c>
      <c r="AG119" s="282">
        <f ca="1">IFERROR(__xludf.DUMMYFUNCTION("IF(OR(REGEXMATCH(FORMULATEXT(U119),""HMOD""),NOT(P_Q&gt;0)),0,U119)+IF(OR(REGEXMATCH(FORMULATEXT(V119),""HMOD""),NOT(P_W&gt;0)),0,V119)+IF(OR(REGEXMATCH(FORMULATEXT(W119),""HMOD""),NOT(P_E&gt;0)),0,W119)+IF(OR(REGEXMATCH(FORMULATEXT(X119),""HMOD""),NOT(P_R&gt;0)),0,X"&amp;"119)+IF(REGEXMATCH(FORMULATEXT(Y119),""HMOD""),0,Y119)+Self_Proc_item+Self_Proc_Summ+Self_Proc_Rune+3*Self_DPS"),0)</f>
        <v>0</v>
      </c>
      <c r="AH119" s="282">
        <f t="shared" si="8"/>
        <v>0</v>
      </c>
      <c r="AI119" s="282" t="b">
        <f t="shared" si="367"/>
        <v>0</v>
      </c>
      <c r="AJ119" s="283" t="b">
        <f t="shared" si="371"/>
        <v>0</v>
      </c>
    </row>
    <row r="120" spans="1:36">
      <c r="A120" s="267" t="s">
        <v>305</v>
      </c>
      <c r="B120" s="287">
        <f>575</f>
        <v>575</v>
      </c>
      <c r="C120" s="287">
        <f>129</f>
        <v>129</v>
      </c>
      <c r="D120" s="288">
        <f>9</f>
        <v>9</v>
      </c>
      <c r="E120" s="289">
        <f>0.9</f>
        <v>0.9</v>
      </c>
      <c r="F120" s="288">
        <f>310</f>
        <v>310</v>
      </c>
      <c r="G120" s="288">
        <f>70</f>
        <v>70</v>
      </c>
      <c r="H120" s="288">
        <f t="shared" si="389"/>
        <v>8</v>
      </c>
      <c r="I120" s="289">
        <f t="shared" si="390"/>
        <v>0.8</v>
      </c>
      <c r="J120" s="290">
        <f>61</f>
        <v>61</v>
      </c>
      <c r="K120" s="288">
        <f>3</f>
        <v>3</v>
      </c>
      <c r="L120" s="291">
        <f t="shared" ref="L120:M120" si="393">0.645</f>
        <v>0.64500000000000002</v>
      </c>
      <c r="M120" s="291">
        <f t="shared" si="393"/>
        <v>0.64500000000000002</v>
      </c>
      <c r="N120" s="292">
        <f>3.5%</f>
        <v>3.5000000000000003E-2</v>
      </c>
      <c r="O120" s="287">
        <f>27</f>
        <v>27</v>
      </c>
      <c r="P120" s="287">
        <f t="shared" si="392"/>
        <v>5.2</v>
      </c>
      <c r="Q120" s="288">
        <f>32</f>
        <v>32</v>
      </c>
      <c r="R120" s="289">
        <f>2.55</f>
        <v>2.5499999999999998</v>
      </c>
      <c r="S120" s="293">
        <f>340</f>
        <v>340</v>
      </c>
      <c r="T120" s="294">
        <f>175</f>
        <v>175</v>
      </c>
      <c r="U120" s="295" t="e">
        <f ca="1">(35 + 75 * P_Q + 1.3 * Self_AP) * MOD_Magic</f>
        <v>#NAME?</v>
      </c>
      <c r="V120" s="296" t="e">
        <f ca="1">(35 + 35 * P_W + 0.9 * Self_AP) * MOD_Magic</f>
        <v>#NAME?</v>
      </c>
      <c r="W120" s="296" t="e">
        <f ca="1">(30+50*P_E+Self_AP)*MOD_Magic</f>
        <v>#NAME?</v>
      </c>
      <c r="X120" s="296">
        <f>IF(C_SylasUltimate="Sylas",0,VLOOKUP(C_SylasUltimate,Champs!A2:X180,24,FALSE))</f>
        <v>0</v>
      </c>
      <c r="Y120" s="297" t="e">
        <f ca="1">Self_AD*1.3*MOD_Phys+(0.25*Self_AP+6+3*Self_Level)*MOD_Magic</f>
        <v>#NAME?</v>
      </c>
      <c r="Z120" s="281">
        <f>12-P_Q</f>
        <v>12</v>
      </c>
      <c r="AA120" s="282">
        <f>14.75-1.75*P_W</f>
        <v>14.75</v>
      </c>
      <c r="AB120" s="282">
        <f>14-P_E</f>
        <v>14</v>
      </c>
      <c r="AC120" s="282">
        <f>105-25*P_R</f>
        <v>105</v>
      </c>
      <c r="AD120" s="283">
        <v>16</v>
      </c>
      <c r="AE120" s="284" t="b">
        <f>TRUE</f>
        <v>1</v>
      </c>
      <c r="AF120" s="285" t="e">
        <f ca="1">_xludf.Image("https://ddragon.leagueoflegends.com/cdn/11.19.1/img/champion/Sylas.png")</f>
        <v>#NAME?</v>
      </c>
      <c r="AG120" s="282">
        <f ca="1">IFERROR(__xludf.DUMMYFUNCTION("IF(OR(REGEXMATCH(FORMULATEXT(U120),""HMOD""),NOT(P_Q&gt;0)),0,U120)+IF(OR(REGEXMATCH(FORMULATEXT(V120),""HMOD""),NOT(P_W&gt;0)),0,V120)+IF(OR(REGEXMATCH(FORMULATEXT(W120),""HMOD""),NOT(P_E&gt;0)),0,W120)+IF(OR(REGEXMATCH(FORMULATEXT(X120),""HMOD""),NOT(P_R&gt;0)),0,X"&amp;"120)+IF(REGEXMATCH(FORMULATEXT(Y120),""HMOD""),0,Y120)+Self_Proc_item+Self_Proc_Summ+Self_Proc_Rune+3*Self_DPS"),9)</f>
        <v>9</v>
      </c>
      <c r="AH120" s="282">
        <f t="shared" si="8"/>
        <v>0</v>
      </c>
      <c r="AI120" s="282" t="b">
        <f t="shared" si="367"/>
        <v>0</v>
      </c>
      <c r="AJ120" s="283" t="b">
        <f t="shared" si="371"/>
        <v>0</v>
      </c>
    </row>
    <row r="121" spans="1:36">
      <c r="A121" s="267" t="s">
        <v>306</v>
      </c>
      <c r="B121" s="287">
        <f>563</f>
        <v>563</v>
      </c>
      <c r="C121" s="287">
        <f>104</f>
        <v>104</v>
      </c>
      <c r="D121" s="288">
        <f t="shared" ref="D121:D123" si="394">6.5</f>
        <v>6.5</v>
      </c>
      <c r="E121" s="289">
        <f>0.6</f>
        <v>0.6</v>
      </c>
      <c r="F121" s="288">
        <f>480</f>
        <v>480</v>
      </c>
      <c r="G121" s="288">
        <f>40</f>
        <v>40</v>
      </c>
      <c r="H121" s="288">
        <f t="shared" si="389"/>
        <v>8</v>
      </c>
      <c r="I121" s="289">
        <f t="shared" si="390"/>
        <v>0.8</v>
      </c>
      <c r="J121" s="290">
        <f>54</f>
        <v>54</v>
      </c>
      <c r="K121" s="288">
        <f>2.9</f>
        <v>2.9</v>
      </c>
      <c r="L121" s="291">
        <f t="shared" ref="L121:M121" si="395">0.625</f>
        <v>0.625</v>
      </c>
      <c r="M121" s="291">
        <f t="shared" si="395"/>
        <v>0.625</v>
      </c>
      <c r="N121" s="292">
        <f>2%</f>
        <v>0.02</v>
      </c>
      <c r="O121" s="287">
        <f>25</f>
        <v>25</v>
      </c>
      <c r="P121" s="287">
        <f>4.6</f>
        <v>4.5999999999999996</v>
      </c>
      <c r="Q121" s="288">
        <f>30</f>
        <v>30</v>
      </c>
      <c r="R121" s="289">
        <f>1.3</f>
        <v>1.3</v>
      </c>
      <c r="S121" s="293">
        <f>330</f>
        <v>330</v>
      </c>
      <c r="T121" s="294">
        <f>550</f>
        <v>550</v>
      </c>
      <c r="U121" s="298" t="e">
        <f ca="1">(0.7 * Self_AP + 35 * P_Q + 35) * MOD_Magic</f>
        <v>#NAME?</v>
      </c>
      <c r="V121" s="299" t="e">
        <f ca="1">(0.7 * Self_AP + 40 * P_W + 30) * IF(Steroid_W, 0.12 * MOD_True + 0.0002 * Self_AP + MOD_Magic, MOD_Magic)</f>
        <v>#NAME?</v>
      </c>
      <c r="W121" s="299" t="e">
        <f ca="1">(0.45 * Self_AP + 40 * P_E + 35) * MOD_Magic</f>
        <v>#NAME?</v>
      </c>
      <c r="X121" s="299" t="e">
        <f ca="1">IF(Steroid_R, 7, 3) * (0.17 * Self_AP + 40 * P_R + 50) * MOD_Magic</f>
        <v>#NAME?</v>
      </c>
      <c r="Y121" s="300">
        <f>0</f>
        <v>0</v>
      </c>
      <c r="Z121" s="281">
        <f>7</f>
        <v>7</v>
      </c>
      <c r="AA121" s="282">
        <f>13-P_W</f>
        <v>13</v>
      </c>
      <c r="AB121" s="282">
        <f>17</f>
        <v>17</v>
      </c>
      <c r="AC121" s="282">
        <f>140 - 20 * P_R</f>
        <v>140</v>
      </c>
      <c r="AD121" s="283">
        <f t="shared" ref="AD121:AD133" si="396">1</f>
        <v>1</v>
      </c>
      <c r="AE121" s="284" t="b">
        <f>FALSE</f>
        <v>0</v>
      </c>
      <c r="AF121" s="285" t="e">
        <f ca="1">_xludf.Image("https://ddragon.leagueoflegends.com/cdn/11.19.1/img/champion/Syndra.png")</f>
        <v>#NAME?</v>
      </c>
      <c r="AG121" s="282">
        <f ca="1">IFERROR(__xludf.DUMMYFUNCTION("IF(OR(REGEXMATCH(FORMULATEXT(U121),""HMOD""),NOT(P_Q&gt;0)),0,U121)+IF(OR(REGEXMATCH(FORMULATEXT(V121),""HMOD""),NOT(P_W&gt;0)),0,V121)+IF(OR(REGEXMATCH(FORMULATEXT(W121),""HMOD""),NOT(P_E&gt;0)),0,W121)+IF(OR(REGEXMATCH(FORMULATEXT(X121),""HMOD""),NOT(P_R&gt;0)),0,X"&amp;"121)+IF(REGEXMATCH(FORMULATEXT(Y121),""HMOD""),0,Y121)+Self_Proc_item+Self_Proc_Summ+Self_Proc_Rune+3*Self_DPS"),0)</f>
        <v>0</v>
      </c>
      <c r="AH121" s="282">
        <f t="shared" si="8"/>
        <v>0</v>
      </c>
      <c r="AI121" s="282" t="b">
        <f t="shared" si="367"/>
        <v>0</v>
      </c>
      <c r="AJ121" s="283" t="b">
        <f t="shared" si="371"/>
        <v>0</v>
      </c>
    </row>
    <row r="122" spans="1:36">
      <c r="A122" s="267" t="s">
        <v>307</v>
      </c>
      <c r="B122" s="287">
        <f>640</f>
        <v>640</v>
      </c>
      <c r="C122" s="287">
        <f>103</f>
        <v>103</v>
      </c>
      <c r="D122" s="288">
        <f t="shared" si="394"/>
        <v>6.5</v>
      </c>
      <c r="E122" s="289">
        <f>0.55</f>
        <v>0.55000000000000004</v>
      </c>
      <c r="F122" s="288">
        <f>325</f>
        <v>325</v>
      </c>
      <c r="G122" s="288">
        <f>50</f>
        <v>50</v>
      </c>
      <c r="H122" s="288">
        <f t="shared" si="389"/>
        <v>8</v>
      </c>
      <c r="I122" s="289">
        <f>1</f>
        <v>1</v>
      </c>
      <c r="J122" s="290">
        <f>56</f>
        <v>56</v>
      </c>
      <c r="K122" s="288">
        <f>3.2</f>
        <v>3.2</v>
      </c>
      <c r="L122" s="291">
        <f t="shared" ref="L122:M122" si="397">0.658</f>
        <v>0.65800000000000003</v>
      </c>
      <c r="M122" s="291">
        <f t="shared" si="397"/>
        <v>0.65800000000000003</v>
      </c>
      <c r="N122" s="292">
        <f>2.5%</f>
        <v>2.5000000000000001E-2</v>
      </c>
      <c r="O122" s="287">
        <f>42</f>
        <v>42</v>
      </c>
      <c r="P122" s="287">
        <f t="shared" ref="P122:P124" si="398">4.7</f>
        <v>4.7</v>
      </c>
      <c r="Q122" s="288">
        <f>32</f>
        <v>32</v>
      </c>
      <c r="R122" s="289">
        <f>2.05</f>
        <v>2.0499999999999998</v>
      </c>
      <c r="S122" s="293">
        <f>335</f>
        <v>335</v>
      </c>
      <c r="T122" s="294">
        <f>175</f>
        <v>175</v>
      </c>
      <c r="U122" s="295" t="e">
        <f ca="1">(45 * P_Q + 35 + 1 * Self_AP) * MOD_Magic + Y122</f>
        <v>#NAME?</v>
      </c>
      <c r="V122" s="296" t="e">
        <f ca="1">(1.5 * Self_AP + 35 * P_W + 65)*MOD_Magic</f>
        <v>#NAME?</v>
      </c>
      <c r="W122" s="296">
        <f>0</f>
        <v>0</v>
      </c>
      <c r="X122" s="296" t="e">
        <f ca="1">((0.0007 * Self_AP + 0.15)*E_MHP - 50 + 150 * P_R)*MOD_Magic</f>
        <v>#NAME?</v>
      </c>
      <c r="Y122" s="297">
        <f>0.03 * Self_BoHP + 8 + 52 * Sc_Lin + 0.0002 * Self_BoHP * Self_AP</f>
        <v>8</v>
      </c>
      <c r="Z122" s="281">
        <f>7.5-0.5*P_Q</f>
        <v>7.5</v>
      </c>
      <c r="AA122" s="282">
        <f>22 - P_W</f>
        <v>22</v>
      </c>
      <c r="AB122" s="282">
        <f>6</f>
        <v>6</v>
      </c>
      <c r="AC122" s="282">
        <f>150-10*P_R</f>
        <v>150</v>
      </c>
      <c r="AD122" s="283">
        <f t="shared" si="396"/>
        <v>1</v>
      </c>
      <c r="AE122" s="284" t="b">
        <f>TRUE</f>
        <v>1</v>
      </c>
      <c r="AF122" s="285" t="e">
        <f ca="1">_xludf.Image("https://ddragon.leagueoflegends.com/cdn/11.19.1/img/champion/TahmKench.png")</f>
        <v>#NAME?</v>
      </c>
      <c r="AG122" s="282">
        <f ca="1">IFERROR(__xludf.DUMMYFUNCTION("IF(OR(REGEXMATCH(FORMULATEXT(U122),""HMOD""),NOT(P_Q&gt;0)),0,U122)+IF(OR(REGEXMATCH(FORMULATEXT(V122),""HMOD""),NOT(P_W&gt;0)),0,V122)+IF(OR(REGEXMATCH(FORMULATEXT(W122),""HMOD""),NOT(P_E&gt;0)),0,W122)+IF(OR(REGEXMATCH(FORMULATEXT(X122),""HMOD""),NOT(P_R&gt;0)),0,X"&amp;"122)+IF(REGEXMATCH(FORMULATEXT(Y122),""HMOD""),0,Y122)+Self_Proc_item+Self_Proc_Summ+Self_Proc_Rune+3*Self_DPS"),8)</f>
        <v>8</v>
      </c>
      <c r="AH122" s="282">
        <f t="shared" si="8"/>
        <v>0</v>
      </c>
      <c r="AI122" s="282" t="b">
        <f t="shared" si="367"/>
        <v>0</v>
      </c>
      <c r="AJ122" s="283" t="b">
        <f t="shared" si="371"/>
        <v>0</v>
      </c>
    </row>
    <row r="123" spans="1:36">
      <c r="A123" s="267" t="s">
        <v>308</v>
      </c>
      <c r="B123" s="287">
        <f>550</f>
        <v>550</v>
      </c>
      <c r="C123" s="287">
        <f>104</f>
        <v>104</v>
      </c>
      <c r="D123" s="288">
        <f t="shared" si="394"/>
        <v>6.5</v>
      </c>
      <c r="E123" s="289">
        <f>0.65</f>
        <v>0.65</v>
      </c>
      <c r="F123" s="288">
        <f>470</f>
        <v>470</v>
      </c>
      <c r="G123" s="288">
        <f>30</f>
        <v>30</v>
      </c>
      <c r="H123" s="288">
        <f t="shared" si="389"/>
        <v>8</v>
      </c>
      <c r="I123" s="289">
        <f t="shared" ref="I123:I125" si="399">0.8</f>
        <v>0.8</v>
      </c>
      <c r="J123" s="290">
        <f>58</f>
        <v>58</v>
      </c>
      <c r="K123" s="288">
        <f>3.3</f>
        <v>3.3</v>
      </c>
      <c r="L123" s="291">
        <f t="shared" ref="L123:M123" si="400">0.625</f>
        <v>0.625</v>
      </c>
      <c r="M123" s="291">
        <f t="shared" si="400"/>
        <v>0.625</v>
      </c>
      <c r="N123" s="292">
        <f>1.36%</f>
        <v>1.3600000000000001E-2</v>
      </c>
      <c r="O123" s="287">
        <f>18</f>
        <v>18</v>
      </c>
      <c r="P123" s="287">
        <f t="shared" si="398"/>
        <v>4.7</v>
      </c>
      <c r="Q123" s="288">
        <f>30</f>
        <v>30</v>
      </c>
      <c r="R123" s="289">
        <f>1.3</f>
        <v>1.3</v>
      </c>
      <c r="S123" s="293">
        <f>330</f>
        <v>330</v>
      </c>
      <c r="T123" s="294">
        <f>525</f>
        <v>525</v>
      </c>
      <c r="U123" s="298" t="e">
        <f ca="1">IF(Steroid_Q, 2.6, 1) * (20 * P_Q + 25 + 0.5 * Self_AP) * MOD_Magic</f>
        <v>#NAME?</v>
      </c>
      <c r="V123" s="299">
        <f>0</f>
        <v>0</v>
      </c>
      <c r="W123" s="299" t="e">
        <f ca="1">(0.6 * Self_AP + 45 * P_E + 15) * MOD_Magic + IF(Steroid_E,2.5,0) * (5 + 20 * P_E + 0.3 * Self_AP) * MOD_Magic</f>
        <v>#NAME?</v>
      </c>
      <c r="X123" s="299">
        <f t="shared" ref="X123:Y123" si="401">0</f>
        <v>0</v>
      </c>
      <c r="Y123" s="300">
        <f t="shared" si="401"/>
        <v>0</v>
      </c>
      <c r="Z123" s="281">
        <f>8-P_Q</f>
        <v>8</v>
      </c>
      <c r="AA123" s="282">
        <f>15.5-1.5*P_W</f>
        <v>15.5</v>
      </c>
      <c r="AB123" s="282">
        <f>19-P_E</f>
        <v>19</v>
      </c>
      <c r="AC123" s="282">
        <f>210-30*P_R</f>
        <v>210</v>
      </c>
      <c r="AD123" s="283">
        <f t="shared" si="396"/>
        <v>1</v>
      </c>
      <c r="AE123" s="284" t="b">
        <f>FALSE</f>
        <v>0</v>
      </c>
      <c r="AF123" s="285" t="e">
        <f ca="1">_xludf.Image("https://ddragon.leagueoflegends.com/cdn/11.19.1/img/champion/Taliyah.png")</f>
        <v>#NAME?</v>
      </c>
      <c r="AG123" s="282">
        <f ca="1">IFERROR(__xludf.DUMMYFUNCTION("IF(OR(REGEXMATCH(FORMULATEXT(U123),""HMOD""),NOT(P_Q&gt;0)),0,U123)+IF(OR(REGEXMATCH(FORMULATEXT(V123),""HMOD""),NOT(P_W&gt;0)),0,V123)+IF(OR(REGEXMATCH(FORMULATEXT(W123),""HMOD""),NOT(P_E&gt;0)),0,W123)+IF(OR(REGEXMATCH(FORMULATEXT(X123),""HMOD""),NOT(P_R&gt;0)),0,X"&amp;"123)+IF(REGEXMATCH(FORMULATEXT(Y123),""HMOD""),0,Y123)+Self_Proc_item+Self_Proc_Summ+Self_Proc_Rune+3*Self_DPS"),0)</f>
        <v>0</v>
      </c>
      <c r="AH123" s="282">
        <f t="shared" si="8"/>
        <v>0</v>
      </c>
      <c r="AI123" s="282" t="b">
        <f t="shared" si="367"/>
        <v>0</v>
      </c>
      <c r="AJ123" s="283" t="b">
        <f t="shared" si="371"/>
        <v>0</v>
      </c>
    </row>
    <row r="124" spans="1:36">
      <c r="A124" s="267" t="s">
        <v>309</v>
      </c>
      <c r="B124" s="287">
        <f>658</f>
        <v>658</v>
      </c>
      <c r="C124" s="287">
        <f>109</f>
        <v>109</v>
      </c>
      <c r="D124" s="288">
        <f>8.5</f>
        <v>8.5</v>
      </c>
      <c r="E124" s="289">
        <f>0.75</f>
        <v>0.75</v>
      </c>
      <c r="F124" s="288">
        <f>400</f>
        <v>400</v>
      </c>
      <c r="G124" s="288">
        <f>37</f>
        <v>37</v>
      </c>
      <c r="H124" s="288">
        <f>7.6</f>
        <v>7.6</v>
      </c>
      <c r="I124" s="289">
        <f t="shared" si="399"/>
        <v>0.8</v>
      </c>
      <c r="J124" s="290">
        <f>68</f>
        <v>68</v>
      </c>
      <c r="K124" s="288">
        <f>3.1</f>
        <v>3.1</v>
      </c>
      <c r="L124" s="291">
        <f t="shared" ref="L124:M124" si="402">0.625</f>
        <v>0.625</v>
      </c>
      <c r="M124" s="291">
        <f t="shared" si="402"/>
        <v>0.625</v>
      </c>
      <c r="N124" s="292">
        <f>2.9%</f>
        <v>2.8999999999999998E-2</v>
      </c>
      <c r="O124" s="287">
        <f>30</f>
        <v>30</v>
      </c>
      <c r="P124" s="287">
        <f t="shared" si="398"/>
        <v>4.7</v>
      </c>
      <c r="Q124" s="288">
        <f>39</f>
        <v>39</v>
      </c>
      <c r="R124" s="289">
        <f t="shared" ref="R124:R125" si="403">2.05</f>
        <v>2.0499999999999998</v>
      </c>
      <c r="S124" s="293">
        <f>335</f>
        <v>335</v>
      </c>
      <c r="T124" s="294">
        <f>125</f>
        <v>125</v>
      </c>
      <c r="U124" s="295" t="e">
        <f ca="1">IF(Steroid_Q, 1.5 + IT_CDMG, 1) * (20 * P_Q + 45 + Self_BoAD) * MOD_Phys</f>
        <v>#NAME?</v>
      </c>
      <c r="V124" s="296" t="e">
        <f ca="1">(50 + 1.2 * Self_BoAD + 40 * P_W) * MOD_Phys</f>
        <v>#NAME?</v>
      </c>
      <c r="W124" s="296">
        <f>0</f>
        <v>0</v>
      </c>
      <c r="X124" s="296" t="e">
        <f ca="1">(2*Self_BoAD+90*P_R+90)*MOD_Phys</f>
        <v>#NAME?</v>
      </c>
      <c r="Y124" s="297" t="e">
        <f ca="1">(80 + 200 * Sc_Lin + 2.1 * Self_BoAD) * MOD_Phys</f>
        <v>#NAME?</v>
      </c>
      <c r="Z124" s="281">
        <f>8.5-0.5*P_Q</f>
        <v>8.5</v>
      </c>
      <c r="AA124" s="282">
        <f>9.5-0.5*P_W</f>
        <v>9.5</v>
      </c>
      <c r="AB124" s="282">
        <f>185-25*P_E</f>
        <v>185</v>
      </c>
      <c r="AC124" s="282">
        <f>120-20*P_R</f>
        <v>120</v>
      </c>
      <c r="AD124" s="283">
        <f t="shared" si="396"/>
        <v>1</v>
      </c>
      <c r="AE124" s="284" t="b">
        <f t="shared" ref="AE124:AE125" si="404">TRUE</f>
        <v>1</v>
      </c>
      <c r="AF124" s="285" t="e">
        <f ca="1">_xludf.Image("https://ddragon.leagueoflegends.com/cdn/11.19.1/img/champion/Talon.png")</f>
        <v>#NAME?</v>
      </c>
      <c r="AG124" s="282">
        <f ca="1">IFERROR(__xludf.DUMMYFUNCTION("IF(OR(REGEXMATCH(FORMULATEXT(U124),""HMOD""),NOT(P_Q&gt;0)),0,U124)+IF(OR(REGEXMATCH(FORMULATEXT(V124),""HMOD""),NOT(P_W&gt;0)),0,V124)+IF(OR(REGEXMATCH(FORMULATEXT(W124),""HMOD""),NOT(P_E&gt;0)),0,W124)+IF(OR(REGEXMATCH(FORMULATEXT(X124),""HMOD""),NOT(P_R&gt;0)),0,X"&amp;"124)+IF(REGEXMATCH(FORMULATEXT(Y124),""HMOD""),0,Y124)+Self_Proc_item+Self_Proc_Summ+Self_Proc_Rune+3*Self_DPS"),80)</f>
        <v>80</v>
      </c>
      <c r="AH124" s="282">
        <f t="shared" si="8"/>
        <v>0</v>
      </c>
      <c r="AI124" s="282" t="b">
        <f t="shared" si="367"/>
        <v>0</v>
      </c>
      <c r="AJ124" s="283" t="b">
        <f t="shared" si="371"/>
        <v>0</v>
      </c>
    </row>
    <row r="125" spans="1:36">
      <c r="A125" s="267" t="s">
        <v>310</v>
      </c>
      <c r="B125" s="287">
        <f>645</f>
        <v>645</v>
      </c>
      <c r="C125" s="287">
        <f>99</f>
        <v>99</v>
      </c>
      <c r="D125" s="288">
        <f>6</f>
        <v>6</v>
      </c>
      <c r="E125" s="289">
        <f>0.5</f>
        <v>0.5</v>
      </c>
      <c r="F125" s="288">
        <f>300</f>
        <v>300</v>
      </c>
      <c r="G125" s="288">
        <f>60</f>
        <v>60</v>
      </c>
      <c r="H125" s="288">
        <f>8.5</f>
        <v>8.5</v>
      </c>
      <c r="I125" s="289">
        <f t="shared" si="399"/>
        <v>0.8</v>
      </c>
      <c r="J125" s="290">
        <f>55</f>
        <v>55</v>
      </c>
      <c r="K125" s="288">
        <f>3.5</f>
        <v>3.5</v>
      </c>
      <c r="L125" s="291">
        <f t="shared" ref="L125:M125" si="405">0.625</f>
        <v>0.625</v>
      </c>
      <c r="M125" s="291">
        <f t="shared" si="405"/>
        <v>0.625</v>
      </c>
      <c r="N125" s="292">
        <f>2%</f>
        <v>0.02</v>
      </c>
      <c r="O125" s="287">
        <f>40</f>
        <v>40</v>
      </c>
      <c r="P125" s="287">
        <f>4.6</f>
        <v>4.5999999999999996</v>
      </c>
      <c r="Q125" s="288">
        <f>28</f>
        <v>28</v>
      </c>
      <c r="R125" s="289">
        <f t="shared" si="403"/>
        <v>2.0499999999999998</v>
      </c>
      <c r="S125" s="293">
        <f>340</f>
        <v>340</v>
      </c>
      <c r="T125" s="294">
        <f>150</f>
        <v>150</v>
      </c>
      <c r="U125" s="298">
        <f>(P_Q*(25 + 0.15 * Self_AP + 0.01 * Self_MHP)) * MOD_Heal</f>
        <v>0</v>
      </c>
      <c r="V125" s="299">
        <f>((0.06 + 0.01 * P_W) * Self_MHP) * MOD_Heal</f>
        <v>0</v>
      </c>
      <c r="W125" s="299" t="e">
        <f ca="1">(40*P_E+50+0.5*Self_AP+0.5*Self_BoAR)*MOD_Magic</f>
        <v>#NAME?</v>
      </c>
      <c r="X125" s="299">
        <f>0</f>
        <v>0</v>
      </c>
      <c r="Y125" s="300" t="e">
        <f ca="1">(21+4*Self_Level+0.15*Self_BoAR)*MOD_Magic</f>
        <v>#NAME?</v>
      </c>
      <c r="Z125" s="281">
        <f>3</f>
        <v>3</v>
      </c>
      <c r="AA125" s="282">
        <f>15</f>
        <v>15</v>
      </c>
      <c r="AB125" s="282">
        <f>17 - P_E</f>
        <v>17</v>
      </c>
      <c r="AC125" s="282">
        <f>210-30*P_R</f>
        <v>210</v>
      </c>
      <c r="AD125" s="283">
        <f t="shared" si="396"/>
        <v>1</v>
      </c>
      <c r="AE125" s="284" t="b">
        <f t="shared" si="404"/>
        <v>1</v>
      </c>
      <c r="AF125" s="285" t="e">
        <f ca="1">_xludf.Image("https://ddragon.leagueoflegends.com/cdn/11.19.1/img/champion/Taric.png")</f>
        <v>#NAME?</v>
      </c>
      <c r="AG125" s="282">
        <f ca="1">IFERROR(__xludf.DUMMYFUNCTION("IF(OR(REGEXMATCH(FORMULATEXT(U125),""HMOD""),NOT(P_Q&gt;0)),0,U125)+IF(OR(REGEXMATCH(FORMULATEXT(V125),""HMOD""),NOT(P_W&gt;0)),0,V125)+IF(OR(REGEXMATCH(FORMULATEXT(W125),""HMOD""),NOT(P_E&gt;0)),0,W125)+IF(OR(REGEXMATCH(FORMULATEXT(X125),""HMOD""),NOT(P_R&gt;0)),0,X"&amp;"125)+IF(REGEXMATCH(FORMULATEXT(Y125),""HMOD""),0,Y125)+Self_Proc_item+Self_Proc_Summ+Self_Proc_Rune+3*Self_DPS"),25)</f>
        <v>25</v>
      </c>
      <c r="AH125" s="282">
        <f t="shared" si="8"/>
        <v>0</v>
      </c>
      <c r="AI125" s="282" t="b">
        <f t="shared" si="367"/>
        <v>0</v>
      </c>
      <c r="AJ125" s="283" t="b">
        <f t="shared" si="371"/>
        <v>0</v>
      </c>
    </row>
    <row r="126" spans="1:36">
      <c r="A126" s="267" t="s">
        <v>311</v>
      </c>
      <c r="B126" s="287">
        <f>598</f>
        <v>598</v>
      </c>
      <c r="C126" s="287">
        <f>104</f>
        <v>104</v>
      </c>
      <c r="D126" s="288">
        <f>5.5</f>
        <v>5.5</v>
      </c>
      <c r="E126" s="289">
        <f>0.65</f>
        <v>0.65</v>
      </c>
      <c r="F126" s="288">
        <f>334</f>
        <v>334</v>
      </c>
      <c r="G126" s="288">
        <f>25</f>
        <v>25</v>
      </c>
      <c r="H126" s="288">
        <f>9.6</f>
        <v>9.6</v>
      </c>
      <c r="I126" s="289">
        <f>0.45</f>
        <v>0.45</v>
      </c>
      <c r="J126" s="290">
        <f>54</f>
        <v>54</v>
      </c>
      <c r="K126" s="288">
        <f>3</f>
        <v>3</v>
      </c>
      <c r="L126" s="291">
        <f t="shared" ref="L126:M126" si="406">0.69</f>
        <v>0.69</v>
      </c>
      <c r="M126" s="291">
        <f t="shared" si="406"/>
        <v>0.69</v>
      </c>
      <c r="N126" s="292">
        <f>3.38%</f>
        <v>3.3799999999999997E-2</v>
      </c>
      <c r="O126" s="287">
        <f>24</f>
        <v>24</v>
      </c>
      <c r="P126" s="287">
        <f>4.95</f>
        <v>4.95</v>
      </c>
      <c r="Q126" s="288">
        <f t="shared" ref="Q126:Q128" si="407">30</f>
        <v>30</v>
      </c>
      <c r="R126" s="289">
        <f t="shared" ref="R126:R128" si="408">1.3</f>
        <v>1.3</v>
      </c>
      <c r="S126" s="293">
        <f t="shared" ref="S126:S127" si="409">330</f>
        <v>330</v>
      </c>
      <c r="T126" s="294">
        <f>500</f>
        <v>500</v>
      </c>
      <c r="U126" s="295" t="e">
        <f ca="1">(45*P_Q+35+0.8*Self_AP)*MOD_Magic</f>
        <v>#NAME?</v>
      </c>
      <c r="V126" s="296">
        <f>0</f>
        <v>0</v>
      </c>
      <c r="W126" s="296" t="e">
        <f ca="1">(35 * P_E + 0.7 * Self_AP) * MOD_Magic</f>
        <v>#NAME?</v>
      </c>
      <c r="X126" s="296" t="e">
        <f ca="1">(0.55*Self_AP+125*P_R+75)*MOD_Magic</f>
        <v>#NAME?</v>
      </c>
      <c r="Y126" s="297">
        <f t="shared" ref="Y126:Y129" si="410">0</f>
        <v>0</v>
      </c>
      <c r="Z126" s="281">
        <f>7</f>
        <v>7</v>
      </c>
      <c r="AA126" s="282">
        <f>14</f>
        <v>14</v>
      </c>
      <c r="AB126" s="282">
        <f>1</f>
        <v>1</v>
      </c>
      <c r="AC126" s="282">
        <f>35-5*P_R</f>
        <v>35</v>
      </c>
      <c r="AD126" s="283">
        <f t="shared" si="396"/>
        <v>1</v>
      </c>
      <c r="AE126" s="284" t="b">
        <f t="shared" ref="AE126:AE128" si="411">FALSE</f>
        <v>0</v>
      </c>
      <c r="AF126" s="285" t="e">
        <f ca="1">_xludf.Image("https://ddragon.leagueoflegends.com/cdn/11.19.1/img/champion/Teemo.png")</f>
        <v>#NAME?</v>
      </c>
      <c r="AG126" s="282">
        <f ca="1">IFERROR(__xludf.DUMMYFUNCTION("IF(OR(REGEXMATCH(FORMULATEXT(U126),""HMOD""),NOT(P_Q&gt;0)),0,U126)+IF(OR(REGEXMATCH(FORMULATEXT(V126),""HMOD""),NOT(P_W&gt;0)),0,V126)+IF(OR(REGEXMATCH(FORMULATEXT(W126),""HMOD""),NOT(P_E&gt;0)),0,W126)+IF(OR(REGEXMATCH(FORMULATEXT(X126),""HMOD""),NOT(P_R&gt;0)),0,X"&amp;"126)+IF(REGEXMATCH(FORMULATEXT(Y126),""HMOD""),0,Y126)+Self_Proc_item+Self_Proc_Summ+Self_Proc_Rune+3*Self_DPS"),0)</f>
        <v>0</v>
      </c>
      <c r="AH126" s="282">
        <f t="shared" si="8"/>
        <v>0</v>
      </c>
      <c r="AI126" s="282" t="b">
        <f t="shared" si="367"/>
        <v>0</v>
      </c>
      <c r="AJ126" s="283" t="b">
        <f t="shared" si="371"/>
        <v>0</v>
      </c>
    </row>
    <row r="127" spans="1:36">
      <c r="A127" s="267" t="s">
        <v>312</v>
      </c>
      <c r="B127" s="287">
        <f>600</f>
        <v>600</v>
      </c>
      <c r="C127" s="287">
        <f>120</f>
        <v>120</v>
      </c>
      <c r="D127" s="288">
        <f>7</f>
        <v>7</v>
      </c>
      <c r="E127" s="289">
        <f>0.55</f>
        <v>0.55000000000000004</v>
      </c>
      <c r="F127" s="288">
        <f>274</f>
        <v>274</v>
      </c>
      <c r="G127" s="288">
        <f>44</f>
        <v>44</v>
      </c>
      <c r="H127" s="288">
        <f>6</f>
        <v>6</v>
      </c>
      <c r="I127" s="289">
        <f>0.8</f>
        <v>0.8</v>
      </c>
      <c r="J127" s="290">
        <f>56</f>
        <v>56</v>
      </c>
      <c r="K127" s="288">
        <f>2.2</f>
        <v>2.2000000000000002</v>
      </c>
      <c r="L127" s="291">
        <f t="shared" ref="L127:M127" si="412">0.625</f>
        <v>0.625</v>
      </c>
      <c r="M127" s="291">
        <f t="shared" si="412"/>
        <v>0.625</v>
      </c>
      <c r="N127" s="292">
        <f>3.5%</f>
        <v>3.5000000000000003E-2</v>
      </c>
      <c r="O127" s="287">
        <f>28</f>
        <v>28</v>
      </c>
      <c r="P127" s="287">
        <f>0</f>
        <v>0</v>
      </c>
      <c r="Q127" s="288">
        <f t="shared" si="407"/>
        <v>30</v>
      </c>
      <c r="R127" s="289">
        <f t="shared" si="408"/>
        <v>1.3</v>
      </c>
      <c r="S127" s="293">
        <f t="shared" si="409"/>
        <v>330</v>
      </c>
      <c r="T127" s="294">
        <f>450</f>
        <v>450</v>
      </c>
      <c r="U127" s="298" t="e">
        <f ca="1">(P_Q * 50 + 50 + 0.9 * Self_AP) * MOD_Magic</f>
        <v>#NAME?</v>
      </c>
      <c r="V127" s="299">
        <f>(20 * P_W + 30 + Minion * 1.5) * MOD_Heal</f>
        <v>30</v>
      </c>
      <c r="W127" s="299" t="e">
        <f ca="1">(40 * P_E + 35 + 0.7 * Self_AP) * MOD_Magic</f>
        <v>#NAME?</v>
      </c>
      <c r="X127" s="299" t="e">
        <f ca="1">(Self_AP+150*P_R+100)*MOD_Magic</f>
        <v>#NAME?</v>
      </c>
      <c r="Y127" s="300">
        <f t="shared" si="410"/>
        <v>0</v>
      </c>
      <c r="Z127" s="281">
        <f>21.5-2.5*P_Q</f>
        <v>21.5</v>
      </c>
      <c r="AA127" s="282">
        <f>22 - P_W</f>
        <v>22</v>
      </c>
      <c r="AB127" s="282">
        <f>13.75 - 0.75 * P_E</f>
        <v>13.75</v>
      </c>
      <c r="AC127" s="282">
        <f>160 - 20 * P_R</f>
        <v>160</v>
      </c>
      <c r="AD127" s="283">
        <f t="shared" si="396"/>
        <v>1</v>
      </c>
      <c r="AE127" s="284" t="b">
        <f t="shared" si="411"/>
        <v>0</v>
      </c>
      <c r="AF127" s="285" t="e">
        <f ca="1">_xludf.Image("https://ddragon.leagueoflegends.com/cdn/11.19.1/img/champion/Thresh.png")</f>
        <v>#NAME?</v>
      </c>
      <c r="AG127" s="282">
        <f ca="1">IFERROR(__xludf.DUMMYFUNCTION("IF(OR(REGEXMATCH(FORMULATEXT(U127),""HMOD""),NOT(P_Q&gt;0)),0,U127)+IF(OR(REGEXMATCH(FORMULATEXT(V127),""HMOD""),NOT(P_W&gt;0)),0,V127)+IF(OR(REGEXMATCH(FORMULATEXT(W127),""HMOD""),NOT(P_E&gt;0)),0,W127)+IF(OR(REGEXMATCH(FORMULATEXT(X127),""HMOD""),NOT(P_R&gt;0)),0,X"&amp;"127)+IF(REGEXMATCH(FORMULATEXT(Y127),""HMOD""),0,Y127)+Self_Proc_item+Self_Proc_Summ+Self_Proc_Rune+3*Self_DPS"),0)</f>
        <v>0</v>
      </c>
      <c r="AH127" s="282">
        <f t="shared" si="8"/>
        <v>0</v>
      </c>
      <c r="AI127" s="282" t="b">
        <f t="shared" si="367"/>
        <v>0</v>
      </c>
      <c r="AJ127" s="283" t="b">
        <f t="shared" si="371"/>
        <v>0</v>
      </c>
    </row>
    <row r="128" spans="1:36">
      <c r="A128" s="267" t="s">
        <v>313</v>
      </c>
      <c r="B128" s="287">
        <f>670</f>
        <v>670</v>
      </c>
      <c r="C128" s="287">
        <f>102</f>
        <v>102</v>
      </c>
      <c r="D128" s="288">
        <f>4</f>
        <v>4</v>
      </c>
      <c r="E128" s="289">
        <f>0.65</f>
        <v>0.65</v>
      </c>
      <c r="F128" s="288">
        <f>250</f>
        <v>250</v>
      </c>
      <c r="G128" s="288">
        <f>32</f>
        <v>32</v>
      </c>
      <c r="H128" s="288">
        <f>7.2</f>
        <v>7.2</v>
      </c>
      <c r="I128" s="289">
        <f>0.45</f>
        <v>0.45</v>
      </c>
      <c r="J128" s="290">
        <f>59</f>
        <v>59</v>
      </c>
      <c r="K128" s="288">
        <f>3.7</f>
        <v>3.7</v>
      </c>
      <c r="L128" s="291">
        <f>0.656</f>
        <v>0.65600000000000003</v>
      </c>
      <c r="M128" s="291">
        <f>0.679</f>
        <v>0.67900000000000005</v>
      </c>
      <c r="N128" s="292">
        <f>1.5%</f>
        <v>1.4999999999999999E-2</v>
      </c>
      <c r="O128" s="287">
        <f>26</f>
        <v>26</v>
      </c>
      <c r="P128" s="287">
        <f>4.2</f>
        <v>4.2</v>
      </c>
      <c r="Q128" s="288">
        <f t="shared" si="407"/>
        <v>30</v>
      </c>
      <c r="R128" s="289">
        <f t="shared" si="408"/>
        <v>1.3</v>
      </c>
      <c r="S128" s="293">
        <f>325</f>
        <v>325</v>
      </c>
      <c r="T128" s="294">
        <f>525+8*(Self_Level-1)</f>
        <v>525</v>
      </c>
      <c r="U128" s="295">
        <f>0</f>
        <v>0</v>
      </c>
      <c r="V128" s="296" t="e">
        <f ca="1">(0.5*Self_AP+50*P_W+45)*MOD_Magic</f>
        <v>#NAME?</v>
      </c>
      <c r="W128" s="296" t="e">
        <f ca="1">((0.25+0.25*P_E)*Self_BoAD+0.5*Self_AP+10*P_E+60)*MOD_Phys*IF(Steroid_E,2.2,1)*(1+(Self_Crit/3))</f>
        <v>#NAME?</v>
      </c>
      <c r="X128" s="296" t="e">
        <f ca="1">(Self_AP+100*P_R+200)*MOD_Magic</f>
        <v>#NAME?</v>
      </c>
      <c r="Y128" s="297">
        <f t="shared" si="410"/>
        <v>0</v>
      </c>
      <c r="Z128" s="281">
        <f>21-P_Q</f>
        <v>21</v>
      </c>
      <c r="AA128" s="282">
        <f>24-P_W*2</f>
        <v>24</v>
      </c>
      <c r="AB128" s="282">
        <f>16.5 - 0.5 * P_E</f>
        <v>16.5</v>
      </c>
      <c r="AC128" s="282">
        <f>130 - 10 * P_R</f>
        <v>130</v>
      </c>
      <c r="AD128" s="283">
        <f t="shared" si="396"/>
        <v>1</v>
      </c>
      <c r="AE128" s="284" t="b">
        <f t="shared" si="411"/>
        <v>0</v>
      </c>
      <c r="AF128" s="285" t="e">
        <f ca="1">_xludf.Image("https://ddragon.leagueoflegends.com/cdn/11.19.1/img/champion/Tristana.png")</f>
        <v>#NAME?</v>
      </c>
      <c r="AG128" s="282">
        <f ca="1">IFERROR(__xludf.DUMMYFUNCTION("IF(OR(REGEXMATCH(FORMULATEXT(U128),""HMOD""),NOT(P_Q&gt;0)),0,U128)+IF(OR(REGEXMATCH(FORMULATEXT(V128),""HMOD""),NOT(P_W&gt;0)),0,V128)+IF(OR(REGEXMATCH(FORMULATEXT(W128),""HMOD""),NOT(P_E&gt;0)),0,W128)+IF(OR(REGEXMATCH(FORMULATEXT(X128),""HMOD""),NOT(P_R&gt;0)),0,X"&amp;"128)+IF(REGEXMATCH(FORMULATEXT(Y128),""HMOD""),0,Y128)+Self_Proc_item+Self_Proc_Summ+Self_Proc_Rune+3*Self_DPS"),0)</f>
        <v>0</v>
      </c>
      <c r="AH128" s="282">
        <f t="shared" si="8"/>
        <v>0</v>
      </c>
      <c r="AI128" s="282" t="b">
        <f t="shared" si="367"/>
        <v>0</v>
      </c>
      <c r="AJ128" s="283" t="b">
        <f t="shared" si="371"/>
        <v>0</v>
      </c>
    </row>
    <row r="129" spans="1:36">
      <c r="A129" s="267" t="s">
        <v>314</v>
      </c>
      <c r="B129" s="287">
        <f>686</f>
        <v>686</v>
      </c>
      <c r="C129" s="287">
        <f>110</f>
        <v>110</v>
      </c>
      <c r="D129" s="288">
        <f>6</f>
        <v>6</v>
      </c>
      <c r="E129" s="289">
        <f>0.75</f>
        <v>0.75</v>
      </c>
      <c r="F129" s="288">
        <f>340</f>
        <v>340</v>
      </c>
      <c r="G129" s="288">
        <f>45</f>
        <v>45</v>
      </c>
      <c r="H129" s="288">
        <f>7.5</f>
        <v>7.5</v>
      </c>
      <c r="I129" s="289">
        <f>0.6</f>
        <v>0.6</v>
      </c>
      <c r="J129" s="290">
        <f>68</f>
        <v>68</v>
      </c>
      <c r="K129" s="288">
        <f>3</f>
        <v>3</v>
      </c>
      <c r="L129" s="291">
        <f t="shared" ref="L129:M129" si="413">0.67</f>
        <v>0.67</v>
      </c>
      <c r="M129" s="291">
        <f t="shared" si="413"/>
        <v>0.67</v>
      </c>
      <c r="N129" s="292">
        <f t="shared" ref="N129:N130" si="414">2.9%</f>
        <v>2.8999999999999998E-2</v>
      </c>
      <c r="O129" s="287">
        <f>37</f>
        <v>37</v>
      </c>
      <c r="P129" s="287">
        <f>3.9</f>
        <v>3.9</v>
      </c>
      <c r="Q129" s="288">
        <f t="shared" ref="Q129:Q130" si="415">32</f>
        <v>32</v>
      </c>
      <c r="R129" s="289">
        <f t="shared" ref="R129:R130" si="416">2.05</f>
        <v>2.0499999999999998</v>
      </c>
      <c r="S129" s="293">
        <f>350</f>
        <v>350</v>
      </c>
      <c r="T129" s="294">
        <f>175</f>
        <v>175</v>
      </c>
      <c r="U129" s="298" t="e">
        <f ca="1">(20*P_Q+(1.05+0.1*P_Q)*Self_AD)*MOD_Phys</f>
        <v>#NAME?</v>
      </c>
      <c r="V129" s="299">
        <f t="shared" ref="V129:W129" si="417">0</f>
        <v>0</v>
      </c>
      <c r="W129" s="299">
        <f t="shared" si="417"/>
        <v>0</v>
      </c>
      <c r="X129" s="299" t="e">
        <f ca="1">((0.15+0.05*P_R+0.0002*Self_AP)*E_MHP)*MOD_Magic</f>
        <v>#NAME?</v>
      </c>
      <c r="Y129" s="300">
        <f t="shared" si="410"/>
        <v>0</v>
      </c>
      <c r="Z129" s="281">
        <f>3.5</f>
        <v>3.5</v>
      </c>
      <c r="AA129" s="282">
        <f>17 - P_W</f>
        <v>17</v>
      </c>
      <c r="AB129" s="282">
        <f>26-2*P_E</f>
        <v>26</v>
      </c>
      <c r="AC129" s="282">
        <f>140 - 20 * P_R</f>
        <v>140</v>
      </c>
      <c r="AD129" s="283">
        <f t="shared" si="396"/>
        <v>1</v>
      </c>
      <c r="AE129" s="284" t="b">
        <f t="shared" ref="AE129:AE130" si="418">TRUE</f>
        <v>1</v>
      </c>
      <c r="AF129" s="285" t="e">
        <f ca="1">_xludf.Image("https://ddragon.leagueoflegends.com/cdn/11.19.1/img/champion/Trundle.png")</f>
        <v>#NAME?</v>
      </c>
      <c r="AG129" s="282">
        <f ca="1">IFERROR(__xludf.DUMMYFUNCTION("IF(OR(REGEXMATCH(FORMULATEXT(U129),""HMOD""),NOT(P_Q&gt;0)),0,U129)+IF(OR(REGEXMATCH(FORMULATEXT(V129),""HMOD""),NOT(P_W&gt;0)),0,V129)+IF(OR(REGEXMATCH(FORMULATEXT(W129),""HMOD""),NOT(P_E&gt;0)),0,W129)+IF(OR(REGEXMATCH(FORMULATEXT(X129),""HMOD""),NOT(P_R&gt;0)),0,X"&amp;"129)+IF(REGEXMATCH(FORMULATEXT(Y129),""HMOD""),0,Y129)+Self_Proc_item+Self_Proc_Summ+Self_Proc_Rune+3*Self_DPS"),0)</f>
        <v>0</v>
      </c>
      <c r="AH129" s="282">
        <f t="shared" si="8"/>
        <v>0</v>
      </c>
      <c r="AI129" s="282" t="b">
        <f t="shared" si="367"/>
        <v>0</v>
      </c>
      <c r="AJ129" s="283" t="b">
        <f t="shared" si="371"/>
        <v>0</v>
      </c>
    </row>
    <row r="130" spans="1:36">
      <c r="A130" s="267" t="s">
        <v>315</v>
      </c>
      <c r="B130" s="287">
        <f>696</f>
        <v>696</v>
      </c>
      <c r="C130" s="287">
        <f>115</f>
        <v>115</v>
      </c>
      <c r="D130" s="288">
        <f>8.5</f>
        <v>8.5</v>
      </c>
      <c r="E130" s="289">
        <f>0.9</f>
        <v>0.9</v>
      </c>
      <c r="F130" s="288">
        <f>100</f>
        <v>100</v>
      </c>
      <c r="G130" s="288">
        <f t="shared" ref="G130:I130" si="419">0</f>
        <v>0</v>
      </c>
      <c r="H130" s="288">
        <f t="shared" si="419"/>
        <v>0</v>
      </c>
      <c r="I130" s="289">
        <f t="shared" si="419"/>
        <v>0</v>
      </c>
      <c r="J130" s="290">
        <f>72</f>
        <v>72</v>
      </c>
      <c r="K130" s="288">
        <f>4</f>
        <v>4</v>
      </c>
      <c r="L130" s="291">
        <f t="shared" ref="L130:M130" si="420">0.67</f>
        <v>0.67</v>
      </c>
      <c r="M130" s="291">
        <f t="shared" si="420"/>
        <v>0.67</v>
      </c>
      <c r="N130" s="292">
        <f t="shared" si="414"/>
        <v>2.8999999999999998E-2</v>
      </c>
      <c r="O130" s="287">
        <f>33</f>
        <v>33</v>
      </c>
      <c r="P130" s="287">
        <f>4.3</f>
        <v>4.3</v>
      </c>
      <c r="Q130" s="288">
        <f t="shared" si="415"/>
        <v>32</v>
      </c>
      <c r="R130" s="289">
        <f t="shared" si="416"/>
        <v>2.0499999999999998</v>
      </c>
      <c r="S130" s="293">
        <f>345</f>
        <v>345</v>
      </c>
      <c r="T130" s="294">
        <f>125</f>
        <v>125</v>
      </c>
      <c r="U130" s="295">
        <f>(IF(Steroid_Q, (45 * P_Q + 5 + 1.2 * Self_AP), 0) + (0.3 * Self_AP + 10 * P_Q + 20)) * MOD_Heal</f>
        <v>20</v>
      </c>
      <c r="V130" s="296">
        <f>0</f>
        <v>0</v>
      </c>
      <c r="W130" s="296" t="e">
        <f ca="1">(0.8*Self_AP+1.3*Self_BoAD+30*P_E+50)*MOD_Phys</f>
        <v>#NAME?</v>
      </c>
      <c r="X130" s="296">
        <f t="shared" ref="X130:Y130" si="421">0</f>
        <v>0</v>
      </c>
      <c r="Y130" s="297">
        <f t="shared" si="421"/>
        <v>0</v>
      </c>
      <c r="Z130" s="281">
        <f>12</f>
        <v>12</v>
      </c>
      <c r="AA130" s="282">
        <f>14</f>
        <v>14</v>
      </c>
      <c r="AB130" s="282">
        <f>13-P_E</f>
        <v>13</v>
      </c>
      <c r="AC130" s="282">
        <f>140 - 20 * P_R</f>
        <v>140</v>
      </c>
      <c r="AD130" s="283">
        <f t="shared" si="396"/>
        <v>1</v>
      </c>
      <c r="AE130" s="284" t="b">
        <f t="shared" si="418"/>
        <v>1</v>
      </c>
      <c r="AF130" s="285" t="e">
        <f ca="1">_xludf.Image("https://ddragon.leagueoflegends.com/cdn/11.19.1/img/champion/Tryndamere.png")</f>
        <v>#NAME?</v>
      </c>
      <c r="AG130" s="282">
        <f ca="1">IFERROR(__xludf.DUMMYFUNCTION("IF(OR(REGEXMATCH(FORMULATEXT(U130),""HMOD""),NOT(P_Q&gt;0)),0,U130)+IF(OR(REGEXMATCH(FORMULATEXT(V130),""HMOD""),NOT(P_W&gt;0)),0,V130)+IF(OR(REGEXMATCH(FORMULATEXT(W130),""HMOD""),NOT(P_E&gt;0)),0,W130)+IF(OR(REGEXMATCH(FORMULATEXT(X130),""HMOD""),NOT(P_R&gt;0)),0,X"&amp;"130)+IF(REGEXMATCH(FORMULATEXT(Y130),""HMOD""),0,Y130)+Self_Proc_item+Self_Proc_Summ+Self_Proc_Rune+3*Self_DPS"),0)</f>
        <v>0</v>
      </c>
      <c r="AH130" s="282">
        <f t="shared" si="8"/>
        <v>0</v>
      </c>
      <c r="AI130" s="282" t="b">
        <f t="shared" si="367"/>
        <v>0</v>
      </c>
      <c r="AJ130" s="283" t="b">
        <f>TRUE</f>
        <v>1</v>
      </c>
    </row>
    <row r="131" spans="1:36">
      <c r="A131" s="267" t="s">
        <v>316</v>
      </c>
      <c r="B131" s="287">
        <f>604</f>
        <v>604</v>
      </c>
      <c r="C131" s="287">
        <f>108</f>
        <v>108</v>
      </c>
      <c r="D131" s="288">
        <f>5.5</f>
        <v>5.5</v>
      </c>
      <c r="E131" s="289">
        <f t="shared" ref="E131:E132" si="422">0.6</f>
        <v>0.6</v>
      </c>
      <c r="F131" s="288">
        <f>333</f>
        <v>333</v>
      </c>
      <c r="G131" s="288">
        <f>39</f>
        <v>39</v>
      </c>
      <c r="H131" s="288">
        <f>8</f>
        <v>8</v>
      </c>
      <c r="I131" s="289">
        <f>0.8</f>
        <v>0.8</v>
      </c>
      <c r="J131" s="290">
        <f>52</f>
        <v>52</v>
      </c>
      <c r="K131" s="288">
        <f>3.3</f>
        <v>3.3</v>
      </c>
      <c r="L131" s="291">
        <f t="shared" ref="L131:M131" si="423">0.651</f>
        <v>0.65100000000000002</v>
      </c>
      <c r="M131" s="291">
        <f t="shared" si="423"/>
        <v>0.65100000000000002</v>
      </c>
      <c r="N131" s="292">
        <f>3.22%</f>
        <v>3.2199999999999999E-2</v>
      </c>
      <c r="O131" s="287">
        <f>21</f>
        <v>21</v>
      </c>
      <c r="P131" s="287">
        <f>4.35</f>
        <v>4.3499999999999996</v>
      </c>
      <c r="Q131" s="288">
        <f t="shared" ref="Q131:Q132" si="424">30</f>
        <v>30</v>
      </c>
      <c r="R131" s="289">
        <f t="shared" ref="R131:R132" si="425">1.3</f>
        <v>1.3</v>
      </c>
      <c r="S131" s="293">
        <f t="shared" ref="S131:S132" si="426">330</f>
        <v>330</v>
      </c>
      <c r="T131" s="294">
        <f>525</f>
        <v>525</v>
      </c>
      <c r="U131" s="298" t="e">
        <f ca="1">(0.8 * Self_AP + 40 * P_Q + 20)*MOD_Magic</f>
        <v>#NAME?</v>
      </c>
      <c r="V131" s="299" t="e">
        <f ca="1">IF(Steroid_W,1.15 * Self_AP + Self_AD + 20 * P_W + 20, 0.5 * Self_AP + Self_AD + 7.5 * P_W + 7.5) * MOD_Magic</f>
        <v>#NAME?</v>
      </c>
      <c r="W131" s="299" t="e">
        <f ca="1">(0.5*Self_AP+25*P_E+40)*MOD_Magic</f>
        <v>#NAME?</v>
      </c>
      <c r="X131" s="299">
        <f t="shared" ref="X131:Y131" si="427">0</f>
        <v>0</v>
      </c>
      <c r="Y131" s="300">
        <f t="shared" si="427"/>
        <v>0</v>
      </c>
      <c r="Z131" s="281">
        <f>6.25 - 0.25 * P_Q</f>
        <v>6.25</v>
      </c>
      <c r="AA131" s="282">
        <f>6</f>
        <v>6</v>
      </c>
      <c r="AB131" s="282">
        <f>4/IF(Self_AS&lt;=0,1,Self_AS)</f>
        <v>4</v>
      </c>
      <c r="AC131" s="282">
        <f>210-30*P_R</f>
        <v>210</v>
      </c>
      <c r="AD131" s="283">
        <f t="shared" si="396"/>
        <v>1</v>
      </c>
      <c r="AE131" s="284" t="b">
        <f t="shared" ref="AE131:AE132" si="428">FALSE</f>
        <v>0</v>
      </c>
      <c r="AF131" s="285" t="e">
        <f ca="1">_xludf.Image("https://ddragon.leagueoflegends.com/cdn/11.19.1/img/champion/TwistedFate.png")</f>
        <v>#NAME?</v>
      </c>
      <c r="AG131" s="282">
        <f ca="1">IFERROR(__xludf.DUMMYFUNCTION("IF(OR(REGEXMATCH(FORMULATEXT(U131),""HMOD""),NOT(P_Q&gt;0)),0,U131)+IF(OR(REGEXMATCH(FORMULATEXT(V131),""HMOD""),NOT(P_W&gt;0)),0,V131)+IF(OR(REGEXMATCH(FORMULATEXT(W131),""HMOD""),NOT(P_E&gt;0)),0,W131)+IF(OR(REGEXMATCH(FORMULATEXT(X131),""HMOD""),NOT(P_R&gt;0)),0,X"&amp;"131)+IF(REGEXMATCH(FORMULATEXT(Y131),""HMOD""),0,Y131)+Self_Proc_item+Self_Proc_Summ+Self_Proc_Rune+3*Self_DPS"),0)</f>
        <v>0</v>
      </c>
      <c r="AH131" s="282">
        <f t="shared" si="8"/>
        <v>0</v>
      </c>
      <c r="AI131" s="282" t="b">
        <f t="shared" si="367"/>
        <v>0</v>
      </c>
      <c r="AJ131" s="283" t="b">
        <f t="shared" ref="AJ131:AJ140" si="429">FALSE</f>
        <v>0</v>
      </c>
    </row>
    <row r="132" spans="1:36">
      <c r="A132" s="267" t="s">
        <v>317</v>
      </c>
      <c r="B132" s="287">
        <f>682</f>
        <v>682</v>
      </c>
      <c r="C132" s="287">
        <f>100</f>
        <v>100</v>
      </c>
      <c r="D132" s="288">
        <f>3.75</f>
        <v>3.75</v>
      </c>
      <c r="E132" s="289">
        <f t="shared" si="422"/>
        <v>0.6</v>
      </c>
      <c r="F132" s="288">
        <f>300</f>
        <v>300</v>
      </c>
      <c r="G132" s="288">
        <f>40</f>
        <v>40</v>
      </c>
      <c r="H132" s="288">
        <f>7.3</f>
        <v>7.3</v>
      </c>
      <c r="I132" s="289">
        <f>0.7</f>
        <v>0.7</v>
      </c>
      <c r="J132" s="290">
        <f>59</f>
        <v>59</v>
      </c>
      <c r="K132" s="288">
        <f>3.11</f>
        <v>3.11</v>
      </c>
      <c r="L132" s="291">
        <f t="shared" ref="L132:M132" si="430">0.679</f>
        <v>0.67900000000000005</v>
      </c>
      <c r="M132" s="291">
        <f t="shared" si="430"/>
        <v>0.67900000000000005</v>
      </c>
      <c r="N132" s="292">
        <f>3.38%</f>
        <v>3.3799999999999997E-2</v>
      </c>
      <c r="O132" s="287">
        <f>27</f>
        <v>27</v>
      </c>
      <c r="P132" s="287">
        <f>4.2</f>
        <v>4.2</v>
      </c>
      <c r="Q132" s="288">
        <f t="shared" si="424"/>
        <v>30</v>
      </c>
      <c r="R132" s="289">
        <f t="shared" si="425"/>
        <v>1.3</v>
      </c>
      <c r="S132" s="293">
        <f t="shared" si="426"/>
        <v>330</v>
      </c>
      <c r="T132" s="294">
        <f>550</f>
        <v>550</v>
      </c>
      <c r="U132" s="295">
        <f t="shared" ref="U132:V132" si="431">0</f>
        <v>0</v>
      </c>
      <c r="V132" s="296">
        <f t="shared" si="431"/>
        <v>0</v>
      </c>
      <c r="W132" s="296" t="e">
        <f ca="1">IF(Steroid_E,2.1 * Self_BoAD + 70 + 40 * P_E, 15 * P_E + 20 + 0.35 * Self_BoAD) * MOD_Phys + IF(Steroid_E, 6, 1) * (0.3 * Self_AP) * MOD_Magic</f>
        <v>#NAME?</v>
      </c>
      <c r="X132" s="296">
        <f>0</f>
        <v>0</v>
      </c>
      <c r="Y132" s="297">
        <v>36</v>
      </c>
      <c r="Z132" s="281">
        <f>16</f>
        <v>16</v>
      </c>
      <c r="AA132" s="282">
        <f>14-P_W</f>
        <v>14</v>
      </c>
      <c r="AB132" s="282">
        <f>13-P_E</f>
        <v>13</v>
      </c>
      <c r="AC132" s="282">
        <f>90</f>
        <v>90</v>
      </c>
      <c r="AD132" s="283">
        <f t="shared" si="396"/>
        <v>1</v>
      </c>
      <c r="AE132" s="284" t="b">
        <f t="shared" si="428"/>
        <v>0</v>
      </c>
      <c r="AF132" s="285" t="e">
        <f ca="1">_xludf.Image("https://ddragon.leagueoflegends.com/cdn/11.19.1/img/champion/Twitch.png")</f>
        <v>#NAME?</v>
      </c>
      <c r="AG132" s="282">
        <f ca="1">IFERROR(__xludf.DUMMYFUNCTION("IF(OR(REGEXMATCH(FORMULATEXT(U132),""HMOD""),NOT(P_Q&gt;0)),0,U132)+IF(OR(REGEXMATCH(FORMULATEXT(V132),""HMOD""),NOT(P_W&gt;0)),0,V132)+IF(OR(REGEXMATCH(FORMULATEXT(W132),""HMOD""),NOT(P_E&gt;0)),0,W132)+IF(OR(REGEXMATCH(FORMULATEXT(X132),""HMOD""),NOT(P_R&gt;0)),0,X"&amp;"132)+IF(REGEXMATCH(FORMULATEXT(Y132),""HMOD""),0,Y132)+Self_Proc_item+Self_Proc_Summ+Self_Proc_Rune+3*Self_DPS"),36)</f>
        <v>36</v>
      </c>
      <c r="AH132" s="282">
        <f t="shared" si="8"/>
        <v>0</v>
      </c>
      <c r="AI132" s="282" t="b">
        <f t="shared" si="367"/>
        <v>0</v>
      </c>
      <c r="AJ132" s="283" t="b">
        <f t="shared" si="429"/>
        <v>0</v>
      </c>
    </row>
    <row r="133" spans="1:36">
      <c r="A133" s="267" t="s">
        <v>318</v>
      </c>
      <c r="B133" s="287">
        <f>664</f>
        <v>664</v>
      </c>
      <c r="C133" s="287">
        <f>92</f>
        <v>92</v>
      </c>
      <c r="D133" s="288">
        <f>6</f>
        <v>6</v>
      </c>
      <c r="E133" s="289">
        <f>0.75</f>
        <v>0.75</v>
      </c>
      <c r="F133" s="288">
        <f>271</f>
        <v>271</v>
      </c>
      <c r="G133" s="288">
        <f>50</f>
        <v>50</v>
      </c>
      <c r="H133" s="288">
        <f>7.5</f>
        <v>7.5</v>
      </c>
      <c r="I133" s="289">
        <f>0.45</f>
        <v>0.45</v>
      </c>
      <c r="J133" s="290">
        <f>62</f>
        <v>62</v>
      </c>
      <c r="K133" s="288">
        <f t="shared" ref="K133:K134" si="432">4</f>
        <v>4</v>
      </c>
      <c r="L133" s="291">
        <f>0.649</f>
        <v>0.64900000000000002</v>
      </c>
      <c r="M133" s="291">
        <f>0.65</f>
        <v>0.65</v>
      </c>
      <c r="N133" s="292">
        <f>3%</f>
        <v>0.03</v>
      </c>
      <c r="O133" s="287">
        <f>31</f>
        <v>31</v>
      </c>
      <c r="P133" s="287">
        <f>4.7</f>
        <v>4.7</v>
      </c>
      <c r="Q133" s="288">
        <f t="shared" ref="Q133:Q134" si="433">32</f>
        <v>32</v>
      </c>
      <c r="R133" s="289">
        <f t="shared" ref="R133:R134" si="434">2.05</f>
        <v>2.0499999999999998</v>
      </c>
      <c r="S133" s="293">
        <f>350</f>
        <v>350</v>
      </c>
      <c r="T133" s="294">
        <f>125</f>
        <v>125</v>
      </c>
      <c r="U133" s="298" t="e">
        <f ca="1">((0.02 * P_Q + 0.04 + 0.0008 * Self_BoAD) * MOD_Phys + IF(Steroid_Q, 0.015 + 0.015 * Sc_Lin + 0.0008 * Self_AP, 0) * 3 * MOD_Magic + (0.02 + 0.02 * Sc_Lin + 0.0002 * Self_BoAD) * 2 * MOD_Phys) * E_MHP</f>
        <v>#NAME?</v>
      </c>
      <c r="V133" s="299">
        <f>(30 + 15 * P_W + 0.4 + Self_AP + (0.017 + 0.003 * P_W) * Self_MHP + IF(Steroid_W, 20 + 130 * Sc_Lin + 0.65 * Self_AP + 0.08 * Self_MHP, 0)) * MOD_SelfHeal</f>
        <v>30.4</v>
      </c>
      <c r="W133" s="299">
        <f>0</f>
        <v>0</v>
      </c>
      <c r="X133" s="299" t="e">
        <f ca="1">(20 + 40 * Sc_Lin + 0.6 * Self_AP + IF(Steroid_R, 80 * P_R + 1.4 * Self_AP + IF(Steroid_Form, (0.08 + 0.08 * Sc_Lin + 0.00035 * Self_AP) * E_MHP, 0), 0)) * MOD_Magic</f>
        <v>#NAME?</v>
      </c>
      <c r="Y133" s="300">
        <f>0</f>
        <v>0</v>
      </c>
      <c r="Z133" s="281">
        <f t="shared" ref="Z133:AC133" si="435">6</f>
        <v>6</v>
      </c>
      <c r="AA133" s="282">
        <f t="shared" si="435"/>
        <v>6</v>
      </c>
      <c r="AB133" s="282">
        <f t="shared" si="435"/>
        <v>6</v>
      </c>
      <c r="AC133" s="282">
        <f t="shared" si="435"/>
        <v>6</v>
      </c>
      <c r="AD133" s="283">
        <f t="shared" si="396"/>
        <v>1</v>
      </c>
      <c r="AE133" s="284" t="b">
        <f>TRUE</f>
        <v>1</v>
      </c>
      <c r="AF133" s="285" t="e">
        <f ca="1">_xludf.Image("https://ddragon.leagueoflegends.com/cdn/12.16.1/img/champion/Udyr.png")</f>
        <v>#NAME?</v>
      </c>
      <c r="AG133" s="282">
        <f ca="1">IFERROR(__xludf.DUMMYFUNCTION("IF(OR(REGEXMATCH(FORMULATEXT(U133),""HMOD""),NOT(P_Q&gt;0)),0,U133)+IF(OR(REGEXMATCH(FORMULATEXT(V133),""HMOD""),NOT(P_W&gt;0)),0,V133)+IF(OR(REGEXMATCH(FORMULATEXT(W133),""HMOD""),NOT(P_E&gt;0)),0,W133)+IF(OR(REGEXMATCH(FORMULATEXT(X133),""HMOD""),NOT(P_R&gt;0)),0,X"&amp;"133)+IF(REGEXMATCH(FORMULATEXT(Y133),""HMOD""),0,Y133)+Self_Proc_item+Self_Proc_Summ+Self_Proc_Rune+3*Self_DPS"),0)</f>
        <v>0</v>
      </c>
      <c r="AH133" s="282">
        <f t="shared" si="8"/>
        <v>0</v>
      </c>
      <c r="AI133" s="282" t="b">
        <f t="shared" si="367"/>
        <v>0</v>
      </c>
      <c r="AJ133" s="283" t="b">
        <f t="shared" si="429"/>
        <v>0</v>
      </c>
    </row>
    <row r="134" spans="1:36">
      <c r="A134" s="267" t="s">
        <v>319</v>
      </c>
      <c r="B134" s="287">
        <f>655</f>
        <v>655</v>
      </c>
      <c r="C134" s="287">
        <f>102</f>
        <v>102</v>
      </c>
      <c r="D134" s="288">
        <f>7.5</f>
        <v>7.5</v>
      </c>
      <c r="E134" s="289">
        <f>0.7</f>
        <v>0.7</v>
      </c>
      <c r="F134" s="288">
        <f>340</f>
        <v>340</v>
      </c>
      <c r="G134" s="288">
        <f>45</f>
        <v>45</v>
      </c>
      <c r="H134" s="288">
        <f>7.25</f>
        <v>7.25</v>
      </c>
      <c r="I134" s="289">
        <f t="shared" ref="I134:I135" si="436">0.8</f>
        <v>0.8</v>
      </c>
      <c r="J134" s="290">
        <f>63</f>
        <v>63</v>
      </c>
      <c r="K134" s="288">
        <f t="shared" si="432"/>
        <v>4</v>
      </c>
      <c r="L134" s="291">
        <f t="shared" ref="L134:M134" si="437">0.625</f>
        <v>0.625</v>
      </c>
      <c r="M134" s="291">
        <f t="shared" si="437"/>
        <v>0.625</v>
      </c>
      <c r="N134" s="292">
        <f>3.75%</f>
        <v>3.7499999999999999E-2</v>
      </c>
      <c r="O134" s="287">
        <f>36</f>
        <v>36</v>
      </c>
      <c r="P134" s="287">
        <f>5.45</f>
        <v>5.45</v>
      </c>
      <c r="Q134" s="288">
        <f t="shared" si="433"/>
        <v>32</v>
      </c>
      <c r="R134" s="289">
        <f t="shared" si="434"/>
        <v>2.0499999999999998</v>
      </c>
      <c r="S134" s="293">
        <f>330-IF(AND(Steroid_W,P_W&gt;0),125,0)</f>
        <v>330</v>
      </c>
      <c r="T134" s="294">
        <f>350</f>
        <v>350</v>
      </c>
      <c r="U134" s="295" t="e">
        <f ca="1">(45*P_Q-20+0.7*Self_AD)*MOD_Phys</f>
        <v>#NAME?</v>
      </c>
      <c r="V134" s="296" t="e">
        <f ca="1">(12 + (0.165 + 0.035 * P_W) * Self_AD) * MOD_Hit + (OH_Phys + OH_Magic) * MOD_OH * 0.5</f>
        <v>#NAME?</v>
      </c>
      <c r="W134" s="296" t="e">
        <f ca="1">(60+30*P_E+Self_BoAD)*MOD_Phys</f>
        <v>#NAME?</v>
      </c>
      <c r="X134" s="296" t="e">
        <f ca="1">(0.5*Self_BoAD+125*P_R-25)*MOD_Phys</f>
        <v>#NAME?</v>
      </c>
      <c r="Y134" s="297" t="e">
        <f ca="1">IF(Self_Level&gt;=15,0.06*E_MHP+Self_AD,IF(Self_Level&gt;=13,0.06*E_MHP+0.88*Self_AD,IF(Self_Level&gt;=11,0.05*E_MHP+0.76*Self_AD,IF(Self_Level&gt;=9,0.04*E_MHP+0.64*Self_AD,IF(Self_Level&gt;=6,0.03*E_MHP+0.52*Self_AD,0.02*E_MHP+0.4*Self_AD)))))*MOD_Phys</f>
        <v>#NAME?</v>
      </c>
      <c r="Z134" s="281">
        <f>10.5-0.5*P_Q</f>
        <v>10.5</v>
      </c>
      <c r="AA134" s="282">
        <f>15-3*P_W</f>
        <v>15</v>
      </c>
      <c r="AB134" s="282">
        <f>16.5 - 0.5 * P_E</f>
        <v>16.5</v>
      </c>
      <c r="AC134" s="282">
        <f>115-15*P_R</f>
        <v>115</v>
      </c>
      <c r="AD134" s="283">
        <f>IF(Self_Level&gt;=13,2.5,IF(Self_Level&gt;=11,5,IF(Self_Level&gt;=9,10,IF(Self_Level&gt;=6,20,30))))</f>
        <v>30</v>
      </c>
      <c r="AE134" s="284" t="b">
        <f t="shared" ref="AE134:AE139" si="438">FALSE</f>
        <v>0</v>
      </c>
      <c r="AF134" s="285" t="e">
        <f ca="1">_xludf.Image("https://ddragon.leagueoflegends.com/cdn/11.19.1/img/champion/Urgot.png")</f>
        <v>#NAME?</v>
      </c>
      <c r="AG134" s="282">
        <f ca="1">IFERROR(__xludf.DUMMYFUNCTION("IF(OR(REGEXMATCH(FORMULATEXT(U134),""HMOD""),NOT(P_Q&gt;0)),0,U134)+IF(OR(REGEXMATCH(FORMULATEXT(V134),""HMOD""),NOT(P_W&gt;0)),0,V134)+IF(OR(REGEXMATCH(FORMULATEXT(W134),""HMOD""),NOT(P_E&gt;0)),0,W134)+IF(OR(REGEXMATCH(FORMULATEXT(X134),""HMOD""),NOT(P_R&gt;0)),0,X"&amp;"134)+IF(REGEXMATCH(FORMULATEXT(Y134),""HMOD""),0,Y134)+Self_Proc_item+Self_Proc_Summ+Self_Proc_Rune+3*Self_DPS"),0)</f>
        <v>0</v>
      </c>
      <c r="AH134" s="282">
        <f t="shared" si="8"/>
        <v>0</v>
      </c>
      <c r="AI134" s="282" t="b">
        <f t="shared" si="367"/>
        <v>0</v>
      </c>
      <c r="AJ134" s="283" t="b">
        <f t="shared" si="429"/>
        <v>0</v>
      </c>
    </row>
    <row r="135" spans="1:36">
      <c r="A135" s="267" t="s">
        <v>320</v>
      </c>
      <c r="B135" s="287">
        <f>600</f>
        <v>600</v>
      </c>
      <c r="C135" s="287">
        <f>105</f>
        <v>105</v>
      </c>
      <c r="D135" s="288">
        <f t="shared" ref="D135:D136" si="439">3.5</f>
        <v>3.5</v>
      </c>
      <c r="E135" s="289">
        <f t="shared" ref="E135:E136" si="440">0.55</f>
        <v>0.55000000000000004</v>
      </c>
      <c r="F135" s="288">
        <f>360</f>
        <v>360</v>
      </c>
      <c r="G135" s="288">
        <f>40</f>
        <v>40</v>
      </c>
      <c r="H135" s="288">
        <f>8</f>
        <v>8</v>
      </c>
      <c r="I135" s="289">
        <f t="shared" si="436"/>
        <v>0.8</v>
      </c>
      <c r="J135" s="290">
        <f>62</f>
        <v>62</v>
      </c>
      <c r="K135" s="288">
        <f>3.4</f>
        <v>3.4</v>
      </c>
      <c r="L135" s="291">
        <f t="shared" ref="L135:M135" si="441">0.658</f>
        <v>0.65800000000000003</v>
      </c>
      <c r="M135" s="291">
        <f t="shared" si="441"/>
        <v>0.65800000000000003</v>
      </c>
      <c r="N135" s="292">
        <f>4%</f>
        <v>0.04</v>
      </c>
      <c r="O135" s="287">
        <f>27</f>
        <v>27</v>
      </c>
      <c r="P135" s="287">
        <f t="shared" ref="P135:P136" si="442">4.6</f>
        <v>4.5999999999999996</v>
      </c>
      <c r="Q135" s="288">
        <f t="shared" ref="Q135:Q136" si="443">30</f>
        <v>30</v>
      </c>
      <c r="R135" s="289">
        <f t="shared" ref="R135:R139" si="444">1.3</f>
        <v>1.3</v>
      </c>
      <c r="S135" s="293">
        <f t="shared" ref="S135:S136" si="445">330</f>
        <v>330</v>
      </c>
      <c r="T135" s="294">
        <f>575</f>
        <v>575</v>
      </c>
      <c r="U135" s="298" t="e">
        <f ca="1">IF(NOT(Steroid_Q),2/3,1)*(55*P_Q-40+(1.2+0.05*P_Q)*Self_AD)*MOD_Phys</f>
        <v>#NAME?</v>
      </c>
      <c r="V135" s="299" t="e">
        <f ca="1">((0.015 * P_W + 0.075 + 0.00075 * Self_AP) * E_MHP) * MOD_Magic * IF(Steroid_W, 1.8, 1)</f>
        <v>#NAME?</v>
      </c>
      <c r="W135" s="299" t="e">
        <f ca="1">(20 + 40 * P_E + 0.9 * Self_BoAD) * MOD_Phys</f>
        <v>#NAME?</v>
      </c>
      <c r="X135" s="299" t="e">
        <f ca="1">(100 * P_R + 50 + Self_AP) * MOD_Magic</f>
        <v>#NAME?</v>
      </c>
      <c r="Y135" s="300">
        <f>0</f>
        <v>0</v>
      </c>
      <c r="Z135" s="281">
        <f>17 - P_Q</f>
        <v>17</v>
      </c>
      <c r="AA135" s="282">
        <f>40</f>
        <v>40</v>
      </c>
      <c r="AB135" s="282">
        <f>20-2*P_E</f>
        <v>20</v>
      </c>
      <c r="AC135" s="282">
        <f>120-20*P_R</f>
        <v>120</v>
      </c>
      <c r="AD135" s="283">
        <f t="shared" ref="AD135:AD138" si="446">1</f>
        <v>1</v>
      </c>
      <c r="AE135" s="284" t="b">
        <f t="shared" si="438"/>
        <v>0</v>
      </c>
      <c r="AF135" s="285" t="e">
        <f ca="1">_xludf.Image("https://ddragon.leagueoflegends.com/cdn/11.19.1/img/champion/Varus.png")</f>
        <v>#NAME?</v>
      </c>
      <c r="AG135" s="282">
        <f ca="1">IFERROR(__xludf.DUMMYFUNCTION("IF(OR(REGEXMATCH(FORMULATEXT(U135),""HMOD""),NOT(P_Q&gt;0)),0,U135)+IF(OR(REGEXMATCH(FORMULATEXT(V135),""HMOD""),NOT(P_W&gt;0)),0,V135)+IF(OR(REGEXMATCH(FORMULATEXT(W135),""HMOD""),NOT(P_E&gt;0)),0,W135)+IF(OR(REGEXMATCH(FORMULATEXT(X135),""HMOD""),NOT(P_R&gt;0)),0,X"&amp;"135)+IF(REGEXMATCH(FORMULATEXT(Y135),""HMOD""),0,Y135)+Self_Proc_item+Self_Proc_Summ+Self_Proc_Rune+3*Self_DPS"),0)</f>
        <v>0</v>
      </c>
      <c r="AH135" s="282">
        <f t="shared" si="8"/>
        <v>0</v>
      </c>
      <c r="AI135" s="282" t="b">
        <f t="shared" si="367"/>
        <v>0</v>
      </c>
      <c r="AJ135" s="283" t="b">
        <f t="shared" si="429"/>
        <v>0</v>
      </c>
    </row>
    <row r="136" spans="1:36">
      <c r="A136" s="267" t="s">
        <v>321</v>
      </c>
      <c r="B136" s="287">
        <f t="shared" ref="B136:B137" si="447">550</f>
        <v>550</v>
      </c>
      <c r="C136" s="287">
        <f>103</f>
        <v>103</v>
      </c>
      <c r="D136" s="288">
        <f t="shared" si="439"/>
        <v>3.5</v>
      </c>
      <c r="E136" s="289">
        <f t="shared" si="440"/>
        <v>0.55000000000000004</v>
      </c>
      <c r="F136" s="288">
        <f>232</f>
        <v>232</v>
      </c>
      <c r="G136" s="288">
        <f>35</f>
        <v>35</v>
      </c>
      <c r="H136" s="288">
        <f>7</f>
        <v>7</v>
      </c>
      <c r="I136" s="289">
        <f>0.4</f>
        <v>0.4</v>
      </c>
      <c r="J136" s="290">
        <f>60</f>
        <v>60</v>
      </c>
      <c r="K136" s="288">
        <f>2.36</f>
        <v>2.36</v>
      </c>
      <c r="L136" s="291">
        <f t="shared" ref="L136:M136" si="448">0.658</f>
        <v>0.65800000000000003</v>
      </c>
      <c r="M136" s="291">
        <f t="shared" si="448"/>
        <v>0.65800000000000003</v>
      </c>
      <c r="N136" s="292">
        <f>3.3%</f>
        <v>3.3000000000000002E-2</v>
      </c>
      <c r="O136" s="287">
        <f>23</f>
        <v>23</v>
      </c>
      <c r="P136" s="287">
        <f t="shared" si="442"/>
        <v>4.5999999999999996</v>
      </c>
      <c r="Q136" s="288">
        <f t="shared" si="443"/>
        <v>30</v>
      </c>
      <c r="R136" s="289">
        <f t="shared" si="444"/>
        <v>1.3</v>
      </c>
      <c r="S136" s="293">
        <f t="shared" si="445"/>
        <v>330</v>
      </c>
      <c r="T136" s="294">
        <f t="shared" ref="T136:T137" si="449">550</f>
        <v>550</v>
      </c>
      <c r="U136" s="295" t="e">
        <f ca="1">(0.65 + 0.1 * P_Q) * Self_AD * MOD_Phys  + 0.5 * Self_AP + Self_AD * (1 + Self_Crit * (Self_CritDMG - 1)) * MOD_Phys</f>
        <v>#NAME?</v>
      </c>
      <c r="V136" s="296">
        <f>MAX((0.05 + 0.01 * P_W) * E_MHP, 35 + 15 * P_W) * Calc!O10</f>
        <v>35</v>
      </c>
      <c r="W136" s="296" t="e">
        <f ca="1">(35*P_E+15+0.5*Self_BoAD)*MOD_Phys*IF(Steroid_E,2.5,1)</f>
        <v>#NAME?</v>
      </c>
      <c r="X136" s="296">
        <f t="shared" ref="X136:Y136" si="450">0</f>
        <v>0</v>
      </c>
      <c r="Y136" s="297">
        <f t="shared" si="450"/>
        <v>0</v>
      </c>
      <c r="Z136" s="281">
        <f>(4.5-0.5*P_Q)*IF(AND(P_R&gt;0,Steroid_R),1-(P_R*0.1+0.2),1)</f>
        <v>4.5</v>
      </c>
      <c r="AA136" s="282">
        <f>IF(Name="Vayne",3/Self_AS,1)</f>
        <v>1</v>
      </c>
      <c r="AB136" s="282">
        <f>22-2*P_E</f>
        <v>22</v>
      </c>
      <c r="AC136" s="282">
        <f>115-15*P_R</f>
        <v>115</v>
      </c>
      <c r="AD136" s="283">
        <f t="shared" si="446"/>
        <v>1</v>
      </c>
      <c r="AE136" s="284" t="b">
        <f t="shared" si="438"/>
        <v>0</v>
      </c>
      <c r="AF136" s="285" t="e">
        <f ca="1">_xludf.Image("https://ddragon.leagueoflegends.com/cdn/11.19.1/img/champion/Vayne.png")</f>
        <v>#NAME?</v>
      </c>
      <c r="AG136" s="282">
        <f ca="1">IFERROR(__xludf.DUMMYFUNCTION("IF(OR(REGEXMATCH(FORMULATEXT(U136),""HMOD""),NOT(P_Q&gt;0)),0,U136)+IF(OR(REGEXMATCH(FORMULATEXT(V136),""HMOD""),NOT(P_W&gt;0)),0,V136)+IF(OR(REGEXMATCH(FORMULATEXT(W136),""HMOD""),NOT(P_E&gt;0)),0,W136)+IF(OR(REGEXMATCH(FORMULATEXT(X136),""HMOD""),NOT(P_R&gt;0)),0,X"&amp;"136)+IF(REGEXMATCH(FORMULATEXT(Y136),""HMOD""),0,Y136)+Self_Proc_item+Self_Proc_Summ+Self_Proc_Rune+3*Self_DPS"),0)</f>
        <v>0</v>
      </c>
      <c r="AH136" s="282">
        <f t="shared" si="8"/>
        <v>0</v>
      </c>
      <c r="AI136" s="282" t="b">
        <f t="shared" si="367"/>
        <v>0</v>
      </c>
      <c r="AJ136" s="283" t="b">
        <f t="shared" si="429"/>
        <v>0</v>
      </c>
    </row>
    <row r="137" spans="1:36">
      <c r="A137" s="267" t="s">
        <v>322</v>
      </c>
      <c r="B137" s="287">
        <f t="shared" si="447"/>
        <v>550</v>
      </c>
      <c r="C137" s="287">
        <f>108</f>
        <v>108</v>
      </c>
      <c r="D137" s="288">
        <f>6.5</f>
        <v>6.5</v>
      </c>
      <c r="E137" s="289">
        <f>0.6</f>
        <v>0.6</v>
      </c>
      <c r="F137" s="288">
        <f>490</f>
        <v>490</v>
      </c>
      <c r="G137" s="288">
        <f>26</f>
        <v>26</v>
      </c>
      <c r="H137" s="288">
        <f t="shared" ref="H137:H138" si="451">8</f>
        <v>8</v>
      </c>
      <c r="I137" s="289">
        <f t="shared" ref="I137:I138" si="452">0.8</f>
        <v>0.8</v>
      </c>
      <c r="J137" s="290">
        <f>52</f>
        <v>52</v>
      </c>
      <c r="K137" s="288">
        <f>2.7</f>
        <v>2.7</v>
      </c>
      <c r="L137" s="291">
        <f t="shared" ref="L137:M137" si="453">0.625</f>
        <v>0.625</v>
      </c>
      <c r="M137" s="291">
        <f t="shared" si="453"/>
        <v>0.625</v>
      </c>
      <c r="N137" s="292">
        <f>2.24%</f>
        <v>2.2400000000000003E-2</v>
      </c>
      <c r="O137" s="287">
        <f>18</f>
        <v>18</v>
      </c>
      <c r="P137" s="287">
        <f>4</f>
        <v>4</v>
      </c>
      <c r="Q137" s="288">
        <f>32</f>
        <v>32</v>
      </c>
      <c r="R137" s="289">
        <f t="shared" si="444"/>
        <v>1.3</v>
      </c>
      <c r="S137" s="293">
        <f t="shared" ref="S137:S138" si="454">340</f>
        <v>340</v>
      </c>
      <c r="T137" s="294">
        <f t="shared" si="449"/>
        <v>550</v>
      </c>
      <c r="U137" s="298" t="e">
        <f ca="1">(40 + 40 * P_Q + (0.4 + 0.05 * P_Q) * Self_AP) * MOD_Magic</f>
        <v>#NAME?</v>
      </c>
      <c r="V137" s="299" t="e">
        <f ca="1">(30 + 55 * P_W + (0.6 + 0.1 * P_W) * Self_AP) * MOD_Magic</f>
        <v>#NAME?</v>
      </c>
      <c r="W137" s="299">
        <f>0</f>
        <v>0</v>
      </c>
      <c r="X137" s="299" t="e">
        <f ca="1">(75*P_R+100+(0.6 + 0.05 * P_R)*Self_AP)*MOD_Magic*(1+(1-(IF(E_CHP&lt;(1/3)*100,(1/3)*100,E_CHP)-(1/3)*100)/(100-(1/3)*100)))</f>
        <v>#NAME?</v>
      </c>
      <c r="Y137" s="300">
        <f>0</f>
        <v>0</v>
      </c>
      <c r="Z137" s="281">
        <f>6.5 - 0.5 * P_Q</f>
        <v>6.5</v>
      </c>
      <c r="AA137" s="282">
        <v>8</v>
      </c>
      <c r="AB137" s="282">
        <f>22-2*P_E</f>
        <v>22</v>
      </c>
      <c r="AC137" s="282">
        <f>120-20*P_R</f>
        <v>120</v>
      </c>
      <c r="AD137" s="283">
        <f t="shared" si="446"/>
        <v>1</v>
      </c>
      <c r="AE137" s="284" t="b">
        <f t="shared" si="438"/>
        <v>0</v>
      </c>
      <c r="AF137" s="285" t="e">
        <f ca="1">_xludf.Image("https://ddragon.leagueoflegends.com/cdn/11.19.1/img/champion/Veigar.png")</f>
        <v>#NAME?</v>
      </c>
      <c r="AG137" s="282">
        <f ca="1">IFERROR(__xludf.DUMMYFUNCTION("IF(OR(REGEXMATCH(FORMULATEXT(U137),""HMOD""),NOT(P_Q&gt;0)),0,U137)+IF(OR(REGEXMATCH(FORMULATEXT(V137),""HMOD""),NOT(P_W&gt;0)),0,V137)+IF(OR(REGEXMATCH(FORMULATEXT(W137),""HMOD""),NOT(P_E&gt;0)),0,W137)+IF(OR(REGEXMATCH(FORMULATEXT(X137),""HMOD""),NOT(P_R&gt;0)),0,X"&amp;"137)+IF(REGEXMATCH(FORMULATEXT(Y137),""HMOD""),0,Y137)+Self_Proc_item+Self_Proc_Summ+Self_Proc_Rune+3*Self_DPS"),0)</f>
        <v>0</v>
      </c>
      <c r="AH137" s="282">
        <f t="shared" si="8"/>
        <v>0</v>
      </c>
      <c r="AI137" s="282" t="b">
        <f t="shared" si="367"/>
        <v>0</v>
      </c>
      <c r="AJ137" s="283" t="b">
        <f t="shared" si="429"/>
        <v>0</v>
      </c>
    </row>
    <row r="138" spans="1:36">
      <c r="A138" s="267" t="s">
        <v>323</v>
      </c>
      <c r="B138" s="287">
        <f t="shared" ref="B138:B139" si="455">590</f>
        <v>590</v>
      </c>
      <c r="C138" s="287">
        <f>102</f>
        <v>102</v>
      </c>
      <c r="D138" s="288">
        <f>5.5</f>
        <v>5.5</v>
      </c>
      <c r="E138" s="289">
        <f>0.55</f>
        <v>0.55000000000000004</v>
      </c>
      <c r="F138" s="288">
        <f>469</f>
        <v>469</v>
      </c>
      <c r="G138" s="288">
        <f>21</f>
        <v>21</v>
      </c>
      <c r="H138" s="288">
        <f t="shared" si="451"/>
        <v>8</v>
      </c>
      <c r="I138" s="289">
        <f t="shared" si="452"/>
        <v>0.8</v>
      </c>
      <c r="J138" s="290">
        <f>55</f>
        <v>55</v>
      </c>
      <c r="K138" s="288">
        <f>3.14</f>
        <v>3.14</v>
      </c>
      <c r="L138" s="291">
        <f t="shared" ref="L138:M138" si="456">0.625</f>
        <v>0.625</v>
      </c>
      <c r="M138" s="291">
        <f t="shared" si="456"/>
        <v>0.625</v>
      </c>
      <c r="N138" s="292">
        <f>1.36%</f>
        <v>1.3600000000000001E-2</v>
      </c>
      <c r="O138" s="287">
        <f>22</f>
        <v>22</v>
      </c>
      <c r="P138" s="287">
        <f>4.7</f>
        <v>4.7</v>
      </c>
      <c r="Q138" s="288">
        <f>30</f>
        <v>30</v>
      </c>
      <c r="R138" s="289">
        <f t="shared" si="444"/>
        <v>1.3</v>
      </c>
      <c r="S138" s="293">
        <f t="shared" si="454"/>
        <v>340</v>
      </c>
      <c r="T138" s="294">
        <f>525</f>
        <v>525</v>
      </c>
      <c r="U138" s="295" t="e">
        <f ca="1">(0.9*Self_AP+40*P_Q+40)*MOD_Magic</f>
        <v>#NAME?</v>
      </c>
      <c r="V138" s="296" t="e">
        <f ca="1">(0.45*Self_AP+50*P_W+25)*MOD_Magic</f>
        <v>#NAME?</v>
      </c>
      <c r="W138" s="296" t="e">
        <f ca="1">(0.3*Self_AP+30*P_E+40)*MOD_Magic</f>
        <v>#NAME?</v>
      </c>
      <c r="X138" s="296" t="e">
        <f ca="1">(1.25*Self_AP+175*P_R+275)*IF(Steroid_R,1*Calc!O10,MOD_Magic)</f>
        <v>#NAME?</v>
      </c>
      <c r="Y138" s="297">
        <f>(25+8*Self_Level+0.5*Self_AP)*Calc!O10</f>
        <v>33</v>
      </c>
      <c r="Z138" s="281">
        <f>7</f>
        <v>7</v>
      </c>
      <c r="AA138" s="282">
        <f>20-P_W</f>
        <v>20</v>
      </c>
      <c r="AB138" s="282">
        <f>17 - P_E</f>
        <v>17</v>
      </c>
      <c r="AC138" s="282">
        <f>140 - 20 * P_R</f>
        <v>140</v>
      </c>
      <c r="AD138" s="283">
        <f t="shared" si="446"/>
        <v>1</v>
      </c>
      <c r="AE138" s="284" t="b">
        <f t="shared" si="438"/>
        <v>0</v>
      </c>
      <c r="AF138" s="285" t="e">
        <f ca="1">_xludf.Image("https://ddragon.leagueoflegends.com/cdn/11.19.1/img/champion/Velkoz.png")</f>
        <v>#NAME?</v>
      </c>
      <c r="AG138" s="282">
        <f ca="1">IFERROR(__xludf.DUMMYFUNCTION("IF(OR(REGEXMATCH(FORMULATEXT(U138),""HMOD""),NOT(P_Q&gt;0)),0,U138)+IF(OR(REGEXMATCH(FORMULATEXT(V138),""HMOD""),NOT(P_W&gt;0)),0,V138)+IF(OR(REGEXMATCH(FORMULATEXT(W138),""HMOD""),NOT(P_E&gt;0)),0,W138)+IF(OR(REGEXMATCH(FORMULATEXT(X138),""HMOD""),NOT(P_R&gt;0)),0,X"&amp;"138)+IF(REGEXMATCH(FORMULATEXT(Y138),""HMOD""),0,Y138)+Self_Proc_item+Self_Proc_Summ+Self_Proc_Rune+3*Self_DPS"),33)</f>
        <v>33</v>
      </c>
      <c r="AH138" s="282">
        <f t="shared" si="8"/>
        <v>0</v>
      </c>
      <c r="AI138" s="282" t="b">
        <f t="shared" si="367"/>
        <v>0</v>
      </c>
      <c r="AJ138" s="283" t="b">
        <f t="shared" si="429"/>
        <v>0</v>
      </c>
    </row>
    <row r="139" spans="1:36">
      <c r="A139" s="267" t="s">
        <v>324</v>
      </c>
      <c r="B139" s="287">
        <f t="shared" si="455"/>
        <v>590</v>
      </c>
      <c r="C139" s="287">
        <f>104</f>
        <v>104</v>
      </c>
      <c r="D139" s="288">
        <f>6.5</f>
        <v>6.5</v>
      </c>
      <c r="E139" s="289">
        <f>0.6</f>
        <v>0.6</v>
      </c>
      <c r="F139" s="288">
        <f>490</f>
        <v>490</v>
      </c>
      <c r="G139" s="288">
        <f>32</f>
        <v>32</v>
      </c>
      <c r="H139" s="288">
        <f>7.5</f>
        <v>7.5</v>
      </c>
      <c r="I139" s="289">
        <f>0.6</f>
        <v>0.6</v>
      </c>
      <c r="J139" s="290">
        <f>54</f>
        <v>54</v>
      </c>
      <c r="K139" s="288">
        <f>2.75</f>
        <v>2.75</v>
      </c>
      <c r="L139" s="291">
        <f t="shared" ref="L139:M139" si="457">0.625</f>
        <v>0.625</v>
      </c>
      <c r="M139" s="291">
        <f t="shared" si="457"/>
        <v>0.625</v>
      </c>
      <c r="N139" s="292">
        <f>1%</f>
        <v>0.01</v>
      </c>
      <c r="O139" s="287">
        <f>23</f>
        <v>23</v>
      </c>
      <c r="P139" s="287">
        <f>4.45</f>
        <v>4.45</v>
      </c>
      <c r="Q139" s="288">
        <f>28</f>
        <v>28</v>
      </c>
      <c r="R139" s="289">
        <f t="shared" si="444"/>
        <v>1.3</v>
      </c>
      <c r="S139" s="293">
        <f>335</f>
        <v>335</v>
      </c>
      <c r="T139" s="294">
        <f>550</f>
        <v>550</v>
      </c>
      <c r="U139" s="298" t="e">
        <f ca="1">(15 + 45 * P_Q + 0.7 * Self_AP) * MOD_Magic</f>
        <v>#NAME?</v>
      </c>
      <c r="V139" s="299" t="e">
        <f ca="1">(40 + 40 * P_W + 0.3 * Self_AP) * MOD_Magic</f>
        <v>#NAME?</v>
      </c>
      <c r="W139" s="299" t="e">
        <f ca="1">(30 + 20 * P_E + (0.35 + 0.05 * P_E) * Self_AP) * MOD_Magic</f>
        <v>#NAME?</v>
      </c>
      <c r="X139" s="299" t="e">
        <f ca="1">(75 + 150 * P_R + 0.7 * Self_AP) * MOD_Magic</f>
        <v>#NAME?</v>
      </c>
      <c r="Y139" s="300" t="e">
        <f ca="1">(30 + 110 * Sc_Lin + 0.2 * Self_AP) * MOD_Magic</f>
        <v>#NAME?</v>
      </c>
      <c r="Z139" s="281">
        <f>9-P_Q</f>
        <v>9</v>
      </c>
      <c r="AA139" s="282">
        <f>22 - 2 * P_W</f>
        <v>22</v>
      </c>
      <c r="AB139" s="282">
        <f>13</f>
        <v>13</v>
      </c>
      <c r="AC139" s="282">
        <f>160 - 20 * P_R</f>
        <v>160</v>
      </c>
      <c r="AD139" s="283">
        <f>25 - 9 * Sc_Lin</f>
        <v>25</v>
      </c>
      <c r="AE139" s="284" t="b">
        <f t="shared" si="438"/>
        <v>0</v>
      </c>
      <c r="AF139" s="285" t="e">
        <f ca="1">_xludf.Image("https://ddragon.leagueoflegends.com/cdn/11.19.1/img/champion/Vex.png")</f>
        <v>#NAME?</v>
      </c>
      <c r="AG139" s="282">
        <f ca="1">IFERROR(__xludf.DUMMYFUNCTION("IF(OR(REGEXMATCH(FORMULATEXT(U139),""HMOD""),NOT(P_Q&gt;0)),0,U139)+IF(OR(REGEXMATCH(FORMULATEXT(V139),""HMOD""),NOT(P_W&gt;0)),0,V139)+IF(OR(REGEXMATCH(FORMULATEXT(W139),""HMOD""),NOT(P_E&gt;0)),0,W139)+IF(OR(REGEXMATCH(FORMULATEXT(X139),""HMOD""),NOT(P_R&gt;0)),0,X"&amp;"139)+IF(REGEXMATCH(FORMULATEXT(Y139),""HMOD""),0,Y139)+Self_Proc_item+Self_Proc_Summ+Self_Proc_Rune+3*Self_DPS"),30)</f>
        <v>30</v>
      </c>
      <c r="AH139" s="282">
        <f t="shared" si="8"/>
        <v>0</v>
      </c>
      <c r="AI139" s="282" t="b">
        <f t="shared" si="367"/>
        <v>0</v>
      </c>
      <c r="AJ139" s="283" t="b">
        <f t="shared" si="429"/>
        <v>0</v>
      </c>
    </row>
    <row r="140" spans="1:36">
      <c r="A140" s="267" t="s">
        <v>325</v>
      </c>
      <c r="B140" s="287">
        <f>655</f>
        <v>655</v>
      </c>
      <c r="C140" s="287">
        <f>99</f>
        <v>99</v>
      </c>
      <c r="D140" s="288">
        <f>10</f>
        <v>10</v>
      </c>
      <c r="E140" s="289">
        <f>1</f>
        <v>1</v>
      </c>
      <c r="F140" s="288">
        <f>296</f>
        <v>296</v>
      </c>
      <c r="G140" s="288">
        <f>65</f>
        <v>65</v>
      </c>
      <c r="H140" s="288">
        <f>8.1</f>
        <v>8.1</v>
      </c>
      <c r="I140" s="289">
        <f>0.65</f>
        <v>0.65</v>
      </c>
      <c r="J140" s="290">
        <f>64</f>
        <v>64</v>
      </c>
      <c r="K140" s="288">
        <f t="shared" ref="K140:K141" si="458">3.5</f>
        <v>3.5</v>
      </c>
      <c r="L140" s="291">
        <f t="shared" ref="L140:M140" si="459">0.644</f>
        <v>0.64400000000000002</v>
      </c>
      <c r="M140" s="291">
        <f t="shared" si="459"/>
        <v>0.64400000000000002</v>
      </c>
      <c r="N140" s="292">
        <f>2%</f>
        <v>0.02</v>
      </c>
      <c r="O140" s="287">
        <f>30</f>
        <v>30</v>
      </c>
      <c r="P140" s="287">
        <f>4.7</f>
        <v>4.7</v>
      </c>
      <c r="Q140" s="288">
        <f t="shared" ref="Q140:Q141" si="460">32</f>
        <v>32</v>
      </c>
      <c r="R140" s="289">
        <f t="shared" ref="R140:R141" si="461">2.05</f>
        <v>2.0499999999999998</v>
      </c>
      <c r="S140" s="293">
        <f>340</f>
        <v>340</v>
      </c>
      <c r="T140" s="294">
        <f>125</f>
        <v>125</v>
      </c>
      <c r="U140" s="295" t="e">
        <f ca="1">(40 + 50 * P_Q + 1.6 * Self_BoAD) * MOD_Phys</f>
        <v>#NAME?</v>
      </c>
      <c r="V140" s="296" t="e">
        <f ca="1">((0.015*P_W+0.025+(0.01/35)*Self_BoAD)*E_MHP)*MOD_Phys</f>
        <v>#NAME?</v>
      </c>
      <c r="W140" s="296" t="e">
        <f ca="1">(1.1*Self_AD+0.9*Self_AP+20*P_E-10)*MOD_Phys*(1+Self_Crit*(Self_CritDMG-1))</f>
        <v>#NAME?</v>
      </c>
      <c r="X140" s="296" t="e">
        <f ca="1">(175*P_R-25+1.1*Self_BoAD)*MOD_Phys</f>
        <v>#NAME?</v>
      </c>
      <c r="Y140" s="297">
        <f>0.13 * Self_MHP * MOD_Heal</f>
        <v>0</v>
      </c>
      <c r="Z140" s="281">
        <f>13.5-1.5*P_Q</f>
        <v>13.5</v>
      </c>
      <c r="AA140" s="282">
        <f>3/IF(Self_AS&gt;0,Self_AS,1)</f>
        <v>3</v>
      </c>
      <c r="AB140" s="282">
        <f>1</f>
        <v>1</v>
      </c>
      <c r="AC140" s="282">
        <f>140 - 20 * P_R</f>
        <v>140</v>
      </c>
      <c r="AD140" s="283">
        <f>16.5-0.5*IF(Self_Level&lt;=9,Self_Level,9)</f>
        <v>16</v>
      </c>
      <c r="AE140" s="284" t="b">
        <f t="shared" ref="AE140:AE141" si="462">TRUE</f>
        <v>1</v>
      </c>
      <c r="AF140" s="285" t="e">
        <f ca="1">_xludf.Image("https://ddragon.leagueoflegends.com/cdn/11.19.1/img/champion/Vi.png")</f>
        <v>#NAME?</v>
      </c>
      <c r="AG140" s="282">
        <f ca="1">IFERROR(__xludf.DUMMYFUNCTION("IF(OR(REGEXMATCH(FORMULATEXT(U140),""HMOD""),NOT(P_Q&gt;0)),0,U140)+IF(OR(REGEXMATCH(FORMULATEXT(V140),""HMOD""),NOT(P_W&gt;0)),0,V140)+IF(OR(REGEXMATCH(FORMULATEXT(W140),""HMOD""),NOT(P_E&gt;0)),0,W140)+IF(OR(REGEXMATCH(FORMULATEXT(X140),""HMOD""),NOT(P_R&gt;0)),0,X"&amp;"140)+IF(REGEXMATCH(FORMULATEXT(Y140),""HMOD""),0,Y140)+Self_Proc_item+Self_Proc_Summ+Self_Proc_Rune+3*Self_DPS"),0)</f>
        <v>0</v>
      </c>
      <c r="AH140" s="282">
        <f t="shared" si="8"/>
        <v>0</v>
      </c>
      <c r="AI140" s="282" t="b">
        <f t="shared" si="367"/>
        <v>0</v>
      </c>
      <c r="AJ140" s="283" t="b">
        <f t="shared" si="429"/>
        <v>0</v>
      </c>
    </row>
    <row r="141" spans="1:36">
      <c r="A141" s="267" t="s">
        <v>326</v>
      </c>
      <c r="B141" s="287">
        <f>630</f>
        <v>630</v>
      </c>
      <c r="C141" s="287">
        <f>109</f>
        <v>109</v>
      </c>
      <c r="D141" s="288">
        <f t="shared" ref="D141:D142" si="463">8</f>
        <v>8</v>
      </c>
      <c r="E141" s="289">
        <f>0.7</f>
        <v>0.7</v>
      </c>
      <c r="F141" s="288">
        <f t="shared" ref="F141:I141" si="464">0</f>
        <v>0</v>
      </c>
      <c r="G141" s="288">
        <f t="shared" si="464"/>
        <v>0</v>
      </c>
      <c r="H141" s="288">
        <f t="shared" si="464"/>
        <v>0</v>
      </c>
      <c r="I141" s="289">
        <f t="shared" si="464"/>
        <v>0</v>
      </c>
      <c r="J141" s="290">
        <f>57</f>
        <v>57</v>
      </c>
      <c r="K141" s="288">
        <f t="shared" si="458"/>
        <v>3.5</v>
      </c>
      <c r="L141" s="291">
        <f t="shared" ref="L141:M141" si="465">0.658</f>
        <v>0.65800000000000003</v>
      </c>
      <c r="M141" s="291">
        <f t="shared" si="465"/>
        <v>0.65800000000000003</v>
      </c>
      <c r="N141" s="292">
        <f>2.5%</f>
        <v>2.5000000000000001E-2</v>
      </c>
      <c r="O141" s="287">
        <f>34</f>
        <v>34</v>
      </c>
      <c r="P141" s="287">
        <f t="shared" ref="P141:P142" si="466">5.2</f>
        <v>5.2</v>
      </c>
      <c r="Q141" s="288">
        <f t="shared" si="460"/>
        <v>32</v>
      </c>
      <c r="R141" s="289">
        <f t="shared" si="461"/>
        <v>2.0499999999999998</v>
      </c>
      <c r="S141" s="293">
        <f>345</f>
        <v>345</v>
      </c>
      <c r="T141" s="294">
        <f>200</f>
        <v>200</v>
      </c>
      <c r="U141" s="298" t="e">
        <f ca="1">(15 * P_Q + 0.7 * Self_AD) * MOD_Phys * (1 + Self_Crit)</f>
        <v>#NAME?</v>
      </c>
      <c r="V141" s="299" t="e">
        <f ca="1">(25+55*P_W+Self_AP)*MOD_Magic</f>
        <v>#NAME?</v>
      </c>
      <c r="W141" s="299">
        <f>0</f>
        <v>0</v>
      </c>
      <c r="X141" s="299" t="e">
        <f ca="1">1.2 * Self_AD * MOD_Phys * (1 + Self_Crit) + OH_True + OH_Magic + OH_Phys + (0.08 + 0.04 * P_R + 0.0005 * Self_BoAD) * E_MisHPV * MOD_Phys</f>
        <v>#NAME?</v>
      </c>
      <c r="Y141" s="300">
        <f>(0.02 + 0.00025 * Self_BoAD + 0.0002 * Self_AP + 0.05 * Self_BoAS) * MOD_Heal * E_MHP</f>
        <v>0</v>
      </c>
      <c r="Z141" s="281">
        <f>5.5-0.5*P_Q</f>
        <v>5.5</v>
      </c>
      <c r="AA141" s="282">
        <f>8</f>
        <v>8</v>
      </c>
      <c r="AB141" s="282">
        <f>16-2*P_E</f>
        <v>16</v>
      </c>
      <c r="AC141" s="282">
        <f>140 - 20 * P_R</f>
        <v>140</v>
      </c>
      <c r="AD141" s="283">
        <f t="shared" ref="AD141:AD152" si="467">1</f>
        <v>1</v>
      </c>
      <c r="AE141" s="284" t="b">
        <f t="shared" si="462"/>
        <v>1</v>
      </c>
      <c r="AF141" s="285" t="e">
        <f ca="1">_xludf.Image("https://ddragon.leagueoflegends.com/cdn/11.2.1/img/champion/Viego.png")</f>
        <v>#NAME?</v>
      </c>
      <c r="AG141" s="282">
        <f ca="1">IFERROR(__xludf.DUMMYFUNCTION("IF(OR(REGEXMATCH(FORMULATEXT(U141),""HMOD""),NOT(P_Q&gt;0)),0,U141)+IF(OR(REGEXMATCH(FORMULATEXT(V141),""HMOD""),NOT(P_W&gt;0)),0,V141)+IF(OR(REGEXMATCH(FORMULATEXT(W141),""HMOD""),NOT(P_E&gt;0)),0,W141)+IF(OR(REGEXMATCH(FORMULATEXT(X141),""HMOD""),NOT(P_R&gt;0)),0,X"&amp;"141)+IF(REGEXMATCH(FORMULATEXT(Y141),""HMOD""),0,Y141)+Self_Proc_item+Self_Proc_Summ+Self_Proc_Rune+3*Self_DPS"),0)</f>
        <v>0</v>
      </c>
      <c r="AH141" s="282">
        <f t="shared" si="8"/>
        <v>0</v>
      </c>
      <c r="AI141" s="282" t="b">
        <f t="shared" si="367"/>
        <v>0</v>
      </c>
      <c r="AJ141" s="283" t="b">
        <f>TRUE</f>
        <v>1</v>
      </c>
    </row>
    <row r="142" spans="1:36">
      <c r="A142" s="267" t="s">
        <v>327</v>
      </c>
      <c r="B142" s="287">
        <f>600</f>
        <v>600</v>
      </c>
      <c r="C142" s="287">
        <f>104</f>
        <v>104</v>
      </c>
      <c r="D142" s="288">
        <f t="shared" si="463"/>
        <v>8</v>
      </c>
      <c r="E142" s="289">
        <f>0.65</f>
        <v>0.65</v>
      </c>
      <c r="F142" s="288">
        <f>405</f>
        <v>405</v>
      </c>
      <c r="G142" s="288">
        <f>45</f>
        <v>45</v>
      </c>
      <c r="H142" s="288">
        <f>8</f>
        <v>8</v>
      </c>
      <c r="I142" s="289">
        <f>0.8</f>
        <v>0.8</v>
      </c>
      <c r="J142" s="290">
        <f>53</f>
        <v>53</v>
      </c>
      <c r="K142" s="288">
        <f t="shared" ref="K142:K143" si="468">3</f>
        <v>3</v>
      </c>
      <c r="L142" s="291">
        <f t="shared" ref="L142:M142" si="469">0.658</f>
        <v>0.65800000000000003</v>
      </c>
      <c r="M142" s="291">
        <f t="shared" si="469"/>
        <v>0.65800000000000003</v>
      </c>
      <c r="N142" s="292">
        <f>2.11%</f>
        <v>2.1099999999999997E-2</v>
      </c>
      <c r="O142" s="287">
        <f>23</f>
        <v>23</v>
      </c>
      <c r="P142" s="287">
        <f t="shared" si="466"/>
        <v>5.2</v>
      </c>
      <c r="Q142" s="288">
        <f t="shared" ref="Q142:Q143" si="470">30</f>
        <v>30</v>
      </c>
      <c r="R142" s="289">
        <f t="shared" ref="R142:R143" si="471">1.3</f>
        <v>1.3</v>
      </c>
      <c r="S142" s="293">
        <f>335</f>
        <v>335</v>
      </c>
      <c r="T142" s="294">
        <f>525</f>
        <v>525</v>
      </c>
      <c r="U142" s="295" t="e">
        <f ca="1">(Self_AP+Self_AD+40*P_Q+40)*MOD_Magic</f>
        <v>#NAME?</v>
      </c>
      <c r="V142" s="296">
        <f>0</f>
        <v>0</v>
      </c>
      <c r="W142" s="296" t="e">
        <f ca="1">IF(Steroid_E,(0.8*Self_AP+30*P_E-10)*MOD_Magic,0)+(0.5*Self_AP+40*P_E+30)*MOD_Magic</f>
        <v>#NAME?</v>
      </c>
      <c r="X142" s="296" t="e">
        <f ca="1">((0.45*Self_AP+40*P_R+25)*6+0.5*Self_AP+75*P_R+25)*MOD_Magic</f>
        <v>#NAME?</v>
      </c>
      <c r="Y142" s="297">
        <f t="shared" ref="Y142:Y143" si="472">0</f>
        <v>0</v>
      </c>
      <c r="Z142" s="281">
        <f>10 - P_Q</f>
        <v>10</v>
      </c>
      <c r="AA142" s="282">
        <f>18 - P_W</f>
        <v>18</v>
      </c>
      <c r="AB142" s="282">
        <f>13-P_E</f>
        <v>13</v>
      </c>
      <c r="AC142" s="282">
        <f>140 - 20 * P_R</f>
        <v>140</v>
      </c>
      <c r="AD142" s="283">
        <f t="shared" si="467"/>
        <v>1</v>
      </c>
      <c r="AE142" s="284" t="b">
        <f>FALSE</f>
        <v>0</v>
      </c>
      <c r="AF142" s="285" t="e">
        <f ca="1">_xludf.Image("https://ddragon.leagueoflegends.com/cdn/11.19.1/img/champion/Viktor.png")</f>
        <v>#NAME?</v>
      </c>
      <c r="AG142" s="282">
        <f ca="1">IFERROR(__xludf.DUMMYFUNCTION("IF(OR(REGEXMATCH(FORMULATEXT(U142),""HMOD""),NOT(P_Q&gt;0)),0,U142)+IF(OR(REGEXMATCH(FORMULATEXT(V142),""HMOD""),NOT(P_W&gt;0)),0,V142)+IF(OR(REGEXMATCH(FORMULATEXT(W142),""HMOD""),NOT(P_E&gt;0)),0,W142)+IF(OR(REGEXMATCH(FORMULATEXT(X142),""HMOD""),NOT(P_R&gt;0)),0,X"&amp;"142)+IF(REGEXMATCH(FORMULATEXT(Y142),""HMOD""),0,Y142)+Self_Proc_item+Self_Proc_Summ+Self_Proc_Rune+3*Self_DPS"),0)</f>
        <v>0</v>
      </c>
      <c r="AH142" s="282">
        <f t="shared" si="8"/>
        <v>0</v>
      </c>
      <c r="AI142" s="282" t="b">
        <f t="shared" si="367"/>
        <v>0</v>
      </c>
      <c r="AJ142" s="283" t="b">
        <f>FALSE</f>
        <v>0</v>
      </c>
    </row>
    <row r="143" spans="1:36">
      <c r="A143" s="267" t="s">
        <v>328</v>
      </c>
      <c r="B143" s="287">
        <f>607</f>
        <v>607</v>
      </c>
      <c r="C143" s="287">
        <f>110</f>
        <v>110</v>
      </c>
      <c r="D143" s="288">
        <f>7</f>
        <v>7</v>
      </c>
      <c r="E143" s="289">
        <f>0.6</f>
        <v>0.6</v>
      </c>
      <c r="F143" s="288">
        <f>2</f>
        <v>2</v>
      </c>
      <c r="G143" s="288">
        <f t="shared" ref="G143:I143" si="473">0</f>
        <v>0</v>
      </c>
      <c r="H143" s="288">
        <f t="shared" si="473"/>
        <v>0</v>
      </c>
      <c r="I143" s="289">
        <f t="shared" si="473"/>
        <v>0</v>
      </c>
      <c r="J143" s="290">
        <f>55</f>
        <v>55</v>
      </c>
      <c r="K143" s="288">
        <f t="shared" si="468"/>
        <v>3</v>
      </c>
      <c r="L143" s="291">
        <f t="shared" ref="L143:M143" si="474">0.658</f>
        <v>0.65800000000000003</v>
      </c>
      <c r="M143" s="291">
        <f t="shared" si="474"/>
        <v>0.65800000000000003</v>
      </c>
      <c r="N143" s="292">
        <f t="shared" ref="N143:N144" si="475">2%</f>
        <v>0.02</v>
      </c>
      <c r="O143" s="287">
        <f>27</f>
        <v>27</v>
      </c>
      <c r="P143" s="287">
        <f>4.5</f>
        <v>4.5</v>
      </c>
      <c r="Q143" s="288">
        <f t="shared" si="470"/>
        <v>30</v>
      </c>
      <c r="R143" s="289">
        <f t="shared" si="471"/>
        <v>1.3</v>
      </c>
      <c r="S143" s="293">
        <f>330</f>
        <v>330</v>
      </c>
      <c r="T143" s="294">
        <f>450</f>
        <v>450</v>
      </c>
      <c r="U143" s="298" t="e">
        <f ca="1">(0.6*Self_AP+20*P_Q+60)*IF(Steroid_Q,1.85,1)*MOD_Magic</f>
        <v>#NAME?</v>
      </c>
      <c r="V143" s="299" t="e">
        <f ca="1">(0.1*Self_BoHP+55*P_W+25)*MOD_Magic</f>
        <v>#NAME?</v>
      </c>
      <c r="W143" s="299" t="e">
        <f ca="1">IF(Steroid_E,0.8*Self_AP+0.06*Self_MHP+30*P_E+30,0.35*Self_AP+0.015*Self_MHP+15*P_E+15)*MOD_Magic</f>
        <v>#NAME?</v>
      </c>
      <c r="X143" s="299" t="e">
        <f ca="1">(0.7*Self_AP+100*P_R+50)*MOD_Magic</f>
        <v>#NAME?</v>
      </c>
      <c r="Y143" s="300">
        <f t="shared" si="472"/>
        <v>0</v>
      </c>
      <c r="Z143" s="281">
        <f>10.1 - 1.1 * P_Q</f>
        <v>10.1</v>
      </c>
      <c r="AA143" s="282">
        <f>31-3*P_W</f>
        <v>31</v>
      </c>
      <c r="AB143" s="282">
        <f>15-2*P_E</f>
        <v>15</v>
      </c>
      <c r="AC143" s="282">
        <f>150</f>
        <v>150</v>
      </c>
      <c r="AD143" s="283">
        <f t="shared" si="467"/>
        <v>1</v>
      </c>
      <c r="AE143" s="284" t="b">
        <f t="shared" ref="AE143:AE146" si="476">TRUE</f>
        <v>1</v>
      </c>
      <c r="AF143" s="285" t="e">
        <f ca="1">_xludf.Image("https://ddragon.leagueoflegends.com/cdn/11.19.1/img/champion/Vladimir.png")</f>
        <v>#NAME?</v>
      </c>
      <c r="AG143" s="282">
        <f ca="1">IFERROR(__xludf.DUMMYFUNCTION("IF(OR(REGEXMATCH(FORMULATEXT(U143),""HMOD""),NOT(P_Q&gt;0)),0,U143)+IF(OR(REGEXMATCH(FORMULATEXT(V143),""HMOD""),NOT(P_W&gt;0)),0,V143)+IF(OR(REGEXMATCH(FORMULATEXT(W143),""HMOD""),NOT(P_E&gt;0)),0,W143)+IF(OR(REGEXMATCH(FORMULATEXT(X143),""HMOD""),NOT(P_R&gt;0)),0,X"&amp;"143)+IF(REGEXMATCH(FORMULATEXT(Y143),""HMOD""),0,Y143)+Self_Proc_item+Self_Proc_Summ+Self_Proc_Rune+3*Self_DPS"),0)</f>
        <v>0</v>
      </c>
      <c r="AH143" s="282">
        <f t="shared" si="8"/>
        <v>0</v>
      </c>
      <c r="AI143" s="282" t="b">
        <f t="shared" si="367"/>
        <v>0</v>
      </c>
      <c r="AJ143" s="283" t="b">
        <f>TRUE</f>
        <v>1</v>
      </c>
    </row>
    <row r="144" spans="1:36">
      <c r="A144" s="267" t="s">
        <v>329</v>
      </c>
      <c r="B144" s="287">
        <f>650</f>
        <v>650</v>
      </c>
      <c r="C144" s="287">
        <f>104</f>
        <v>104</v>
      </c>
      <c r="D144" s="288">
        <f>9</f>
        <v>9</v>
      </c>
      <c r="E144" s="289">
        <f>0.65</f>
        <v>0.65</v>
      </c>
      <c r="F144" s="288">
        <f>350</f>
        <v>350</v>
      </c>
      <c r="G144" s="288">
        <f>70</f>
        <v>70</v>
      </c>
      <c r="H144" s="288">
        <f>6.25</f>
        <v>6.25</v>
      </c>
      <c r="I144" s="289">
        <f>0.5</f>
        <v>0.5</v>
      </c>
      <c r="J144" s="290">
        <f>60</f>
        <v>60</v>
      </c>
      <c r="K144" s="288">
        <f>3.5</f>
        <v>3.5</v>
      </c>
      <c r="L144" s="291">
        <f>0.625</f>
        <v>0.625</v>
      </c>
      <c r="M144" s="291">
        <f>0.7</f>
        <v>0.7</v>
      </c>
      <c r="N144" s="292">
        <f t="shared" si="475"/>
        <v>0.02</v>
      </c>
      <c r="O144" s="287">
        <f>31</f>
        <v>31</v>
      </c>
      <c r="P144" s="287">
        <f>5.2</f>
        <v>5.2</v>
      </c>
      <c r="Q144" s="288">
        <f t="shared" ref="Q144:Q145" si="477">32</f>
        <v>32</v>
      </c>
      <c r="R144" s="289">
        <f t="shared" ref="R144:R146" si="478">2.05</f>
        <v>2.0499999999999998</v>
      </c>
      <c r="S144" s="293">
        <f>340</f>
        <v>340</v>
      </c>
      <c r="T144" s="294">
        <f>150</f>
        <v>150</v>
      </c>
      <c r="U144" s="295" t="e">
        <f ca="1">(P_Q*20+Self_AD+1.2*Self_BoAD - 10)*MOD_Phys*IF(Steroid_P,Self_CritDMG,1)</f>
        <v>#NAME?</v>
      </c>
      <c r="V144" s="296" t="e">
        <f ca="1">((-15 + 25 * P_W + 0.06 * Self_BoHP + Self_AD) * MOD_Phys + OH_Phys + OH_Magic + OH_True) * IF(Steroid_W, 1.5, 1)</f>
        <v>#NAME?</v>
      </c>
      <c r="W144" s="296" t="e">
        <f ca="1">(50+30*P_E+0.8*Self_AP+(0.01*P_E+0.08)*E_MHP)*MOD_Magic</f>
        <v>#NAME?</v>
      </c>
      <c r="X144" s="296" t="e">
        <f ca="1">(1.25*Self_AP+200*P_R+2.5*Self_BoAD+100)*MOD_Phys</f>
        <v>#NAME?</v>
      </c>
      <c r="Y144" s="297" t="e">
        <f ca="1">(0.4 * Self_AP + 10 + Self_Level + MAX(Self_Level - 3, 0) + MAX(Self_Level - 6, 0) + MAX(Self_Level - 13, 0)) * MOD_Magic</f>
        <v>#NAME?</v>
      </c>
      <c r="Z144" s="307">
        <f>15-P_Q</f>
        <v>15</v>
      </c>
      <c r="AA144" s="282">
        <f>5</f>
        <v>5</v>
      </c>
      <c r="AB144" s="282">
        <f>13</f>
        <v>13</v>
      </c>
      <c r="AC144" s="282">
        <f>150-P_R*10</f>
        <v>150</v>
      </c>
      <c r="AD144" s="283">
        <f t="shared" si="467"/>
        <v>1</v>
      </c>
      <c r="AE144" s="284" t="b">
        <f t="shared" si="476"/>
        <v>1</v>
      </c>
      <c r="AF144" s="285" t="e">
        <f ca="1">_xludf.Image("https://ddragon.leagueoflegends.com/cdn/11.19.1/img/champion/Volibear.png")</f>
        <v>#NAME?</v>
      </c>
      <c r="AG144" s="282">
        <f ca="1">IFERROR(__xludf.DUMMYFUNCTION("IF(OR(REGEXMATCH(FORMULATEXT(U144),""HMOD""),NOT(P_Q&gt;0)),0,U144)+IF(OR(REGEXMATCH(FORMULATEXT(V144),""HMOD""),NOT(P_W&gt;0)),0,V144)+IF(OR(REGEXMATCH(FORMULATEXT(W144),""HMOD""),NOT(P_E&gt;0)),0,W144)+IF(OR(REGEXMATCH(FORMULATEXT(X144),""HMOD""),NOT(P_R&gt;0)),0,X"&amp;"144)+IF(REGEXMATCH(FORMULATEXT(Y144),""HMOD""),0,Y144)+Self_Proc_item+Self_Proc_Summ+Self_Proc_Rune+3*Self_DPS"),11)</f>
        <v>11</v>
      </c>
      <c r="AH144" s="282">
        <f t="shared" si="8"/>
        <v>0</v>
      </c>
      <c r="AI144" s="282" t="b">
        <f t="shared" si="367"/>
        <v>0</v>
      </c>
      <c r="AJ144" s="283" t="b">
        <f t="shared" ref="AJ144:AJ149" si="479">FALSE</f>
        <v>0</v>
      </c>
    </row>
    <row r="145" spans="1:36">
      <c r="A145" s="301" t="s">
        <v>330</v>
      </c>
      <c r="B145" s="282">
        <f>620</f>
        <v>620</v>
      </c>
      <c r="C145" s="282">
        <f t="shared" ref="C145:C146" si="480">99</f>
        <v>99</v>
      </c>
      <c r="D145" s="282">
        <f>4</f>
        <v>4</v>
      </c>
      <c r="E145" s="302">
        <f>0.75</f>
        <v>0.75</v>
      </c>
      <c r="F145" s="282">
        <f>280</f>
        <v>280</v>
      </c>
      <c r="G145" s="282">
        <f>35</f>
        <v>35</v>
      </c>
      <c r="H145" s="282">
        <f>7.5</f>
        <v>7.5</v>
      </c>
      <c r="I145" s="302">
        <f>0.575</f>
        <v>0.57499999999999996</v>
      </c>
      <c r="J145" s="303">
        <f>65</f>
        <v>65</v>
      </c>
      <c r="K145" s="282">
        <f>3</f>
        <v>3</v>
      </c>
      <c r="L145" s="304">
        <f t="shared" ref="L145:M145" si="481">0.638</f>
        <v>0.63800000000000001</v>
      </c>
      <c r="M145" s="304">
        <f t="shared" si="481"/>
        <v>0.63800000000000001</v>
      </c>
      <c r="N145" s="305">
        <f>2.3%</f>
        <v>2.3E-2</v>
      </c>
      <c r="O145" s="282">
        <f>33</f>
        <v>33</v>
      </c>
      <c r="P145" s="282">
        <f>4.4</f>
        <v>4.4000000000000004</v>
      </c>
      <c r="Q145" s="282">
        <f t="shared" si="477"/>
        <v>32</v>
      </c>
      <c r="R145" s="302">
        <f t="shared" si="478"/>
        <v>2.0499999999999998</v>
      </c>
      <c r="S145" s="285">
        <f>335</f>
        <v>335</v>
      </c>
      <c r="T145" s="286">
        <f>125</f>
        <v>125</v>
      </c>
      <c r="U145" s="298" t="e">
        <f ca="1">(1.2*Self_AD+Self_AP+(0.05+0.01*P_Q)*E_MHP)*MOD_Magic+OH_Magic+OH_Phys+OH_True</f>
        <v>#NAME?</v>
      </c>
      <c r="V145" s="299">
        <f t="shared" ref="V145:W145" si="482">0</f>
        <v>0</v>
      </c>
      <c r="W145" s="299">
        <f t="shared" si="482"/>
        <v>0</v>
      </c>
      <c r="X145" s="299" t="e">
        <f ca="1">(1.67*Self_BoAD+175*P_R)*MOD_Magic+5*(OH_Phys+OH_Magic)</f>
        <v>#NAME?</v>
      </c>
      <c r="Y145" s="300" t="e">
        <f ca="1">(10+2*Self_Level+0.15*Self_BoAD+0.1*Self_AP)*MOD_Magic</f>
        <v>#NAME?</v>
      </c>
      <c r="Z145" s="308">
        <f>6</f>
        <v>6</v>
      </c>
      <c r="AA145" s="309">
        <f>135-15*P_W</f>
        <v>135</v>
      </c>
      <c r="AB145" s="282">
        <f>16-P_E</f>
        <v>16</v>
      </c>
      <c r="AC145" s="285">
        <f>130-20*P_R</f>
        <v>130</v>
      </c>
      <c r="AD145" s="286">
        <f t="shared" si="467"/>
        <v>1</v>
      </c>
      <c r="AE145" s="284" t="b">
        <f t="shared" si="476"/>
        <v>1</v>
      </c>
      <c r="AF145" s="285" t="e">
        <f ca="1">_xludf.Image("https://ddragon.leagueoflegends.com/cdn/11.19.1/img/champion/Warwick.png")</f>
        <v>#NAME?</v>
      </c>
      <c r="AG145" s="282">
        <f ca="1">IFERROR(__xludf.DUMMYFUNCTION("IF(OR(REGEXMATCH(FORMULATEXT(U145),""HMOD""),NOT(P_Q&gt;0)),0,U145)+IF(OR(REGEXMATCH(FORMULATEXT(V145),""HMOD""),NOT(P_W&gt;0)),0,V145)+IF(OR(REGEXMATCH(FORMULATEXT(W145),""HMOD""),NOT(P_E&gt;0)),0,W145)+IF(OR(REGEXMATCH(FORMULATEXT(X145),""HMOD""),NOT(P_R&gt;0)),0,X"&amp;"145)+IF(REGEXMATCH(FORMULATEXT(Y145),""HMOD""),0,Y145)+Self_Proc_item+Self_Proc_Summ+Self_Proc_Rune+3*Self_DPS"),12)</f>
        <v>12</v>
      </c>
      <c r="AH145" s="282">
        <f t="shared" si="8"/>
        <v>0</v>
      </c>
      <c r="AI145" s="282" t="b">
        <f t="shared" si="367"/>
        <v>0</v>
      </c>
      <c r="AJ145" s="283" t="b">
        <f t="shared" si="479"/>
        <v>0</v>
      </c>
    </row>
    <row r="146" spans="1:36">
      <c r="A146" s="267" t="s">
        <v>331</v>
      </c>
      <c r="B146" s="287">
        <f>610</f>
        <v>610</v>
      </c>
      <c r="C146" s="287">
        <f t="shared" si="480"/>
        <v>99</v>
      </c>
      <c r="D146" s="288">
        <f>3.5</f>
        <v>3.5</v>
      </c>
      <c r="E146" s="289">
        <f>0.65</f>
        <v>0.65</v>
      </c>
      <c r="F146" s="288">
        <f>300</f>
        <v>300</v>
      </c>
      <c r="G146" s="288">
        <f>65</f>
        <v>65</v>
      </c>
      <c r="H146" s="288">
        <f>8</f>
        <v>8</v>
      </c>
      <c r="I146" s="289">
        <f>0.65</f>
        <v>0.65</v>
      </c>
      <c r="J146" s="290">
        <f>68</f>
        <v>68</v>
      </c>
      <c r="K146" s="288">
        <f t="shared" ref="K146:K147" si="483">3.5</f>
        <v>3.5</v>
      </c>
      <c r="L146" s="291">
        <f>0.68</f>
        <v>0.68</v>
      </c>
      <c r="M146" s="291">
        <f>0.658</f>
        <v>0.65800000000000003</v>
      </c>
      <c r="N146" s="292">
        <f>3%</f>
        <v>0.03</v>
      </c>
      <c r="O146" s="287">
        <f>31</f>
        <v>31</v>
      </c>
      <c r="P146" s="287">
        <f>4.7</f>
        <v>4.7</v>
      </c>
      <c r="Q146" s="288">
        <f>28</f>
        <v>28</v>
      </c>
      <c r="R146" s="289">
        <f t="shared" si="478"/>
        <v>2.0499999999999998</v>
      </c>
      <c r="S146" s="293">
        <f>340</f>
        <v>340</v>
      </c>
      <c r="T146" s="294">
        <f>175</f>
        <v>175</v>
      </c>
      <c r="U146" s="295" t="e">
        <f ca="1">(25 * P_Q - 5 + 0.45 * Self_BoAD) * MOD_Phys</f>
        <v>#NAME?</v>
      </c>
      <c r="V146" s="296">
        <f>0</f>
        <v>0</v>
      </c>
      <c r="W146" s="296" t="e">
        <f ca="1">(50*P_E+30+Self_AP)*MOD_Magic</f>
        <v>#NAME?</v>
      </c>
      <c r="X146" s="296" t="e">
        <f ca="1">IF(Steroid_R,2,1)*(2.75*Self_AD+(0.02+0.02*P_R)*E_MisHPV)*MOD_Phys</f>
        <v>#NAME?</v>
      </c>
      <c r="Y146" s="297">
        <f>0</f>
        <v>0</v>
      </c>
      <c r="Z146" s="281">
        <f>8.5-0.5*P_Q</f>
        <v>8.5</v>
      </c>
      <c r="AA146" s="282">
        <f>24-2*P_W</f>
        <v>24</v>
      </c>
      <c r="AB146" s="282">
        <f>10.5-0.5*P_E</f>
        <v>10.5</v>
      </c>
      <c r="AC146" s="282">
        <f>150-20*P_R</f>
        <v>150</v>
      </c>
      <c r="AD146" s="283">
        <f t="shared" si="467"/>
        <v>1</v>
      </c>
      <c r="AE146" s="284" t="b">
        <f t="shared" si="476"/>
        <v>1</v>
      </c>
      <c r="AF146" s="285" t="e">
        <f ca="1">_xludf.Image("https://ddragon.leagueoflegends.com/cdn/11.19.1/img/champion/MonkeyKing.png")</f>
        <v>#NAME?</v>
      </c>
      <c r="AG146" s="282">
        <f ca="1">IFERROR(__xludf.DUMMYFUNCTION("IF(OR(REGEXMATCH(FORMULATEXT(U146),""HMOD""),NOT(P_Q&gt;0)),0,U146)+IF(OR(REGEXMATCH(FORMULATEXT(V146),""HMOD""),NOT(P_W&gt;0)),0,V146)+IF(OR(REGEXMATCH(FORMULATEXT(W146),""HMOD""),NOT(P_E&gt;0)),0,W146)+IF(OR(REGEXMATCH(FORMULATEXT(X146),""HMOD""),NOT(P_R&gt;0)),0,X"&amp;"146)+IF(REGEXMATCH(FORMULATEXT(Y146),""HMOD""),0,Y146)+Self_Proc_item+Self_Proc_Summ+Self_Proc_Rune+3*Self_DPS"),0)</f>
        <v>0</v>
      </c>
      <c r="AH146" s="282">
        <f t="shared" si="8"/>
        <v>0</v>
      </c>
      <c r="AI146" s="282" t="b">
        <f t="shared" si="367"/>
        <v>0</v>
      </c>
      <c r="AJ146" s="283" t="b">
        <f t="shared" si="479"/>
        <v>0</v>
      </c>
    </row>
    <row r="147" spans="1:36">
      <c r="A147" s="301" t="s">
        <v>332</v>
      </c>
      <c r="B147" s="282">
        <f>660</f>
        <v>660</v>
      </c>
      <c r="C147" s="282">
        <f>102</f>
        <v>102</v>
      </c>
      <c r="D147" s="282">
        <f>3</f>
        <v>3</v>
      </c>
      <c r="E147" s="302">
        <f>0.75</f>
        <v>0.75</v>
      </c>
      <c r="F147" s="282">
        <f>340</f>
        <v>340</v>
      </c>
      <c r="G147" s="282">
        <f>40</f>
        <v>40</v>
      </c>
      <c r="H147" s="282">
        <f>8.25</f>
        <v>8.25</v>
      </c>
      <c r="I147" s="302">
        <f t="shared" ref="I147:I148" si="484">0.8</f>
        <v>0.8</v>
      </c>
      <c r="J147" s="303">
        <f>60</f>
        <v>60</v>
      </c>
      <c r="K147" s="282">
        <f t="shared" si="483"/>
        <v>3.5</v>
      </c>
      <c r="L147" s="304">
        <f t="shared" ref="L147:M147" si="485">0.625</f>
        <v>0.625</v>
      </c>
      <c r="M147" s="304">
        <f t="shared" si="485"/>
        <v>0.625</v>
      </c>
      <c r="N147" s="305">
        <f>3.9%</f>
        <v>3.9E-2</v>
      </c>
      <c r="O147" s="282">
        <f>25</f>
        <v>25</v>
      </c>
      <c r="P147" s="282">
        <f>4.2</f>
        <v>4.2</v>
      </c>
      <c r="Q147" s="282">
        <f t="shared" ref="Q147:Q148" si="486">30</f>
        <v>30</v>
      </c>
      <c r="R147" s="302">
        <f t="shared" ref="R147:R148" si="487">1.3</f>
        <v>1.3</v>
      </c>
      <c r="S147" s="285">
        <f>330</f>
        <v>330</v>
      </c>
      <c r="T147" s="286">
        <f t="shared" ref="T147:T148" si="488">525</f>
        <v>525</v>
      </c>
      <c r="U147" s="298" t="e">
        <f ca="1">(30 * P_Q + 60 + Self_BoAD) * MOD_Phys</f>
        <v>#NAME?</v>
      </c>
      <c r="V147" s="299" t="e">
        <f ca="1">(1.2*Self_AD)*MOD_Hit</f>
        <v>#NAME?</v>
      </c>
      <c r="W147" s="299" t="e">
        <f ca="1">IF(Steroid_E, 5.25, 2.85) * (40 + 10 * P_E + 0.6 * Self_BoAD) * (1 + 0.75 * Self_Crit) * MOD_Phys</f>
        <v>#NAME?</v>
      </c>
      <c r="X147" s="299" t="e">
        <f ca="1">(100 * P_R + Self_BoAD + 100) * MOD_Phys</f>
        <v>#NAME?</v>
      </c>
      <c r="Y147" s="300">
        <v>0</v>
      </c>
      <c r="Z147" s="284">
        <f>10.5-0.5*P_Q</f>
        <v>10.5</v>
      </c>
      <c r="AA147" s="282">
        <f>21-P_W</f>
        <v>21</v>
      </c>
      <c r="AB147" s="285">
        <f>11.5-0.5*P_E</f>
        <v>11.5</v>
      </c>
      <c r="AC147" s="285">
        <f>160 - 20 * P_R</f>
        <v>160</v>
      </c>
      <c r="AD147" s="286">
        <f t="shared" si="467"/>
        <v>1</v>
      </c>
      <c r="AE147" s="284" t="b">
        <f t="shared" ref="AE147:AE148" si="489">FALSE</f>
        <v>0</v>
      </c>
      <c r="AF147" s="285" t="e">
        <f ca="1">_xludf.Image("https://ddragon.leagueoflegends.com/cdn/11.19.1/img/champion/Xayah.png")</f>
        <v>#NAME?</v>
      </c>
      <c r="AG147" s="282">
        <f ca="1">IFERROR(__xludf.DUMMYFUNCTION("IF(OR(REGEXMATCH(FORMULATEXT(U147),""HMOD""),NOT(P_Q&gt;0)),0,U147)+IF(OR(REGEXMATCH(FORMULATEXT(V147),""HMOD""),NOT(P_W&gt;0)),0,V147)+IF(OR(REGEXMATCH(FORMULATEXT(W147),""HMOD""),NOT(P_E&gt;0)),0,W147)+IF(OR(REGEXMATCH(FORMULATEXT(X147),""HMOD""),NOT(P_R&gt;0)),0,X"&amp;"147)+IF(REGEXMATCH(FORMULATEXT(Y147),""HMOD""),0,Y147)+Self_Proc_item+Self_Proc_Summ+Self_Proc_Rune+3*Self_DPS"),0)</f>
        <v>0</v>
      </c>
      <c r="AH147" s="282">
        <f t="shared" si="8"/>
        <v>0</v>
      </c>
      <c r="AI147" s="282" t="b">
        <f t="shared" si="367"/>
        <v>0</v>
      </c>
      <c r="AJ147" s="283" t="b">
        <f t="shared" si="479"/>
        <v>0</v>
      </c>
    </row>
    <row r="148" spans="1:36">
      <c r="A148" s="267" t="s">
        <v>333</v>
      </c>
      <c r="B148" s="287">
        <f>596</f>
        <v>596</v>
      </c>
      <c r="C148" s="287">
        <f t="shared" ref="C148:C149" si="490">106</f>
        <v>106</v>
      </c>
      <c r="D148" s="288">
        <f>5.5</f>
        <v>5.5</v>
      </c>
      <c r="E148" s="289">
        <f>0.55</f>
        <v>0.55000000000000004</v>
      </c>
      <c r="F148" s="288">
        <f>459</f>
        <v>459</v>
      </c>
      <c r="G148" s="288">
        <f>22</f>
        <v>22</v>
      </c>
      <c r="H148" s="288">
        <f>8</f>
        <v>8</v>
      </c>
      <c r="I148" s="289">
        <f t="shared" si="484"/>
        <v>0.8</v>
      </c>
      <c r="J148" s="290">
        <f>55</f>
        <v>55</v>
      </c>
      <c r="K148" s="288">
        <f t="shared" ref="K148:K150" si="491">3</f>
        <v>3</v>
      </c>
      <c r="L148" s="291">
        <f t="shared" ref="L148:M148" si="492">0.658</f>
        <v>0.65800000000000003</v>
      </c>
      <c r="M148" s="291">
        <f t="shared" si="492"/>
        <v>0.65800000000000003</v>
      </c>
      <c r="N148" s="292">
        <f>1.36%</f>
        <v>1.3600000000000001E-2</v>
      </c>
      <c r="O148" s="287">
        <f>22</f>
        <v>22</v>
      </c>
      <c r="P148" s="287">
        <f t="shared" ref="P148:P149" si="493">4.7</f>
        <v>4.7</v>
      </c>
      <c r="Q148" s="288">
        <f t="shared" si="486"/>
        <v>30</v>
      </c>
      <c r="R148" s="289">
        <f t="shared" si="487"/>
        <v>1.3</v>
      </c>
      <c r="S148" s="293">
        <f>340</f>
        <v>340</v>
      </c>
      <c r="T148" s="294">
        <f t="shared" si="488"/>
        <v>525</v>
      </c>
      <c r="U148" s="295" t="e">
        <f ca="1">(0.85 * Self_AP + 40 * P_Q + 30) * MOD_Magic</f>
        <v>#NAME?</v>
      </c>
      <c r="V148" s="296" t="e">
        <f ca="1">(Self_AP + 35 * P_W + 15) * MOD_Magic * IF(Steroid_W, 5 / 3, 1)</f>
        <v>#NAME?</v>
      </c>
      <c r="W148" s="296" t="e">
        <f ca="1">(0.45*Self_AP+30*P_E+50)*MOD_Magic</f>
        <v>#NAME?</v>
      </c>
      <c r="X148" s="296" t="e">
        <f ca="1">((0.45*Self_AP+50*P_R+150)*(P_R+2))*MOD_Magic</f>
        <v>#NAME?</v>
      </c>
      <c r="Y148" s="297">
        <f>0</f>
        <v>0</v>
      </c>
      <c r="Z148" s="281">
        <f>10 - P_Q</f>
        <v>10</v>
      </c>
      <c r="AA148" s="282">
        <f>15-P_W</f>
        <v>15</v>
      </c>
      <c r="AB148" s="282">
        <f>13.5 - 0.5 * P_E</f>
        <v>13.5</v>
      </c>
      <c r="AC148" s="282">
        <f>145 - 15 * P_R</f>
        <v>145</v>
      </c>
      <c r="AD148" s="283">
        <f t="shared" si="467"/>
        <v>1</v>
      </c>
      <c r="AE148" s="284" t="b">
        <f t="shared" si="489"/>
        <v>0</v>
      </c>
      <c r="AF148" s="285" t="e">
        <f ca="1">_xludf.Image("https://ddragon.leagueoflegends.com/cdn/11.19.1/img/champion/Xerath.png")</f>
        <v>#NAME?</v>
      </c>
      <c r="AG148" s="282">
        <f ca="1">IFERROR(__xludf.DUMMYFUNCTION("IF(OR(REGEXMATCH(FORMULATEXT(U148),""HMOD""),NOT(P_Q&gt;0)),0,U148)+IF(OR(REGEXMATCH(FORMULATEXT(V148),""HMOD""),NOT(P_W&gt;0)),0,V148)+IF(OR(REGEXMATCH(FORMULATEXT(W148),""HMOD""),NOT(P_E&gt;0)),0,W148)+IF(OR(REGEXMATCH(FORMULATEXT(X148),""HMOD""),NOT(P_R&gt;0)),0,X"&amp;"148)+IF(REGEXMATCH(FORMULATEXT(Y148),""HMOD""),0,Y148)+Self_Proc_item+Self_Proc_Summ+Self_Proc_Rune+3*Self_DPS"),0)</f>
        <v>0</v>
      </c>
      <c r="AH148" s="282">
        <f t="shared" si="8"/>
        <v>0</v>
      </c>
      <c r="AI148" s="282" t="b">
        <f t="shared" si="367"/>
        <v>0</v>
      </c>
      <c r="AJ148" s="283" t="b">
        <f t="shared" si="479"/>
        <v>0</v>
      </c>
    </row>
    <row r="149" spans="1:36">
      <c r="A149" s="267" t="s">
        <v>334</v>
      </c>
      <c r="B149" s="287">
        <f>640</f>
        <v>640</v>
      </c>
      <c r="C149" s="287">
        <f t="shared" si="490"/>
        <v>106</v>
      </c>
      <c r="D149" s="288">
        <f>8</f>
        <v>8</v>
      </c>
      <c r="E149" s="289">
        <f>0.7</f>
        <v>0.7</v>
      </c>
      <c r="F149" s="288">
        <f>274</f>
        <v>274</v>
      </c>
      <c r="G149" s="288">
        <f>55</f>
        <v>55</v>
      </c>
      <c r="H149" s="288">
        <f>7.3</f>
        <v>7.3</v>
      </c>
      <c r="I149" s="289">
        <f>0.45</f>
        <v>0.45</v>
      </c>
      <c r="J149" s="290">
        <f>63</f>
        <v>63</v>
      </c>
      <c r="K149" s="288">
        <f t="shared" si="491"/>
        <v>3</v>
      </c>
      <c r="L149" s="291">
        <f t="shared" ref="L149:M149" si="494">0.645</f>
        <v>0.64500000000000002</v>
      </c>
      <c r="M149" s="291">
        <f t="shared" si="494"/>
        <v>0.64500000000000002</v>
      </c>
      <c r="N149" s="292">
        <f t="shared" ref="N149:N151" si="495">3.5%</f>
        <v>3.5000000000000003E-2</v>
      </c>
      <c r="O149" s="287">
        <f>35</f>
        <v>35</v>
      </c>
      <c r="P149" s="287">
        <f t="shared" si="493"/>
        <v>4.7</v>
      </c>
      <c r="Q149" s="288">
        <f t="shared" ref="Q149:Q152" si="496">32</f>
        <v>32</v>
      </c>
      <c r="R149" s="289">
        <f t="shared" ref="R149:R152" si="497">2.05</f>
        <v>2.0499999999999998</v>
      </c>
      <c r="S149" s="293">
        <f t="shared" ref="S149:S151" si="498">345</f>
        <v>345</v>
      </c>
      <c r="T149" s="294">
        <f t="shared" ref="T149:T152" si="499">175</f>
        <v>175</v>
      </c>
      <c r="U149" s="298" t="e">
        <f ca="1">(27 * P_Q + 21 + 1.2 * Self_BoAD) * MOD_Phys</f>
        <v>#NAME?</v>
      </c>
      <c r="V149" s="299" t="e">
        <f ca="1">(35+45*P_W+1.2*Self_AD+0.65*Self_AP)*MOD_Phys*(1+0.33*Self_Crit)</f>
        <v>#NAME?</v>
      </c>
      <c r="W149" s="299" t="e">
        <f ca="1">(25+25*P_E+0.6*Self_AP)*MOD_Magic</f>
        <v>#NAME?</v>
      </c>
      <c r="X149" s="299" t="e">
        <f ca="1">(100*P_R-25+Self_BoAD+0.15*E_CHPV+1.1*Self_AP)*MOD_Phys</f>
        <v>#NAME?</v>
      </c>
      <c r="Y149" s="300">
        <v>0</v>
      </c>
      <c r="Z149" s="281">
        <f>7.5-0.5*P_Q</f>
        <v>7.5</v>
      </c>
      <c r="AA149" s="282">
        <f>13-P_W</f>
        <v>13</v>
      </c>
      <c r="AB149" s="282">
        <f>11</f>
        <v>11</v>
      </c>
      <c r="AC149" s="282">
        <f>130 - 10 * P_R</f>
        <v>130</v>
      </c>
      <c r="AD149" s="283">
        <f t="shared" si="467"/>
        <v>1</v>
      </c>
      <c r="AE149" s="284" t="b">
        <f t="shared" ref="AE149:AE152" si="500">TRUE</f>
        <v>1</v>
      </c>
      <c r="AF149" s="285" t="e">
        <f ca="1">_xludf.Image("https://ddragon.leagueoflegends.com/cdn/11.19.1/img/champion/XinZhao.png")</f>
        <v>#NAME?</v>
      </c>
      <c r="AG149" s="282">
        <f ca="1">IFERROR(__xludf.DUMMYFUNCTION("IF(OR(REGEXMATCH(FORMULATEXT(U149),""HMOD""),NOT(P_Q&gt;0)),0,U149)+IF(OR(REGEXMATCH(FORMULATEXT(V149),""HMOD""),NOT(P_W&gt;0)),0,V149)+IF(OR(REGEXMATCH(FORMULATEXT(W149),""HMOD""),NOT(P_E&gt;0)),0,W149)+IF(OR(REGEXMATCH(FORMULATEXT(X149),""HMOD""),NOT(P_R&gt;0)),0,X"&amp;"149)+IF(REGEXMATCH(FORMULATEXT(Y149),""HMOD""),0,Y149)+Self_Proc_item+Self_Proc_Summ+Self_Proc_Rune+3*Self_DPS"),0)</f>
        <v>0</v>
      </c>
      <c r="AH149" s="282">
        <f t="shared" si="8"/>
        <v>0</v>
      </c>
      <c r="AI149" s="282" t="b">
        <f t="shared" si="367"/>
        <v>0</v>
      </c>
      <c r="AJ149" s="283" t="b">
        <f t="shared" si="479"/>
        <v>0</v>
      </c>
    </row>
    <row r="150" spans="1:36">
      <c r="A150" s="267" t="s">
        <v>335</v>
      </c>
      <c r="B150" s="287">
        <f>590</f>
        <v>590</v>
      </c>
      <c r="C150" s="287">
        <f>110</f>
        <v>110</v>
      </c>
      <c r="D150" s="288">
        <f>6.5</f>
        <v>6.5</v>
      </c>
      <c r="E150" s="289">
        <f>0.9</f>
        <v>0.9</v>
      </c>
      <c r="F150" s="288">
        <f>100</f>
        <v>100</v>
      </c>
      <c r="G150" s="288">
        <f t="shared" ref="G150:I150" si="501">0</f>
        <v>0</v>
      </c>
      <c r="H150" s="288">
        <f t="shared" si="501"/>
        <v>0</v>
      </c>
      <c r="I150" s="289">
        <f t="shared" si="501"/>
        <v>0</v>
      </c>
      <c r="J150" s="290">
        <f t="shared" ref="J150:J151" si="502">60</f>
        <v>60</v>
      </c>
      <c r="K150" s="288">
        <f t="shared" si="491"/>
        <v>3</v>
      </c>
      <c r="L150" s="291">
        <f>0.697</f>
        <v>0.69699999999999995</v>
      </c>
      <c r="M150" s="291">
        <f>0.67</f>
        <v>0.67</v>
      </c>
      <c r="N150" s="292">
        <f t="shared" si="495"/>
        <v>3.5000000000000003E-2</v>
      </c>
      <c r="O150" s="287">
        <f t="shared" ref="O150:O151" si="503">30</f>
        <v>30</v>
      </c>
      <c r="P150" s="287">
        <f t="shared" ref="P150:P151" si="504">4.6</f>
        <v>4.5999999999999996</v>
      </c>
      <c r="Q150" s="288">
        <f t="shared" si="496"/>
        <v>32</v>
      </c>
      <c r="R150" s="289">
        <f t="shared" si="497"/>
        <v>2.0499999999999998</v>
      </c>
      <c r="S150" s="293">
        <f t="shared" si="498"/>
        <v>345</v>
      </c>
      <c r="T150" s="294">
        <f t="shared" si="499"/>
        <v>175</v>
      </c>
      <c r="U150" s="295" t="e">
        <f ca="1">(Self_AD * 1.05 - 5 + 25 * P_Q) * MOD_Phys * (1 + Self_Crit * (Self_CritDMG - 1)) + OH_Phys + OH_Magic + OH_True</f>
        <v>#NAME?</v>
      </c>
      <c r="V150" s="296">
        <f>0</f>
        <v>0</v>
      </c>
      <c r="W150" s="296" t="e">
        <f ca="1">(0.2 * Self_BoAD + 0.6 * Self_AP + (10 * P_E + 50)) * MOD_Magic * IF(Steroid_E, 1.6 + 0.4 * Sc_Lin, 1)</f>
        <v>#NAME?</v>
      </c>
      <c r="X150" s="296" t="e">
        <f ca="1">(1.5*Self_BoAD+150*P_R+50)*MOD_Phys</f>
        <v>#NAME?</v>
      </c>
      <c r="Y150" s="297">
        <f t="shared" ref="Y150:Y151" si="505">0</f>
        <v>0</v>
      </c>
      <c r="Z150" s="281">
        <f>MAX(4 - (1/3) * (Self_BoAS / 0.139375), 1.33)</f>
        <v>4</v>
      </c>
      <c r="AA150" s="282">
        <f>27 - 2 * P_W</f>
        <v>27</v>
      </c>
      <c r="AB150" s="282">
        <f>0.6-0.1*P_E</f>
        <v>0.6</v>
      </c>
      <c r="AC150" s="282">
        <f>90-20*P_R</f>
        <v>90</v>
      </c>
      <c r="AD150" s="283">
        <f t="shared" si="467"/>
        <v>1</v>
      </c>
      <c r="AE150" s="284" t="b">
        <f t="shared" si="500"/>
        <v>1</v>
      </c>
      <c r="AF150" s="285" t="e">
        <f ca="1">_xludf.Image("https://ddragon.leagueoflegends.com/cdn/11.19.1/img/champion/Yasuo.png")</f>
        <v>#NAME?</v>
      </c>
      <c r="AG150" s="282">
        <f ca="1">IFERROR(__xludf.DUMMYFUNCTION("IF(OR(REGEXMATCH(FORMULATEXT(U150),""HMOD""),NOT(P_Q&gt;0)),0,U150)+IF(OR(REGEXMATCH(FORMULATEXT(V150),""HMOD""),NOT(P_W&gt;0)),0,V150)+IF(OR(REGEXMATCH(FORMULATEXT(W150),""HMOD""),NOT(P_E&gt;0)),0,W150)+IF(OR(REGEXMATCH(FORMULATEXT(X150),""HMOD""),NOT(P_R&gt;0)),0,X"&amp;"150)+IF(REGEXMATCH(FORMULATEXT(Y150),""HMOD""),0,Y150)+Self_Proc_item+Self_Proc_Summ+Self_Proc_Rune+3*Self_DPS"),0)</f>
        <v>0</v>
      </c>
      <c r="AH150" s="282">
        <f t="shared" si="8"/>
        <v>0</v>
      </c>
      <c r="AI150" s="282" t="b">
        <f t="shared" si="367"/>
        <v>0</v>
      </c>
      <c r="AJ150" s="283" t="b">
        <f t="shared" ref="AJ150:AJ151" si="506">TRUE</f>
        <v>1</v>
      </c>
    </row>
    <row r="151" spans="1:36">
      <c r="A151" s="267" t="s">
        <v>336</v>
      </c>
      <c r="B151" s="287">
        <f>620</f>
        <v>620</v>
      </c>
      <c r="C151" s="287">
        <f>105</f>
        <v>105</v>
      </c>
      <c r="D151" s="288">
        <f>7.5</f>
        <v>7.5</v>
      </c>
      <c r="E151" s="289">
        <f>0.75</f>
        <v>0.75</v>
      </c>
      <c r="F151" s="288">
        <f t="shared" ref="F151:I151" si="507">0</f>
        <v>0</v>
      </c>
      <c r="G151" s="288">
        <f t="shared" si="507"/>
        <v>0</v>
      </c>
      <c r="H151" s="288">
        <f t="shared" si="507"/>
        <v>0</v>
      </c>
      <c r="I151" s="289">
        <f t="shared" si="507"/>
        <v>0</v>
      </c>
      <c r="J151" s="290">
        <f t="shared" si="502"/>
        <v>60</v>
      </c>
      <c r="K151" s="288">
        <f>2</f>
        <v>2</v>
      </c>
      <c r="L151" s="291">
        <f t="shared" ref="L151:M151" si="508">0.625</f>
        <v>0.625</v>
      </c>
      <c r="M151" s="291">
        <f t="shared" si="508"/>
        <v>0.625</v>
      </c>
      <c r="N151" s="292">
        <f t="shared" si="495"/>
        <v>3.5000000000000003E-2</v>
      </c>
      <c r="O151" s="287">
        <f t="shared" si="503"/>
        <v>30</v>
      </c>
      <c r="P151" s="287">
        <f t="shared" si="504"/>
        <v>4.5999999999999996</v>
      </c>
      <c r="Q151" s="288">
        <f t="shared" si="496"/>
        <v>32</v>
      </c>
      <c r="R151" s="289">
        <f t="shared" si="497"/>
        <v>2.0499999999999998</v>
      </c>
      <c r="S151" s="293">
        <f t="shared" si="498"/>
        <v>345</v>
      </c>
      <c r="T151" s="294">
        <f t="shared" si="499"/>
        <v>175</v>
      </c>
      <c r="U151" s="298" t="e">
        <f ca="1">(Self_AD * 1.05 + 20 * P_Q) * MOD_Phys * (1 + Self_Crit * (Self_CritDMG - 1)) + OH_Phys + OH_Magic * OH_True</f>
        <v>#NAME?</v>
      </c>
      <c r="V151" s="299" t="e">
        <f ca="1">(5 * P_W + (P_W * 0.005 + 0.05) * E_MHP) * (MOD_Phys + MOD_Magic)</f>
        <v>#NAME?</v>
      </c>
      <c r="W151" s="299">
        <f>0</f>
        <v>0</v>
      </c>
      <c r="X151" s="299" t="e">
        <f ca="1">(100*P_R+0.4*Self_AD)*MOD_Phys+(100*P_R+0.4*Self_AD)*MOD_Magic</f>
        <v>#NAME?</v>
      </c>
      <c r="Y151" s="300">
        <f t="shared" si="505"/>
        <v>0</v>
      </c>
      <c r="Z151" s="281">
        <f>MAX(4 - (1/3) * (Self_BoAS / 0.139375), 1.33)</f>
        <v>4</v>
      </c>
      <c r="AA151" s="282">
        <f>MAX(14 - (4/3) * Self_BoAS * 7.2, 6)</f>
        <v>14</v>
      </c>
      <c r="AB151" s="282">
        <f>25-3*P_E</f>
        <v>25</v>
      </c>
      <c r="AC151" s="282">
        <f>150-30*P_R</f>
        <v>150</v>
      </c>
      <c r="AD151" s="283">
        <f t="shared" si="467"/>
        <v>1</v>
      </c>
      <c r="AE151" s="284" t="b">
        <f t="shared" si="500"/>
        <v>1</v>
      </c>
      <c r="AF151" s="285" t="e">
        <f ca="1">_xludf.Image("https://ddragon.leagueoflegends.com/cdn/11.19.1/img/champion/Yone.png")</f>
        <v>#NAME?</v>
      </c>
      <c r="AG151" s="282">
        <f ca="1">IFERROR(__xludf.DUMMYFUNCTION("IF(OR(REGEXMATCH(FORMULATEXT(U151),""HMOD""),NOT(P_Q&gt;0)),0,U151)+IF(OR(REGEXMATCH(FORMULATEXT(V151),""HMOD""),NOT(P_W&gt;0)),0,V151)+IF(OR(REGEXMATCH(FORMULATEXT(W151),""HMOD""),NOT(P_E&gt;0)),0,W151)+IF(OR(REGEXMATCH(FORMULATEXT(X151),""HMOD""),NOT(P_R&gt;0)),0,X"&amp;"151)+IF(REGEXMATCH(FORMULATEXT(Y151),""HMOD""),0,Y151)+Self_Proc_item+Self_Proc_Summ+Self_Proc_Rune+3*Self_DPS"),0)</f>
        <v>0</v>
      </c>
      <c r="AH151" s="282">
        <f t="shared" si="8"/>
        <v>0</v>
      </c>
      <c r="AI151" s="282" t="b">
        <f t="shared" si="367"/>
        <v>0</v>
      </c>
      <c r="AJ151" s="283" t="b">
        <f t="shared" si="506"/>
        <v>1</v>
      </c>
    </row>
    <row r="152" spans="1:36">
      <c r="A152" s="267" t="s">
        <v>337</v>
      </c>
      <c r="B152" s="287">
        <f>650</f>
        <v>650</v>
      </c>
      <c r="C152" s="287">
        <f>114</f>
        <v>114</v>
      </c>
      <c r="D152" s="288">
        <f>8</f>
        <v>8</v>
      </c>
      <c r="E152" s="289">
        <f>0.8</f>
        <v>0.8</v>
      </c>
      <c r="F152" s="288">
        <f>300</f>
        <v>300</v>
      </c>
      <c r="G152" s="288">
        <f>60</f>
        <v>60</v>
      </c>
      <c r="H152" s="288">
        <f>7.5</f>
        <v>7.5</v>
      </c>
      <c r="I152" s="289">
        <f>0.75</f>
        <v>0.75</v>
      </c>
      <c r="J152" s="290">
        <f>62</f>
        <v>62</v>
      </c>
      <c r="K152" s="288">
        <f>5</f>
        <v>5</v>
      </c>
      <c r="L152" s="291">
        <f t="shared" ref="L152:M152" si="509">0.625</f>
        <v>0.625</v>
      </c>
      <c r="M152" s="291">
        <f t="shared" si="509"/>
        <v>0.625</v>
      </c>
      <c r="N152" s="292">
        <f>2%</f>
        <v>0.02</v>
      </c>
      <c r="O152" s="287">
        <f>39</f>
        <v>39</v>
      </c>
      <c r="P152" s="287">
        <f>5.2</f>
        <v>5.2</v>
      </c>
      <c r="Q152" s="288">
        <f t="shared" si="496"/>
        <v>32</v>
      </c>
      <c r="R152" s="289">
        <f t="shared" si="497"/>
        <v>2.0499999999999998</v>
      </c>
      <c r="S152" s="293">
        <f>340</f>
        <v>340</v>
      </c>
      <c r="T152" s="294">
        <f t="shared" si="499"/>
        <v>175</v>
      </c>
      <c r="U152" s="295" t="e">
        <f ca="1">(1.4*Self_AD+25*P_Q+5)*MOD_Phys</f>
        <v>#NAME?</v>
      </c>
      <c r="V152" s="296">
        <f t="shared" ref="V152:V153" si="510">0</f>
        <v>0</v>
      </c>
      <c r="W152" s="296" t="e">
        <f ca="1">IF(0.15*E_CHPV&lt;(35+35*P_E+0.7*Self_AP),(35+35*P_E+0.7*Self_AP),0.15*E_CHPV)*MOD_Magic</f>
        <v>#NAME?</v>
      </c>
      <c r="X152" s="296">
        <f t="shared" ref="X152:Y152" si="511">0</f>
        <v>0</v>
      </c>
      <c r="Y152" s="297">
        <f t="shared" si="511"/>
        <v>0</v>
      </c>
      <c r="Z152" s="281">
        <f>7.75-P_Q*0.75</f>
        <v>7.75</v>
      </c>
      <c r="AA152" s="282">
        <f>22 - 2 * P_W</f>
        <v>22</v>
      </c>
      <c r="AB152" s="282">
        <f>13-P_E</f>
        <v>13</v>
      </c>
      <c r="AC152" s="282">
        <f>190-30*P_R</f>
        <v>190</v>
      </c>
      <c r="AD152" s="283">
        <f t="shared" si="467"/>
        <v>1</v>
      </c>
      <c r="AE152" s="284" t="b">
        <f t="shared" si="500"/>
        <v>1</v>
      </c>
      <c r="AF152" s="285" t="e">
        <f ca="1">_xludf.Image("https://ddragon.leagueoflegends.com/cdn/11.19.1/img/champion/Yorick.png")</f>
        <v>#NAME?</v>
      </c>
      <c r="AG152" s="282">
        <f ca="1">IFERROR(__xludf.DUMMYFUNCTION("IF(OR(REGEXMATCH(FORMULATEXT(U152),""HMOD""),NOT(P_Q&gt;0)),0,U152)+IF(OR(REGEXMATCH(FORMULATEXT(V152),""HMOD""),NOT(P_W&gt;0)),0,V152)+IF(OR(REGEXMATCH(FORMULATEXT(W152),""HMOD""),NOT(P_E&gt;0)),0,W152)+IF(OR(REGEXMATCH(FORMULATEXT(X152),""HMOD""),NOT(P_R&gt;0)),0,X"&amp;"152)+IF(REGEXMATCH(FORMULATEXT(Y152),""HMOD""),0,Y152)+Self_Proc_item+Self_Proc_Summ+Self_Proc_Rune+3*Self_DPS"),0)</f>
        <v>0</v>
      </c>
      <c r="AH152" s="282">
        <f t="shared" si="8"/>
        <v>0</v>
      </c>
      <c r="AI152" s="282" t="b">
        <f t="shared" si="367"/>
        <v>0</v>
      </c>
      <c r="AJ152" s="283" t="b">
        <f t="shared" ref="AJ152:AJ153" si="512">FALSE</f>
        <v>0</v>
      </c>
    </row>
    <row r="153" spans="1:36">
      <c r="A153" s="267" t="s">
        <v>338</v>
      </c>
      <c r="B153" s="287">
        <f>500</f>
        <v>500</v>
      </c>
      <c r="C153" s="287">
        <f>84</f>
        <v>84</v>
      </c>
      <c r="D153" s="288">
        <f>5</f>
        <v>5</v>
      </c>
      <c r="E153" s="289">
        <f>0.55</f>
        <v>0.55000000000000004</v>
      </c>
      <c r="F153" s="288">
        <f>400</f>
        <v>400</v>
      </c>
      <c r="G153" s="288">
        <f>45</f>
        <v>45</v>
      </c>
      <c r="H153" s="288">
        <f>10</f>
        <v>10</v>
      </c>
      <c r="I153" s="289">
        <f>0.35</f>
        <v>0.35</v>
      </c>
      <c r="J153" s="290">
        <f>49</f>
        <v>49</v>
      </c>
      <c r="K153" s="288">
        <f>3.1</f>
        <v>3.1</v>
      </c>
      <c r="L153" s="291">
        <f t="shared" ref="L153:M153" si="513">0.625</f>
        <v>0.625</v>
      </c>
      <c r="M153" s="291">
        <f t="shared" si="513"/>
        <v>0.625</v>
      </c>
      <c r="N153" s="292">
        <f>1%</f>
        <v>0.01</v>
      </c>
      <c r="O153" s="287">
        <f>25</f>
        <v>25</v>
      </c>
      <c r="P153" s="287">
        <f>4.2</f>
        <v>4.2</v>
      </c>
      <c r="Q153" s="288">
        <f>25</f>
        <v>25</v>
      </c>
      <c r="R153" s="289">
        <f>1.1</f>
        <v>1.1000000000000001</v>
      </c>
      <c r="S153" s="293">
        <f>330</f>
        <v>330</v>
      </c>
      <c r="T153" s="294">
        <f>425</f>
        <v>425</v>
      </c>
      <c r="U153" s="298" t="e">
        <f ca="1">IF(Steroid_Q, 25 + 55 * P_Q + 0.3 * Self_AP, 30 + 30 * P_Q + 0.2 * Self_AP) * MOD_Magic</f>
        <v>#NAME?</v>
      </c>
      <c r="V153" s="299">
        <f t="shared" si="510"/>
        <v>0</v>
      </c>
      <c r="W153" s="299">
        <f>(55 + 25 * P_E + 0.3 * Self_AP) * MOD_Heal</f>
        <v>55</v>
      </c>
      <c r="X153" s="299" t="e">
        <f ca="1">IF(Steroid_R, 5, 1) * (50 + 25 * P_R + 0.2 * Self_AP) * MOD_Magic</f>
        <v>#NAME?</v>
      </c>
      <c r="Y153" s="300">
        <f>(25 + 85 * Sc_Lin + 0.15 * Self_AP) * MOD_Heal</f>
        <v>25</v>
      </c>
      <c r="Z153" s="281">
        <f>6.5</f>
        <v>6.5</v>
      </c>
      <c r="AA153" s="282">
        <f>10-IF(Self_Level&gt;=11,9,IF(Self_Level&gt;=6,5,0))</f>
        <v>10</v>
      </c>
      <c r="AB153" s="282">
        <f>12.5-0.5*P_E</f>
        <v>12.5</v>
      </c>
      <c r="AC153" s="282">
        <f>120-10*P_R</f>
        <v>120</v>
      </c>
      <c r="AD153" s="283">
        <f>20 - IF(Self_Level &gt; 10, 10, Self_Level - 1)</f>
        <v>20</v>
      </c>
      <c r="AE153" s="284" t="b">
        <f>FALSE</f>
        <v>0</v>
      </c>
      <c r="AF153" s="285" t="e">
        <f ca="1">_xludf.Image("https://ddragon.leagueoflegends.com/cdn/11.19.1/img/champion/Yuumi.png")</f>
        <v>#NAME?</v>
      </c>
      <c r="AG153" s="282">
        <f ca="1">IFERROR(__xludf.DUMMYFUNCTION("IF(OR(REGEXMATCH(FORMULATEXT(U153),""HMOD""),NOT(P_Q&gt;0)),0,U153)+IF(OR(REGEXMATCH(FORMULATEXT(V153),""HMOD""),NOT(P_W&gt;0)),0,V153)+IF(OR(REGEXMATCH(FORMULATEXT(W153),""HMOD""),NOT(P_E&gt;0)),0,W153)+IF(OR(REGEXMATCH(FORMULATEXT(X153),""HMOD""),NOT(P_R&gt;0)),0,X"&amp;"153)+IF(REGEXMATCH(FORMULATEXT(Y153),""HMOD""),0,Y153)+Self_Proc_item+Self_Proc_Summ+Self_Proc_Rune+3*Self_DPS"),25)</f>
        <v>25</v>
      </c>
      <c r="AH153" s="282">
        <f t="shared" si="8"/>
        <v>0</v>
      </c>
      <c r="AI153" s="282" t="b">
        <f t="shared" si="367"/>
        <v>0</v>
      </c>
      <c r="AJ153" s="283" t="b">
        <f t="shared" si="512"/>
        <v>0</v>
      </c>
    </row>
    <row r="154" spans="1:36">
      <c r="A154" s="301" t="s">
        <v>339</v>
      </c>
      <c r="B154" s="282">
        <f>685</f>
        <v>685</v>
      </c>
      <c r="C154" s="282">
        <f>109</f>
        <v>109</v>
      </c>
      <c r="D154" s="282">
        <f>8</f>
        <v>8</v>
      </c>
      <c r="E154" s="302">
        <f>0.5</f>
        <v>0.5</v>
      </c>
      <c r="F154" s="282">
        <f t="shared" ref="F154:I154" si="514">0</f>
        <v>0</v>
      </c>
      <c r="G154" s="282">
        <f t="shared" si="514"/>
        <v>0</v>
      </c>
      <c r="H154" s="282">
        <f t="shared" si="514"/>
        <v>0</v>
      </c>
      <c r="I154" s="302">
        <f t="shared" si="514"/>
        <v>0</v>
      </c>
      <c r="J154" s="303">
        <f>60</f>
        <v>60</v>
      </c>
      <c r="K154" s="282">
        <f t="shared" ref="K154:K155" si="515">3.4</f>
        <v>3.4</v>
      </c>
      <c r="L154" s="304">
        <f>0.736</f>
        <v>0.73599999999999999</v>
      </c>
      <c r="M154" s="304">
        <f>0.638</f>
        <v>0.63800000000000001</v>
      </c>
      <c r="N154" s="305">
        <f>1.6%</f>
        <v>1.6E-2</v>
      </c>
      <c r="O154" s="288">
        <f>33</f>
        <v>33</v>
      </c>
      <c r="P154" s="282">
        <f t="shared" ref="P154:P155" si="516">4.7</f>
        <v>4.7</v>
      </c>
      <c r="Q154" s="282">
        <f>32</f>
        <v>32</v>
      </c>
      <c r="R154" s="302">
        <f t="shared" ref="R154:R155" si="517">2.05</f>
        <v>2.0499999999999998</v>
      </c>
      <c r="S154" s="285">
        <f>340</f>
        <v>340</v>
      </c>
      <c r="T154" s="286">
        <f>175</f>
        <v>175</v>
      </c>
      <c r="U154" s="295" t="e">
        <f ca="1">(0.6*Self_AP+30*P_Q+50+0.08*Self_MHP)*MOD_Magic</f>
        <v>#NAME?</v>
      </c>
      <c r="V154" s="296" t="e">
        <f ca="1">(20 + 15 * P_W + (0.03 + 0.01 * P_W + 0.0003 * Self_AP) * E_MHP) * MOD_Magic</f>
        <v>#NAME?</v>
      </c>
      <c r="W154" s="296" t="e">
        <f ca="1">(0.8 * Self_AP + 50 * P_E + 10) * MOD_Magic</f>
        <v>#NAME?</v>
      </c>
      <c r="X154" s="296" t="e">
        <f ca="1">IF(Steroid_R,2.5,1)*(0.4*Self_AP+70*P_R+70)*MOD_Magic</f>
        <v>#NAME?</v>
      </c>
      <c r="Y154" s="297">
        <f>0</f>
        <v>0</v>
      </c>
      <c r="Z154" s="284">
        <f>15.5- 1.5 * P_Q</f>
        <v>15.5</v>
      </c>
      <c r="AA154" s="285">
        <f>5</f>
        <v>5</v>
      </c>
      <c r="AB154" s="285">
        <f>27-3*P_E</f>
        <v>27</v>
      </c>
      <c r="AC154" s="285">
        <f>145 - 15 * P_R</f>
        <v>145</v>
      </c>
      <c r="AD154" s="286">
        <f>300</f>
        <v>300</v>
      </c>
      <c r="AE154" s="284" t="b">
        <f t="shared" ref="AE154:AE155" si="518">TRUE</f>
        <v>1</v>
      </c>
      <c r="AF154" s="285" t="e">
        <f ca="1">_xludf.Image("https://ddragon.leagueoflegends.com/cdn/11.19.1/img/champion/Zac.png")</f>
        <v>#NAME?</v>
      </c>
      <c r="AG154" s="282">
        <f ca="1">IFERROR(__xludf.DUMMYFUNCTION("IF(OR(REGEXMATCH(FORMULATEXT(U154),""HMOD""),NOT(P_Q&gt;0)),0,U154)+IF(OR(REGEXMATCH(FORMULATEXT(V154),""HMOD""),NOT(P_W&gt;0)),0,V154)+IF(OR(REGEXMATCH(FORMULATEXT(W154),""HMOD""),NOT(P_E&gt;0)),0,W154)+IF(OR(REGEXMATCH(FORMULATEXT(X154),""HMOD""),NOT(P_R&gt;0)),0,X"&amp;"154)+IF(REGEXMATCH(FORMULATEXT(Y154),""HMOD""),0,Y154)+Self_Proc_item+Self_Proc_Summ+Self_Proc_Rune+3*Self_DPS"),0)</f>
        <v>0</v>
      </c>
      <c r="AH154" s="282">
        <f t="shared" si="8"/>
        <v>0</v>
      </c>
      <c r="AI154" s="282" t="b">
        <f t="shared" si="367"/>
        <v>0</v>
      </c>
      <c r="AJ154" s="283" t="b">
        <f>TRUE</f>
        <v>1</v>
      </c>
    </row>
    <row r="155" spans="1:36">
      <c r="A155" s="301" t="s">
        <v>340</v>
      </c>
      <c r="B155" s="282">
        <f>654</f>
        <v>654</v>
      </c>
      <c r="C155" s="282">
        <f>99</f>
        <v>99</v>
      </c>
      <c r="D155" s="282">
        <f t="shared" ref="D155:D156" si="519">6.5</f>
        <v>6.5</v>
      </c>
      <c r="E155" s="302">
        <f>0.65</f>
        <v>0.65</v>
      </c>
      <c r="F155" s="282">
        <f>200</f>
        <v>200</v>
      </c>
      <c r="G155" s="282">
        <f>0</f>
        <v>0</v>
      </c>
      <c r="H155" s="282">
        <f>50</f>
        <v>50</v>
      </c>
      <c r="I155" s="302">
        <f>0</f>
        <v>0</v>
      </c>
      <c r="J155" s="303">
        <f>63</f>
        <v>63</v>
      </c>
      <c r="K155" s="282">
        <f t="shared" si="515"/>
        <v>3.4</v>
      </c>
      <c r="L155" s="304">
        <f t="shared" ref="L155:M155" si="520">0.651</f>
        <v>0.65100000000000002</v>
      </c>
      <c r="M155" s="304">
        <f t="shared" si="520"/>
        <v>0.65100000000000002</v>
      </c>
      <c r="N155" s="305">
        <f>3.3%</f>
        <v>3.3000000000000002E-2</v>
      </c>
      <c r="O155" s="288">
        <f>32</f>
        <v>32</v>
      </c>
      <c r="P155" s="282">
        <f t="shared" si="516"/>
        <v>4.7</v>
      </c>
      <c r="Q155" s="282">
        <f>29</f>
        <v>29</v>
      </c>
      <c r="R155" s="302">
        <f t="shared" si="517"/>
        <v>2.0499999999999998</v>
      </c>
      <c r="S155" s="285">
        <f>345</f>
        <v>345</v>
      </c>
      <c r="T155" s="286">
        <f>125</f>
        <v>125</v>
      </c>
      <c r="U155" s="281" t="e">
        <f ca="1">(Self_BoAD * 1.1 + 35 * P_Q + 35) * MOD_Phys</f>
        <v>#NAME?</v>
      </c>
      <c r="V155" s="282">
        <f>0</f>
        <v>0</v>
      </c>
      <c r="W155" s="282" t="e">
        <f ca="1">(0.65 * Self_BoAD + 20 * P_E + 45) * MOD_Phys</f>
        <v>#NAME?</v>
      </c>
      <c r="X155" s="282" t="e">
        <f ca="1">(Self_AD * 0.65 + (Self_AD + U155 + W155) * (0.1 + 0.15 * P_R))</f>
        <v>#NAME?</v>
      </c>
      <c r="Y155" s="283" t="e">
        <f ca="1">(IF(Self_Level&gt;=17,0.1,IF(Self_Level&gt;=7,0.08,0.06))*E_MHP)*MOD_Magic</f>
        <v>#NAME?</v>
      </c>
      <c r="Z155" s="284">
        <f>6</f>
        <v>6</v>
      </c>
      <c r="AA155" s="285">
        <f>21.5 - 1.5*P_W</f>
        <v>21.5</v>
      </c>
      <c r="AB155" s="285">
        <f>5.5-0.5*P_E</f>
        <v>5.5</v>
      </c>
      <c r="AC155" s="285">
        <f>140 - 20 * P_R</f>
        <v>140</v>
      </c>
      <c r="AD155" s="286">
        <f>1</f>
        <v>1</v>
      </c>
      <c r="AE155" s="284" t="b">
        <f t="shared" si="518"/>
        <v>1</v>
      </c>
      <c r="AF155" s="285" t="e">
        <f ca="1">_xludf.Image("https://ddragon.leagueoflegends.com/cdn/11.19.1/img/champion/Zed.png")</f>
        <v>#NAME?</v>
      </c>
      <c r="AG155" s="282">
        <f ca="1">IFERROR(__xludf.DUMMYFUNCTION("IF(OR(REGEXMATCH(FORMULATEXT(U155),""HMOD""),NOT(P_Q&gt;0)),0,U155)+IF(OR(REGEXMATCH(FORMULATEXT(V155),""HMOD""),NOT(P_W&gt;0)),0,V155)+IF(OR(REGEXMATCH(FORMULATEXT(W155),""HMOD""),NOT(P_E&gt;0)),0,W155)+IF(OR(REGEXMATCH(FORMULATEXT(X155),""HMOD""),NOT(P_R&gt;0)),0,X"&amp;"155)+IF(REGEXMATCH(FORMULATEXT(Y155),""HMOD""),0,Y155)+Self_Proc_item+Self_Proc_Summ+Self_Proc_Rune+3*Self_DPS"),0)</f>
        <v>0</v>
      </c>
      <c r="AH155" s="282">
        <f t="shared" si="8"/>
        <v>0</v>
      </c>
      <c r="AI155" s="282" t="b">
        <f>TRUE</f>
        <v>1</v>
      </c>
      <c r="AJ155" s="283" t="b">
        <f>FALSE</f>
        <v>0</v>
      </c>
    </row>
    <row r="156" spans="1:36">
      <c r="A156" s="301" t="s">
        <v>341</v>
      </c>
      <c r="B156" s="282">
        <f>606</f>
        <v>606</v>
      </c>
      <c r="C156" s="282">
        <f>106</f>
        <v>106</v>
      </c>
      <c r="D156" s="282">
        <f t="shared" si="519"/>
        <v>6.5</v>
      </c>
      <c r="E156" s="302">
        <f>0.6</f>
        <v>0.6</v>
      </c>
      <c r="F156" s="282">
        <f>480</f>
        <v>480</v>
      </c>
      <c r="G156" s="282">
        <f>23.5</f>
        <v>23.5</v>
      </c>
      <c r="H156" s="282">
        <f>8</f>
        <v>8</v>
      </c>
      <c r="I156" s="302">
        <f t="shared" ref="I156:I157" si="521">0.8</f>
        <v>0.8</v>
      </c>
      <c r="J156" s="303">
        <f>54</f>
        <v>54</v>
      </c>
      <c r="K156" s="282">
        <f>3.1</f>
        <v>3.1</v>
      </c>
      <c r="L156" s="304">
        <f t="shared" ref="L156:M156" si="522">0.656</f>
        <v>0.65600000000000003</v>
      </c>
      <c r="M156" s="304">
        <f t="shared" si="522"/>
        <v>0.65600000000000003</v>
      </c>
      <c r="N156" s="305">
        <f>2%</f>
        <v>0.02</v>
      </c>
      <c r="O156" s="288">
        <f>22</f>
        <v>22</v>
      </c>
      <c r="P156" s="282">
        <f>4.5</f>
        <v>4.5</v>
      </c>
      <c r="Q156" s="282">
        <f t="shared" ref="Q156:Q161" si="523">30</f>
        <v>30</v>
      </c>
      <c r="R156" s="302">
        <f t="shared" ref="R156:R161" si="524">1.3</f>
        <v>1.3</v>
      </c>
      <c r="S156" s="285">
        <f>325</f>
        <v>325</v>
      </c>
      <c r="T156" s="286">
        <f t="shared" ref="T156:T158" si="525">550</f>
        <v>550</v>
      </c>
      <c r="U156" s="281" t="e">
        <f ca="1">(0.65 * Self_AP + 50 * P_Q + 45) * MOD_Magic</f>
        <v>#NAME?</v>
      </c>
      <c r="V156" s="282" t="e">
        <f ca="1">(0.5*Self_AP+35*P_W+35)*MOD_Magic</f>
        <v>#NAME?</v>
      </c>
      <c r="W156" s="282" t="e">
        <f ca="1">(0.3 * Self_AP + 40 * P_E - 10) * MOD_Magic * IF(Steroid_E, 5, 1)</f>
        <v>#NAME?</v>
      </c>
      <c r="X156" s="282" t="e">
        <f ca="1">(1.1*Self_AP+150*P_R+150)*MOD_Magic</f>
        <v>#NAME?</v>
      </c>
      <c r="Y156" s="283" t="e">
        <f ca="1">(0.5*Self_AP+16+4*Self_Level+IF(Self_Level&gt;6,2*(Self_Level-6),0)+IF(Self_Level&gt;12,4*(Self_Level-12),0))*MOD_Magic</f>
        <v>#NAME?</v>
      </c>
      <c r="Z156" s="284">
        <f>6.5 - 0.5 * P_Q</f>
        <v>6.5</v>
      </c>
      <c r="AA156" s="285">
        <f>22 - 2 * P_W</f>
        <v>22</v>
      </c>
      <c r="AB156" s="285">
        <f>16</f>
        <v>16</v>
      </c>
      <c r="AC156" s="285">
        <f>155-35*P_R</f>
        <v>155</v>
      </c>
      <c r="AD156" s="286">
        <f>12</f>
        <v>12</v>
      </c>
      <c r="AE156" s="284" t="b">
        <f t="shared" ref="AE156:AE161" si="526">FALSE</f>
        <v>0</v>
      </c>
      <c r="AF156" s="285" t="e">
        <f ca="1">_xludf.Image("https://ddragon.leagueoflegends.com/cdn/11.19.1/img/champion/Ziggs.png")</f>
        <v>#NAME?</v>
      </c>
      <c r="AG156" s="282">
        <f ca="1">IFERROR(__xludf.DUMMYFUNCTION("IF(OR(REGEXMATCH(FORMULATEXT(U156),""HMOD""),NOT(P_Q&gt;0)),0,U156)+IF(OR(REGEXMATCH(FORMULATEXT(V156),""HMOD""),NOT(P_W&gt;0)),0,V156)+IF(OR(REGEXMATCH(FORMULATEXT(W156),""HMOD""),NOT(P_E&gt;0)),0,W156)+IF(OR(REGEXMATCH(FORMULATEXT(X156),""HMOD""),NOT(P_R&gt;0)),0,X"&amp;"156)+IF(REGEXMATCH(FORMULATEXT(Y156),""HMOD""),0,Y156)+Self_Proc_item+Self_Proc_Summ+Self_Proc_Rune+3*Self_DPS"),20)</f>
        <v>20</v>
      </c>
      <c r="AH156" s="282">
        <f t="shared" si="8"/>
        <v>0</v>
      </c>
      <c r="AI156" s="282" t="b">
        <f t="shared" ref="AI156:AJ156" si="527">FALSE</f>
        <v>0</v>
      </c>
      <c r="AJ156" s="283" t="b">
        <f t="shared" si="527"/>
        <v>0</v>
      </c>
    </row>
    <row r="157" spans="1:36">
      <c r="A157" s="301" t="s">
        <v>342</v>
      </c>
      <c r="B157" s="282">
        <f>574</f>
        <v>574</v>
      </c>
      <c r="C157" s="282">
        <f>96</f>
        <v>96</v>
      </c>
      <c r="D157" s="282">
        <f>5.5</f>
        <v>5.5</v>
      </c>
      <c r="E157" s="302">
        <f>0.5</f>
        <v>0.5</v>
      </c>
      <c r="F157" s="282">
        <f>452</f>
        <v>452</v>
      </c>
      <c r="G157" s="282">
        <f>50</f>
        <v>50</v>
      </c>
      <c r="H157" s="282">
        <f>11.335</f>
        <v>11.335000000000001</v>
      </c>
      <c r="I157" s="302">
        <f t="shared" si="521"/>
        <v>0.8</v>
      </c>
      <c r="J157" s="303">
        <f>52</f>
        <v>52</v>
      </c>
      <c r="K157" s="282">
        <f>3</f>
        <v>3</v>
      </c>
      <c r="L157" s="304">
        <f t="shared" ref="L157:M157" si="528">0.625</f>
        <v>0.625</v>
      </c>
      <c r="M157" s="304">
        <f t="shared" si="528"/>
        <v>0.625</v>
      </c>
      <c r="N157" s="305">
        <f>2.13%</f>
        <v>2.1299999999999999E-2</v>
      </c>
      <c r="O157" s="288">
        <f>24</f>
        <v>24</v>
      </c>
      <c r="P157" s="282">
        <f>5</f>
        <v>5</v>
      </c>
      <c r="Q157" s="282">
        <f t="shared" si="523"/>
        <v>30</v>
      </c>
      <c r="R157" s="302">
        <f t="shared" si="524"/>
        <v>1.3</v>
      </c>
      <c r="S157" s="285">
        <f>335</f>
        <v>335</v>
      </c>
      <c r="T157" s="286">
        <f t="shared" si="525"/>
        <v>550</v>
      </c>
      <c r="U157" s="310" t="e">
        <f ca="1">(0.9*Self_AP+55*P_Q+25)*MOD_Magic</f>
        <v>#NAME?</v>
      </c>
      <c r="V157" s="311">
        <f t="shared" ref="V157:W157" si="529">0</f>
        <v>0</v>
      </c>
      <c r="W157" s="282">
        <f t="shared" si="529"/>
        <v>0</v>
      </c>
      <c r="X157" s="282">
        <f>(2*Self_AP+250*P_R+350)</f>
        <v>350</v>
      </c>
      <c r="Y157" s="283">
        <f>0</f>
        <v>0</v>
      </c>
      <c r="Z157" s="284">
        <f>10.5-0.5*P_Q</f>
        <v>10.5</v>
      </c>
      <c r="AA157" s="285">
        <f>16-2*P_W</f>
        <v>16</v>
      </c>
      <c r="AB157" s="285">
        <f>15</f>
        <v>15</v>
      </c>
      <c r="AC157" s="285">
        <f>150-30*P_R</f>
        <v>150</v>
      </c>
      <c r="AD157" s="286">
        <f>120</f>
        <v>120</v>
      </c>
      <c r="AE157" s="284" t="b">
        <f t="shared" si="526"/>
        <v>0</v>
      </c>
      <c r="AF157" s="285" t="e">
        <f ca="1">_xludf.Image("https://ddragon.leagueoflegends.com/cdn/11.19.1/img/champion/Zilean.png")</f>
        <v>#NAME?</v>
      </c>
      <c r="AG157" s="282">
        <f ca="1">IFERROR(__xludf.DUMMYFUNCTION("IF(OR(REGEXMATCH(FORMULATEXT(U157),""HMOD""),NOT(P_Q&gt;0)),0,U157)+IF(OR(REGEXMATCH(FORMULATEXT(V157),""HMOD""),NOT(P_W&gt;0)),0,V157)+IF(OR(REGEXMATCH(FORMULATEXT(W157),""HMOD""),NOT(P_E&gt;0)),0,W157)+IF(OR(REGEXMATCH(FORMULATEXT(X157),""HMOD""),NOT(P_R&gt;0)),0,X"&amp;"157)+IF(REGEXMATCH(FORMULATEXT(Y157),""HMOD""),0,Y157)+Self_Proc_item+Self_Proc_Summ+Self_Proc_Rune+3*Self_DPS"),0)</f>
        <v>0</v>
      </c>
      <c r="AH157" s="282">
        <f t="shared" si="8"/>
        <v>0</v>
      </c>
      <c r="AI157" s="282" t="b">
        <f t="shared" ref="AI157:AJ157" si="530">FALSE</f>
        <v>0</v>
      </c>
      <c r="AJ157" s="283" t="b">
        <f t="shared" si="530"/>
        <v>0</v>
      </c>
    </row>
    <row r="158" spans="1:36">
      <c r="A158" s="301" t="s">
        <v>343</v>
      </c>
      <c r="B158" s="282">
        <f>630</f>
        <v>630</v>
      </c>
      <c r="C158" s="282">
        <f>106</f>
        <v>106</v>
      </c>
      <c r="D158" s="282">
        <f>6.5</f>
        <v>6.5</v>
      </c>
      <c r="E158" s="302">
        <f>0.6</f>
        <v>0.6</v>
      </c>
      <c r="F158" s="282">
        <f>425</f>
        <v>425</v>
      </c>
      <c r="G158" s="282">
        <f t="shared" ref="G158:G159" si="531">25</f>
        <v>25</v>
      </c>
      <c r="H158" s="282">
        <f>8</f>
        <v>8</v>
      </c>
      <c r="I158" s="302">
        <f>0.65</f>
        <v>0.65</v>
      </c>
      <c r="J158" s="303">
        <f>58</f>
        <v>58</v>
      </c>
      <c r="K158" s="282">
        <f>3.3</f>
        <v>3.3</v>
      </c>
      <c r="L158" s="304">
        <f t="shared" ref="L158:M158" si="532">0.625</f>
        <v>0.625</v>
      </c>
      <c r="M158" s="304">
        <f t="shared" si="532"/>
        <v>0.625</v>
      </c>
      <c r="N158" s="305">
        <f>2.5%</f>
        <v>2.5000000000000001E-2</v>
      </c>
      <c r="O158" s="288">
        <f>21</f>
        <v>21</v>
      </c>
      <c r="P158" s="282">
        <f>4.7</f>
        <v>4.7</v>
      </c>
      <c r="Q158" s="282">
        <f t="shared" si="523"/>
        <v>30</v>
      </c>
      <c r="R158" s="302">
        <f t="shared" si="524"/>
        <v>1.3</v>
      </c>
      <c r="S158" s="285">
        <f t="shared" ref="S158:S159" si="533">340</f>
        <v>340</v>
      </c>
      <c r="T158" s="286">
        <f t="shared" si="525"/>
        <v>550</v>
      </c>
      <c r="U158" s="281" t="e">
        <f ca="1">IF(Steroid_Q,2.5,1)*(20+30*P_Q+0.6*Self_AP+6+Self_Level+IF(Self_Level&gt;2,Self_Level-2,0)+IF(Self_Level&gt;11,Self_Level-11,0)+IF(Self_Level&gt;15,Self_Level-15,0))*MOD_Magic</f>
        <v>#NAME?</v>
      </c>
      <c r="V158" s="282" t="e">
        <f ca="1">(0.4*Self_AP+30*P_W+45)*MOD_Magic</f>
        <v>#NAME?</v>
      </c>
      <c r="W158" s="282" t="e">
        <f ca="1">(0.45 * Self_AP + 40 * P_E + 30) * MOD_Magic + (0.45 * Self_AP + 40 * P_E + 30) * MOD_True</f>
        <v>#NAME?</v>
      </c>
      <c r="X158" s="282">
        <f>0</f>
        <v>0</v>
      </c>
      <c r="Y158" s="283" t="e">
        <f ca="1">(0.2*Self_AP+12+4*Self_Level+IF(Self_Level&gt;6,2*(Self_Level-6),0)+IF(Self_Level&gt;11,2*(Self_Level-11),0)+IF(Self_Level&gt;14,2*(Self_Level-14),0))*MOD_Magic</f>
        <v>#NAME?</v>
      </c>
      <c r="Z158" s="284">
        <f>9-0.5*P_Q</f>
        <v>9</v>
      </c>
      <c r="AA158" s="285">
        <f>0.25</f>
        <v>0.25</v>
      </c>
      <c r="AB158" s="282">
        <f>17 - P_E</f>
        <v>17</v>
      </c>
      <c r="AC158" s="285">
        <f>14-3*P_R</f>
        <v>14</v>
      </c>
      <c r="AD158" s="286">
        <f>1</f>
        <v>1</v>
      </c>
      <c r="AE158" s="284" t="b">
        <f t="shared" si="526"/>
        <v>0</v>
      </c>
      <c r="AF158" s="285" t="e">
        <f ca="1">_xludf.Image("https://ddragon.leagueoflegends.com/cdn/11.19.1/img/champion/Zoe.png")</f>
        <v>#NAME?</v>
      </c>
      <c r="AG158" s="282">
        <f ca="1">IFERROR(__xludf.DUMMYFUNCTION("IF(OR(REGEXMATCH(FORMULATEXT(U158),""HMOD""),NOT(P_Q&gt;0)),0,U158)+IF(OR(REGEXMATCH(FORMULATEXT(V158),""HMOD""),NOT(P_W&gt;0)),0,V158)+IF(OR(REGEXMATCH(FORMULATEXT(W158),""HMOD""),NOT(P_E&gt;0)),0,W158)+IF(OR(REGEXMATCH(FORMULATEXT(X158),""HMOD""),NOT(P_R&gt;0)),0,X"&amp;"158)+IF(REGEXMATCH(FORMULATEXT(Y158),""HMOD""),0,Y158)+Self_Proc_item+Self_Proc_Summ+Self_Proc_Rune+3*Self_DPS"),16)</f>
        <v>16</v>
      </c>
      <c r="AH158" s="282">
        <f t="shared" si="8"/>
        <v>0</v>
      </c>
      <c r="AI158" s="282" t="b">
        <f t="shared" ref="AI158:AJ158" si="534">FALSE</f>
        <v>0</v>
      </c>
      <c r="AJ158" s="283" t="b">
        <f t="shared" si="534"/>
        <v>0</v>
      </c>
    </row>
    <row r="159" spans="1:36">
      <c r="A159" s="301" t="s">
        <v>344</v>
      </c>
      <c r="B159" s="282">
        <f>574</f>
        <v>574</v>
      </c>
      <c r="C159" s="282">
        <f>93</f>
        <v>93</v>
      </c>
      <c r="D159" s="282">
        <f>5.5</f>
        <v>5.5</v>
      </c>
      <c r="E159" s="302">
        <f>0.5</f>
        <v>0.5</v>
      </c>
      <c r="F159" s="282">
        <f>418</f>
        <v>418</v>
      </c>
      <c r="G159" s="282">
        <f t="shared" si="531"/>
        <v>25</v>
      </c>
      <c r="H159" s="282">
        <f>13</f>
        <v>13</v>
      </c>
      <c r="I159" s="302">
        <f>0.4</f>
        <v>0.4</v>
      </c>
      <c r="J159" s="303">
        <f t="shared" ref="J159:J160" si="535">53</f>
        <v>53</v>
      </c>
      <c r="K159" s="282">
        <f>3.2</f>
        <v>3.2</v>
      </c>
      <c r="L159" s="304">
        <f t="shared" ref="L159:M159" si="536">0.625</f>
        <v>0.625</v>
      </c>
      <c r="M159" s="304">
        <f t="shared" si="536"/>
        <v>0.625</v>
      </c>
      <c r="N159" s="305">
        <f>2.11%</f>
        <v>2.1099999999999997E-2</v>
      </c>
      <c r="O159" s="288">
        <f>29</f>
        <v>29</v>
      </c>
      <c r="P159" s="282">
        <f t="shared" ref="P159:P160" si="537">4.2</f>
        <v>4.2</v>
      </c>
      <c r="Q159" s="282">
        <f t="shared" si="523"/>
        <v>30</v>
      </c>
      <c r="R159" s="302">
        <f t="shared" si="524"/>
        <v>1.3</v>
      </c>
      <c r="S159" s="285">
        <f t="shared" si="533"/>
        <v>340</v>
      </c>
      <c r="T159" s="286">
        <f>575</f>
        <v>575</v>
      </c>
      <c r="U159" s="281" t="e">
        <f ca="1">(0.6*Self_AP+35*P_Q+25)*MOD_Magic</f>
        <v>#NAME?</v>
      </c>
      <c r="V159" s="282">
        <f>0</f>
        <v>0</v>
      </c>
      <c r="W159" s="282" t="e">
        <f ca="1">(45*P_E+15+0.5*Self_AP)*MOD_Magic</f>
        <v>#NAME?</v>
      </c>
      <c r="X159" s="282" t="e">
        <f ca="1">(0.7*Self_AP+85*P_R+95)*MOD_Magic</f>
        <v>#NAME?</v>
      </c>
      <c r="Y159" s="283" t="e">
        <f ca="1">(20+80*Sc_Lin+0.15*Self_AP)*MOD_Magic</f>
        <v>#NAME?</v>
      </c>
      <c r="Z159" s="284">
        <f>7.5-0.5*P_Q</f>
        <v>7.5</v>
      </c>
      <c r="AA159" s="285">
        <f>20-2*P_W</f>
        <v>20</v>
      </c>
      <c r="AB159" s="285">
        <f>12</f>
        <v>12</v>
      </c>
      <c r="AC159" s="285">
        <f>120-10*P_R</f>
        <v>120</v>
      </c>
      <c r="AD159" s="286">
        <f>8</f>
        <v>8</v>
      </c>
      <c r="AE159" s="284" t="b">
        <f t="shared" si="526"/>
        <v>0</v>
      </c>
      <c r="AF159" s="285" t="e">
        <f ca="1">_xludf.Image("https://ddragon.leagueoflegends.com/cdn/11.19.1/img/champion/Zyra.png")</f>
        <v>#NAME?</v>
      </c>
      <c r="AG159" s="282">
        <f ca="1">IFERROR(__xludf.DUMMYFUNCTION("IF(OR(REGEXMATCH(FORMULATEXT(U159),""HMOD""),NOT(P_Q&gt;0)),0,U159)+IF(OR(REGEXMATCH(FORMULATEXT(V159),""HMOD""),NOT(P_W&gt;0)),0,V159)+IF(OR(REGEXMATCH(FORMULATEXT(W159),""HMOD""),NOT(P_E&gt;0)),0,W159)+IF(OR(REGEXMATCH(FORMULATEXT(X159),""HMOD""),NOT(P_R&gt;0)),0,X"&amp;"159)+IF(REGEXMATCH(FORMULATEXT(Y159),""HMOD""),0,Y159)+Self_Proc_item+Self_Proc_Summ+Self_Proc_Rune+3*Self_DPS"),20)</f>
        <v>20</v>
      </c>
      <c r="AH159" s="282">
        <f t="shared" si="8"/>
        <v>0</v>
      </c>
      <c r="AI159" s="282" t="b">
        <f t="shared" ref="AI159:AJ159" si="538">FALSE</f>
        <v>0</v>
      </c>
      <c r="AJ159" s="283" t="b">
        <f t="shared" si="538"/>
        <v>0</v>
      </c>
    </row>
    <row r="160" spans="1:36">
      <c r="A160" s="301" t="s">
        <v>345</v>
      </c>
      <c r="B160" s="282">
        <f>630</f>
        <v>630</v>
      </c>
      <c r="C160" s="282">
        <f>100</f>
        <v>100</v>
      </c>
      <c r="D160" s="282">
        <f>3.25</f>
        <v>3.25</v>
      </c>
      <c r="E160" s="302">
        <f>0.7</f>
        <v>0.7</v>
      </c>
      <c r="F160" s="282">
        <f>250</f>
        <v>250</v>
      </c>
      <c r="G160" s="282">
        <f>45</f>
        <v>45</v>
      </c>
      <c r="H160" s="282">
        <f>6</f>
        <v>6</v>
      </c>
      <c r="I160" s="302">
        <f>0.8</f>
        <v>0.8</v>
      </c>
      <c r="J160" s="303">
        <f t="shared" si="535"/>
        <v>53</v>
      </c>
      <c r="K160" s="282">
        <f>1.3</f>
        <v>1.3</v>
      </c>
      <c r="L160" s="304">
        <f>0.658</f>
        <v>0.65800000000000003</v>
      </c>
      <c r="M160" s="304">
        <f>0.625</f>
        <v>0.625</v>
      </c>
      <c r="N160" s="305">
        <f>2%</f>
        <v>0.02</v>
      </c>
      <c r="O160" s="288">
        <f>24</f>
        <v>24</v>
      </c>
      <c r="P160" s="282">
        <f t="shared" si="537"/>
        <v>4.2</v>
      </c>
      <c r="Q160" s="282">
        <f t="shared" si="523"/>
        <v>30</v>
      </c>
      <c r="R160" s="302">
        <f t="shared" si="524"/>
        <v>1.3</v>
      </c>
      <c r="S160" s="285">
        <f>335</f>
        <v>335</v>
      </c>
      <c r="T160" s="286">
        <f>500</f>
        <v>500</v>
      </c>
      <c r="U160" s="281" t="e">
        <f ca="1">(13 + 2 * P_Q + (1 + 0.04 * P_Q) * Self_AD) * MOD_Hit * IF(Calc!C49, 1, (1 + Self_Crit * (Self_CritDMG - 1))) + (OH_Phys + OH_Magic + OH_True) * MOD_OH + IT_Proc_Energy * (Self_AS / 17) * MOD_Magic + Calc!O34 * (Self_AS / 3)</f>
        <v>#NAME?</v>
      </c>
      <c r="V160" s="282" t="e">
        <f ca="1">(-20 + 40 * P_W + 1.3 * Self_AD + 0.25 * Self_AP) * MOD_Phys * IF(Steroid_W, Self_CritDMG, 1)</f>
        <v>#NAME?</v>
      </c>
      <c r="W160" s="282">
        <f>0</f>
        <v>0</v>
      </c>
      <c r="X160" s="282">
        <f>(75 + 100 * P_R + 0.85 * Self_BoAD + 1.1 * Self_AP)</f>
        <v>75</v>
      </c>
      <c r="Y160" s="283">
        <f>0</f>
        <v>0</v>
      </c>
      <c r="Z160" s="308" t="e">
        <f>(1 / Self_AS) * (1 + Self_AH)</f>
        <v>#DIV/0!</v>
      </c>
      <c r="AA160" s="282">
        <f>13-P_E</f>
        <v>13</v>
      </c>
      <c r="AB160" s="285">
        <f>23-1*P_E</f>
        <v>23</v>
      </c>
      <c r="AC160" s="285">
        <f>115-15*P_R</f>
        <v>115</v>
      </c>
      <c r="AD160" s="286">
        <f>1</f>
        <v>1</v>
      </c>
      <c r="AE160" s="284" t="b">
        <f t="shared" si="526"/>
        <v>0</v>
      </c>
      <c r="AF160" s="285" t="e">
        <f ca="1">_xludf.Image("https://ddragon.leagueoflegends.com/cdn/12.2.1/img/champion/Zeri.png")</f>
        <v>#NAME?</v>
      </c>
      <c r="AG160" s="282">
        <f ca="1">IFERROR(__xludf.DUMMYFUNCTION("IF(OR(REGEXMATCH(FORMULATEXT(U160),""HMOD""),NOT(P_Q&gt;0)),0,U160) * 3+IF(OR(REGEXMATCH(FORMULATEXT(V160),""HMOD""),NOT(P_W&gt;0)),0,V160)+IF(OR(REGEXMATCH(FORMULATEXT(W160),""HMOD""),NOT(P_E&gt;0)),0,W160)+IF(OR(REGEXMATCH(FORMULATEXT(X160),""HMOD""),NOT(P_R&gt;0))"&amp;",0,X160)+IF(REGEXMATCH(FORMULATEXT(Y160),""HMOD""),0,Y160)+Self_Proc_item+Self_Proc_Summ+Self_Proc_Rune+Self_DPS"),0)</f>
        <v>0</v>
      </c>
      <c r="AH160" s="282">
        <f t="shared" si="8"/>
        <v>0</v>
      </c>
      <c r="AI160" s="312" t="b">
        <f t="shared" ref="AI160:AJ160" si="539">FALSE</f>
        <v>0</v>
      </c>
      <c r="AJ160" s="313" t="b">
        <f t="shared" si="539"/>
        <v>0</v>
      </c>
    </row>
    <row r="161" spans="1:36">
      <c r="A161" s="301" t="s">
        <v>346</v>
      </c>
      <c r="B161" s="282">
        <f>555</f>
        <v>555</v>
      </c>
      <c r="C161" s="282">
        <f>94</f>
        <v>94</v>
      </c>
      <c r="D161" s="282">
        <f>5.5</f>
        <v>5.5</v>
      </c>
      <c r="E161" s="302">
        <f>0.55</f>
        <v>0.55000000000000004</v>
      </c>
      <c r="F161" s="282">
        <f>350</f>
        <v>350</v>
      </c>
      <c r="G161" s="282">
        <f>50</f>
        <v>50</v>
      </c>
      <c r="H161" s="282">
        <f>11.5</f>
        <v>11.5</v>
      </c>
      <c r="I161" s="302">
        <f>0.5</f>
        <v>0.5</v>
      </c>
      <c r="J161" s="303">
        <f>49</f>
        <v>49</v>
      </c>
      <c r="K161" s="282">
        <f>3</f>
        <v>3</v>
      </c>
      <c r="L161" s="304">
        <f t="shared" ref="L161:M161" si="540">0.625</f>
        <v>0.625</v>
      </c>
      <c r="M161" s="304">
        <f t="shared" si="540"/>
        <v>0.625</v>
      </c>
      <c r="N161" s="305">
        <f>2.11%</f>
        <v>2.1099999999999997E-2</v>
      </c>
      <c r="O161" s="288">
        <f>27</f>
        <v>27</v>
      </c>
      <c r="P161" s="282">
        <f t="shared" ref="P161:P162" si="541">4.7</f>
        <v>4.7</v>
      </c>
      <c r="Q161" s="282">
        <f t="shared" si="523"/>
        <v>30</v>
      </c>
      <c r="R161" s="302">
        <f t="shared" si="524"/>
        <v>1.3</v>
      </c>
      <c r="S161" s="285">
        <f>330</f>
        <v>330</v>
      </c>
      <c r="T161" s="286">
        <f>550</f>
        <v>550</v>
      </c>
      <c r="U161" s="281" t="e">
        <f ca="1">(35 + 45 * P_Q + 0.8 * Self_AP) * MOD_Magic</f>
        <v>#NAME?</v>
      </c>
      <c r="V161" s="282">
        <f>5 + 5 * P_W + 0.01 * Self_AP</f>
        <v>5</v>
      </c>
      <c r="W161" s="282" t="e">
        <f ca="1">(35 + 30 * P_E + 0.55 * Self_AP) * MOD_Magic</f>
        <v>#NAME?</v>
      </c>
      <c r="X161" s="282">
        <f>0</f>
        <v>0</v>
      </c>
      <c r="Y161" s="283" t="e">
        <f ca="1">((0.01 + 0.01 * (IF(Self_Level - 1 &gt; 8, 8, Self_Level - 1) / 8) + 0.0002 * Self_AP) * E_MHP) * MOD_Magic</f>
        <v>#NAME?</v>
      </c>
      <c r="Z161" s="284">
        <f>16</f>
        <v>16</v>
      </c>
      <c r="AA161" s="285">
        <f>29-1*P_W</f>
        <v>29</v>
      </c>
      <c r="AB161" s="282">
        <f>15-P_E</f>
        <v>15</v>
      </c>
      <c r="AC161" s="285">
        <f>170-20*P_R</f>
        <v>170</v>
      </c>
      <c r="AD161" s="286">
        <f>6</f>
        <v>6</v>
      </c>
      <c r="AE161" s="284" t="b">
        <f t="shared" si="526"/>
        <v>0</v>
      </c>
      <c r="AF161" s="285" t="e">
        <f ca="1">_xludf.Image("https://ddragon.leagueoflegends.com/cdn/12.4.1/img/champion/Renata.png")</f>
        <v>#NAME?</v>
      </c>
      <c r="AG161" s="282">
        <f ca="1">IFERROR(__xludf.DUMMYFUNCTION("IF(OR(REGEXMATCH(FORMULATEXT(U161),""HMOD""),NOT(P_Q&gt;0)),0,U161) * 3+IF(OR(REGEXMATCH(FORMULATEXT(V161),""HMOD""),NOT(P_W&gt;0)),0,V161)+IF(OR(REGEXMATCH(FORMULATEXT(W161),""HMOD""),NOT(P_E&gt;0)),0,W161)+IF(OR(REGEXMATCH(FORMULATEXT(X161),""HMOD""),NOT(P_R&gt;0))"&amp;",0,X161)+IF(REGEXMATCH(FORMULATEXT(Y161),""HMOD""),0,Y161)+Self_Proc_item+Self_Proc_Summ+Self_Proc_Rune+Self_DPS"),0)</f>
        <v>0</v>
      </c>
      <c r="AH161" s="282">
        <f t="shared" si="8"/>
        <v>0</v>
      </c>
      <c r="AI161" s="312" t="b">
        <f t="shared" ref="AI161:AJ161" si="542">FALSE</f>
        <v>0</v>
      </c>
      <c r="AJ161" s="313" t="b">
        <f t="shared" si="542"/>
        <v>0</v>
      </c>
    </row>
    <row r="162" spans="1:36">
      <c r="A162" s="301" t="s">
        <v>347</v>
      </c>
      <c r="B162" s="282">
        <f>610</f>
        <v>610</v>
      </c>
      <c r="C162" s="282">
        <f>99</f>
        <v>99</v>
      </c>
      <c r="D162" s="282">
        <f>6</f>
        <v>6</v>
      </c>
      <c r="E162" s="302">
        <f>0.6</f>
        <v>0.6</v>
      </c>
      <c r="F162" s="282">
        <f t="shared" ref="F162:I162" si="543">0</f>
        <v>0</v>
      </c>
      <c r="G162" s="282">
        <f t="shared" si="543"/>
        <v>0</v>
      </c>
      <c r="H162" s="282">
        <f t="shared" si="543"/>
        <v>0</v>
      </c>
      <c r="I162" s="302">
        <f t="shared" si="543"/>
        <v>0</v>
      </c>
      <c r="J162" s="303">
        <f>60</f>
        <v>60</v>
      </c>
      <c r="K162" s="282">
        <f>1.5</f>
        <v>1.5</v>
      </c>
      <c r="L162" s="304">
        <f t="shared" ref="L162:M162" si="544">0.85</f>
        <v>0.85</v>
      </c>
      <c r="M162" s="304">
        <f t="shared" si="544"/>
        <v>0.85</v>
      </c>
      <c r="N162" s="305">
        <f>0</f>
        <v>0</v>
      </c>
      <c r="O162" s="288">
        <f>32</f>
        <v>32</v>
      </c>
      <c r="P162" s="282">
        <f t="shared" si="541"/>
        <v>4.7</v>
      </c>
      <c r="Q162" s="282">
        <f t="shared" ref="Q162:Q163" si="545">32</f>
        <v>32</v>
      </c>
      <c r="R162" s="302">
        <f t="shared" ref="R162:R163" si="546">2.05</f>
        <v>2.0499999999999998</v>
      </c>
      <c r="S162" s="285">
        <f t="shared" ref="S162:S163" si="547">340</f>
        <v>340</v>
      </c>
      <c r="T162" s="286">
        <f>175 + IF(Steroid_Form,50)</f>
        <v>175</v>
      </c>
      <c r="U162" s="281" t="e">
        <f ca="1">(5 + 5 * P_Q + 1.1 * Self_AD) * MOD_Phys + (OH_Phys + OH_True + OH_Magic) * 0.75</f>
        <v>#NAME?</v>
      </c>
      <c r="V162" s="282" t="e">
        <f ca="1">(30 + 40 * P_W + Self_BoAD + 1.25 * Self_AP) * MOD_Magic</f>
        <v>#NAME?</v>
      </c>
      <c r="W162" s="282">
        <v>36</v>
      </c>
      <c r="X162" s="282">
        <f>(100 + 50 * P_R + Self_AP + 0.25 * E_MisHPV) * MOD_True</f>
        <v>100</v>
      </c>
      <c r="Y162" s="283">
        <f t="shared" ref="Y162:Y163" si="548">0</f>
        <v>0</v>
      </c>
      <c r="Z162" s="284">
        <f>((17-P_Q) * (1 + Self_AH)) / (1 + 0.25 * Self_BoAS)</f>
        <v>17</v>
      </c>
      <c r="AA162" s="282">
        <f>13-P_W</f>
        <v>13</v>
      </c>
      <c r="AB162" s="285">
        <f>25.5-1.5*P_E</f>
        <v>25.5</v>
      </c>
      <c r="AC162" s="285">
        <f t="shared" ref="AC162:AD162" si="549">1</f>
        <v>1</v>
      </c>
      <c r="AD162" s="286">
        <f t="shared" si="549"/>
        <v>1</v>
      </c>
      <c r="AE162" s="284" t="b">
        <f t="shared" ref="AE162:AE164" si="550">TRUE</f>
        <v>1</v>
      </c>
      <c r="AF162" s="285" t="e">
        <f ca="1">_xludf.Image("https://ddragon.leagueoflegends.com/cdn/12.11.1/img/champion/Belveth.png")</f>
        <v>#NAME?</v>
      </c>
      <c r="AG162" s="282">
        <f ca="1">IFERROR(__xludf.DUMMYFUNCTION("IF(OR(REGEXMATCH(FORMULATEXT(U162),""HMOD""),NOT(P_Q&gt;0)),0,U162) * 3+IF(OR(REGEXMATCH(FORMULATEXT(V162),""HMOD""),NOT(P_W&gt;0)),0,V162)+IF(OR(REGEXMATCH(FORMULATEXT(W162),""HMOD""),NOT(P_E&gt;0)),0,W162)+IF(OR(REGEXMATCH(FORMULATEXT(X162),""HMOD""),NOT(P_R&gt;0))"&amp;",0,X162)+IF(REGEXMATCH(FORMULATEXT(Y162),""HMOD""),0,Y162)+Self_Proc_item+Self_Proc_Summ+Self_Proc_Rune+Self_DPS"),0)</f>
        <v>0</v>
      </c>
      <c r="AH162" s="282">
        <f t="shared" si="8"/>
        <v>0</v>
      </c>
      <c r="AI162" s="312" t="b">
        <f t="shared" ref="AI162:AI200" si="551">FALSE</f>
        <v>0</v>
      </c>
      <c r="AJ162" s="313" t="b">
        <f>TRUE</f>
        <v>1</v>
      </c>
    </row>
    <row r="163" spans="1:36">
      <c r="A163" s="301" t="s">
        <v>348</v>
      </c>
      <c r="B163" s="282">
        <f>570</f>
        <v>570</v>
      </c>
      <c r="C163" s="282">
        <f>101</f>
        <v>101</v>
      </c>
      <c r="D163" s="282">
        <f>4</f>
        <v>4</v>
      </c>
      <c r="E163" s="302">
        <f>0.18</f>
        <v>0.18</v>
      </c>
      <c r="F163" s="282">
        <f>350</f>
        <v>350</v>
      </c>
      <c r="G163" s="282">
        <f>35</f>
        <v>35</v>
      </c>
      <c r="H163" s="282">
        <f>8.18</f>
        <v>8.18</v>
      </c>
      <c r="I163" s="302">
        <f>0.7</f>
        <v>0.7</v>
      </c>
      <c r="J163" s="303">
        <f>58</f>
        <v>58</v>
      </c>
      <c r="K163" s="282">
        <f>2</f>
        <v>2</v>
      </c>
      <c r="L163" s="304">
        <f>0.697</f>
        <v>0.69699999999999995</v>
      </c>
      <c r="M163" s="304">
        <f>0.67</f>
        <v>0.67</v>
      </c>
      <c r="N163" s="305">
        <f>3%</f>
        <v>0.03</v>
      </c>
      <c r="O163" s="288">
        <f>27</f>
        <v>27</v>
      </c>
      <c r="P163" s="282">
        <f>4.2</f>
        <v>4.2</v>
      </c>
      <c r="Q163" s="282">
        <f t="shared" si="545"/>
        <v>32</v>
      </c>
      <c r="R163" s="302">
        <f t="shared" si="546"/>
        <v>2.0499999999999998</v>
      </c>
      <c r="S163" s="285">
        <f t="shared" si="547"/>
        <v>340</v>
      </c>
      <c r="T163" s="286">
        <f>225 + IF(AND(Steroid_Q, P_Q &gt; 0), 125, 0)</f>
        <v>225</v>
      </c>
      <c r="U163" s="281" t="e">
        <f ca="1">(5 * P_Q + (0.825 + 0.075 * P_Q) * Self_AD) * MOD_Phys * (1 + Self_Crit * 1.2)</f>
        <v>#NAME?</v>
      </c>
      <c r="V163" s="282">
        <f>0</f>
        <v>0</v>
      </c>
      <c r="W163" s="282" t="e">
        <f ca="1">(40 + 25 * P_Q + 0.2 * Self_AD) * MOD_Phys</f>
        <v>#NAME?</v>
      </c>
      <c r="X163" s="282" t="e">
        <f ca="1">(25 + 160 * P_R + 2.32 * Self_BoAD) * MOD_Phys</f>
        <v>#NAME?</v>
      </c>
      <c r="Y163" s="283">
        <f t="shared" si="548"/>
        <v>0</v>
      </c>
      <c r="Z163" s="284">
        <f>4</f>
        <v>4</v>
      </c>
      <c r="AA163" s="282">
        <f>27 - P_W</f>
        <v>27</v>
      </c>
      <c r="AB163" s="285">
        <f>29.5-3.5*P_E</f>
        <v>29.5</v>
      </c>
      <c r="AC163" s="285">
        <f>125-15*P_R</f>
        <v>125</v>
      </c>
      <c r="AD163" s="286">
        <f t="shared" ref="AD163:AD165" si="552">1</f>
        <v>1</v>
      </c>
      <c r="AE163" s="284" t="b">
        <f t="shared" si="550"/>
        <v>1</v>
      </c>
      <c r="AF163" s="285" t="e">
        <f ca="1">_xludf.Image("https://ddragon.leagueoflegends.com/cdn/12.13.1/img/champion/Nilah.png")</f>
        <v>#NAME?</v>
      </c>
      <c r="AG163" s="282">
        <f ca="1">IFERROR(__xludf.DUMMYFUNCTION("IF(OR(REGEXMATCH(FORMULATEXT(U163),""HMOD""),NOT(P_Q&gt;0)),0,U163) * 3+IF(OR(REGEXMATCH(FORMULATEXT(V163),""HMOD""),NOT(P_W&gt;0)),0,V163)+IF(OR(REGEXMATCH(FORMULATEXT(W163),""HMOD""),NOT(P_E&gt;0)),0,W163)+IF(OR(REGEXMATCH(FORMULATEXT(X163),""HMOD""),NOT(P_R&gt;0))"&amp;",0,X163)+IF(REGEXMATCH(FORMULATEXT(Y163),""HMOD""),0,Y163)+Self_Proc_item+Self_Proc_Summ+Self_Proc_Rune+Self_DPS"),0)</f>
        <v>0</v>
      </c>
      <c r="AH163" s="282">
        <f t="shared" si="8"/>
        <v>0</v>
      </c>
      <c r="AI163" s="312" t="b">
        <f t="shared" si="551"/>
        <v>0</v>
      </c>
      <c r="AJ163" s="313" t="b">
        <f t="shared" ref="AJ163:AJ200" si="553">FALSE</f>
        <v>0</v>
      </c>
    </row>
    <row r="164" spans="1:36">
      <c r="A164" s="301" t="s">
        <v>349</v>
      </c>
      <c r="B164" s="282">
        <f>610</f>
        <v>610</v>
      </c>
      <c r="C164" s="282">
        <f>114</f>
        <v>114</v>
      </c>
      <c r="D164" s="282">
        <f>9.5</f>
        <v>9.5</v>
      </c>
      <c r="E164" s="302">
        <f>0.85</f>
        <v>0.85</v>
      </c>
      <c r="F164" s="282">
        <f>290</f>
        <v>290</v>
      </c>
      <c r="G164" s="282">
        <f>60</f>
        <v>60</v>
      </c>
      <c r="H164" s="282">
        <f>7</f>
        <v>7</v>
      </c>
      <c r="I164" s="302">
        <f>1</f>
        <v>1</v>
      </c>
      <c r="J164" s="303">
        <f>64</f>
        <v>64</v>
      </c>
      <c r="K164" s="282">
        <f>3.5</f>
        <v>3.5</v>
      </c>
      <c r="L164" s="304">
        <f t="shared" ref="L164:M164" si="554">0.625</f>
        <v>0.625</v>
      </c>
      <c r="M164" s="304">
        <f t="shared" si="554"/>
        <v>0.625</v>
      </c>
      <c r="N164" s="305">
        <f>0.025</f>
        <v>2.5000000000000001E-2</v>
      </c>
      <c r="O164" s="288">
        <f>33</f>
        <v>33</v>
      </c>
      <c r="P164" s="282">
        <f>4.7</f>
        <v>4.7</v>
      </c>
      <c r="Q164" s="282">
        <f t="shared" ref="Q164:Q165" si="555">30</f>
        <v>30</v>
      </c>
      <c r="R164" s="302">
        <f>2.1</f>
        <v>2.1</v>
      </c>
      <c r="S164" s="285">
        <f t="shared" ref="S164:S165" si="556">330</f>
        <v>330</v>
      </c>
      <c r="T164" s="286">
        <f>175</f>
        <v>175</v>
      </c>
      <c r="U164" s="281" t="e">
        <f ca="1">(25 * P_Q + 25 + 0.4 * Self_AD + 0.3 * Self_BoAR + 0.3 * Self_BoMR) * MOD_Phys</f>
        <v>#NAME?</v>
      </c>
      <c r="V164" s="282" t="e">
        <f ca="1">((0.0175 + IF(Steroid_W, 0.05, 0) + 0.0025 * P_W) * E_MHP + IF(Steroid_Form, IF(Steroid_W, 50 + 60 * P_W, 15 + 10 * P_W ) + 0.5 * Self_AD, 0)) * MOD_Phys</f>
        <v>#NAME?</v>
      </c>
      <c r="W164" s="282">
        <f>(25 + 20 * P_E + 0.15 * Self_MHP) * MOD_SelfHeal</f>
        <v>25</v>
      </c>
      <c r="X164" s="282" t="e">
        <f ca="1">(35 * P_R + 0.2 * Self_AD + IF(Steroid_R, 50 + 100 * P_R + 0.2 * Self_AD, 0)) * MOD_Phys</f>
        <v>#NAME?</v>
      </c>
      <c r="Y164" s="283">
        <v>5</v>
      </c>
      <c r="Z164" s="284">
        <f>IF(IF(Steroid_Form, 2.5, 3.5) - IF(Self_BoAR + Self_BoMR &gt; 250, 250, Self_BoAR + Self_BoMR) * 0.007 &lt; 1.33, 1.33, IF(Steroid_Form, 2.5, 3.5) - IF(Self_BoAR + Self_BoMR &gt; 250, 250, Self_BoAR + Self_BoMR) * 0.007)</f>
        <v>3.5</v>
      </c>
      <c r="AA164" s="285">
        <f>26-2*P_W</f>
        <v>26</v>
      </c>
      <c r="AB164" s="285">
        <f>11-0.5*P_E</f>
        <v>11</v>
      </c>
      <c r="AC164" s="285">
        <f>140 - 20 * P_R</f>
        <v>140</v>
      </c>
      <c r="AD164" s="286">
        <f t="shared" si="552"/>
        <v>1</v>
      </c>
      <c r="AE164" s="284" t="b">
        <f t="shared" si="550"/>
        <v>1</v>
      </c>
      <c r="AF164" s="285" t="e">
        <f ca="1">_xludf.Image("https://ddragon.leagueoflegends.com/cdn/12.21.1/img/champion/KSante.png")</f>
        <v>#NAME?</v>
      </c>
      <c r="AG164" s="282">
        <f ca="1">IFERROR(__xludf.DUMMYFUNCTION("IF(OR(REGEXMATCH(FORMULATEXT(U164),""HMOD""),NOT(P_Q&gt;0)),0,U164) * 3+IF(OR(REGEXMATCH(FORMULATEXT(V164),""HMOD""),NOT(P_W&gt;0)),0,V164)+IF(OR(REGEXMATCH(FORMULATEXT(W164),""HMOD""),NOT(P_E&gt;0)),0,W164)+IF(OR(REGEXMATCH(FORMULATEXT(X164),""HMOD""),NOT(P_R&gt;0))"&amp;",0,X164)+IF(REGEXMATCH(FORMULATEXT(Y164),""HMOD""),0,Y164)+Self_Proc_item+Self_Proc_Summ+Self_Proc_Rune+Self_DPS"),5)</f>
        <v>5</v>
      </c>
      <c r="AH164" s="282">
        <f t="shared" si="8"/>
        <v>0</v>
      </c>
      <c r="AI164" s="312" t="b">
        <f t="shared" si="551"/>
        <v>0</v>
      </c>
      <c r="AJ164" s="313" t="b">
        <f t="shared" si="553"/>
        <v>0</v>
      </c>
    </row>
    <row r="165" spans="1:36">
      <c r="A165" s="301" t="s">
        <v>350</v>
      </c>
      <c r="B165" s="282">
        <f>560</f>
        <v>560</v>
      </c>
      <c r="C165" s="282">
        <f>88</f>
        <v>88</v>
      </c>
      <c r="D165" s="282">
        <f>5</f>
        <v>5</v>
      </c>
      <c r="E165" s="302">
        <f>0.5</f>
        <v>0.5</v>
      </c>
      <c r="F165" s="282">
        <f>365</f>
        <v>365</v>
      </c>
      <c r="G165" s="282">
        <f>43</f>
        <v>43</v>
      </c>
      <c r="H165" s="282">
        <f>11.5</f>
        <v>11.5</v>
      </c>
      <c r="I165" s="302">
        <f>0.4</f>
        <v>0.4</v>
      </c>
      <c r="J165" s="303">
        <f>48</f>
        <v>48</v>
      </c>
      <c r="K165" s="282">
        <f>3.2</f>
        <v>3.2</v>
      </c>
      <c r="L165" s="304">
        <f t="shared" ref="L165:M165" si="557">0.625</f>
        <v>0.625</v>
      </c>
      <c r="M165" s="304">
        <f t="shared" si="557"/>
        <v>0.625</v>
      </c>
      <c r="N165" s="305">
        <f>0.03</f>
        <v>0.03</v>
      </c>
      <c r="O165" s="288">
        <f>26</f>
        <v>26</v>
      </c>
      <c r="P165" s="282">
        <f>4.6</f>
        <v>4.5999999999999996</v>
      </c>
      <c r="Q165" s="282">
        <f t="shared" si="555"/>
        <v>30</v>
      </c>
      <c r="R165" s="302">
        <f>1.2</f>
        <v>1.2</v>
      </c>
      <c r="S165" s="285">
        <f t="shared" si="556"/>
        <v>330</v>
      </c>
      <c r="T165" s="286">
        <f>525</f>
        <v>525</v>
      </c>
      <c r="U165" s="281" t="e">
        <f ca="1">(45 + 45 * P_Q + 0.9 * Self_AP) * MOD_Magic</f>
        <v>#NAME?</v>
      </c>
      <c r="V165" s="282">
        <f>(50 + 30 * P_W + 0.15 * Self_AP) * MOD_Heal</f>
        <v>50</v>
      </c>
      <c r="W165" s="282">
        <f>(30 + 30 * P_E + 0.3 * Self_AP) * MOD_Heal</f>
        <v>30</v>
      </c>
      <c r="X165" s="282">
        <f>(50 + 100 * P_R + 0.3 * Self_AP) * MOD_Heal</f>
        <v>50</v>
      </c>
      <c r="Y165" s="283" t="e">
        <f ca="1">((0.15 + 0.35 * Sc_Lin) * Self_AD + 0.2 * Self_AP + 25 + 55 * Sc_Lin) * MOD_Magic</f>
        <v>#NAME?</v>
      </c>
      <c r="Z165" s="284">
        <f>12</f>
        <v>12</v>
      </c>
      <c r="AA165" s="285">
        <f>31 - 2 * P_W</f>
        <v>31</v>
      </c>
      <c r="AB165" s="282">
        <f>18 - P_E</f>
        <v>18</v>
      </c>
      <c r="AC165" s="285">
        <f>175-15*P_R</f>
        <v>175</v>
      </c>
      <c r="AD165" s="286">
        <f t="shared" si="552"/>
        <v>1</v>
      </c>
      <c r="AE165" s="284" t="b">
        <f t="shared" ref="AE165:AE195" si="558">FALSE</f>
        <v>0</v>
      </c>
      <c r="AF165" s="285" t="e">
        <f ca="1">_xludf.Image("https://ddragon.leagueoflegends.com/cdn/13.6.1/img/champion/Milio.png")</f>
        <v>#NAME?</v>
      </c>
      <c r="AG165" s="282">
        <f ca="1">IFERROR(__xludf.DUMMYFUNCTION("IF(OR(REGEXMATCH(FORMULATEXT(U165),""HMOD""),NOT(P_Q&gt;0)),0,U165) * 3+IF(OR(REGEXMATCH(FORMULATEXT(V165),""HMOD""),NOT(P_W&gt;0)),0,V165)+IF(OR(REGEXMATCH(FORMULATEXT(W165),""HMOD""),NOT(P_E&gt;0)),0,W165)+IF(OR(REGEXMATCH(FORMULATEXT(X165),""HMOD""),NOT(P_R&gt;0))"&amp;",0,X165)+IF(REGEXMATCH(FORMULATEXT(Y165),""HMOD""),0,Y165)+Self_Proc_item+Self_Proc_Summ+Self_Proc_Rune+Self_DPS"),25)</f>
        <v>25</v>
      </c>
      <c r="AH165" s="282">
        <f t="shared" si="8"/>
        <v>0</v>
      </c>
      <c r="AI165" s="312" t="b">
        <f t="shared" si="551"/>
        <v>0</v>
      </c>
      <c r="AJ165" s="313" t="b">
        <f t="shared" si="553"/>
        <v>0</v>
      </c>
    </row>
    <row r="166" spans="1:36">
      <c r="A166" s="301"/>
      <c r="B166" s="282"/>
      <c r="C166" s="282"/>
      <c r="D166" s="282"/>
      <c r="E166" s="302"/>
      <c r="F166" s="282"/>
      <c r="G166" s="282"/>
      <c r="H166" s="282"/>
      <c r="I166" s="302"/>
      <c r="J166" s="303"/>
      <c r="K166" s="282"/>
      <c r="L166" s="304"/>
      <c r="M166" s="304"/>
      <c r="N166" s="305"/>
      <c r="O166" s="288"/>
      <c r="P166" s="282"/>
      <c r="Q166" s="282"/>
      <c r="R166" s="302"/>
      <c r="S166" s="285"/>
      <c r="T166" s="286"/>
      <c r="U166" s="281"/>
      <c r="V166" s="282"/>
      <c r="W166" s="282"/>
      <c r="X166" s="282"/>
      <c r="Y166" s="283"/>
      <c r="Z166" s="284"/>
      <c r="AA166" s="285"/>
      <c r="AB166" s="285"/>
      <c r="AC166" s="285"/>
      <c r="AD166" s="286"/>
      <c r="AE166" s="284" t="b">
        <f t="shared" si="558"/>
        <v>0</v>
      </c>
      <c r="AF166" s="285"/>
      <c r="AG166" s="282"/>
      <c r="AH166" s="282"/>
      <c r="AI166" s="312" t="b">
        <f t="shared" si="551"/>
        <v>0</v>
      </c>
      <c r="AJ166" s="313" t="b">
        <f t="shared" si="553"/>
        <v>0</v>
      </c>
    </row>
    <row r="167" spans="1:36">
      <c r="A167" s="301"/>
      <c r="B167" s="282"/>
      <c r="C167" s="282"/>
      <c r="D167" s="282"/>
      <c r="E167" s="302"/>
      <c r="F167" s="282"/>
      <c r="G167" s="282"/>
      <c r="H167" s="282"/>
      <c r="I167" s="302"/>
      <c r="J167" s="303"/>
      <c r="K167" s="282"/>
      <c r="L167" s="304"/>
      <c r="M167" s="304"/>
      <c r="N167" s="305"/>
      <c r="O167" s="288"/>
      <c r="P167" s="282"/>
      <c r="Q167" s="282"/>
      <c r="R167" s="302"/>
      <c r="S167" s="285"/>
      <c r="T167" s="286"/>
      <c r="U167" s="281"/>
      <c r="V167" s="282"/>
      <c r="W167" s="282"/>
      <c r="X167" s="282"/>
      <c r="Y167" s="283"/>
      <c r="Z167" s="284"/>
      <c r="AA167" s="285"/>
      <c r="AB167" s="285"/>
      <c r="AC167" s="285"/>
      <c r="AD167" s="286"/>
      <c r="AE167" s="284" t="b">
        <f t="shared" si="558"/>
        <v>0</v>
      </c>
      <c r="AF167" s="285"/>
      <c r="AG167" s="282"/>
      <c r="AH167" s="282"/>
      <c r="AI167" s="312" t="b">
        <f t="shared" si="551"/>
        <v>0</v>
      </c>
      <c r="AJ167" s="313" t="b">
        <f t="shared" si="553"/>
        <v>0</v>
      </c>
    </row>
    <row r="168" spans="1:36">
      <c r="A168" s="301"/>
      <c r="B168" s="282"/>
      <c r="C168" s="282"/>
      <c r="D168" s="282"/>
      <c r="E168" s="302"/>
      <c r="F168" s="282"/>
      <c r="G168" s="282"/>
      <c r="H168" s="282"/>
      <c r="I168" s="302"/>
      <c r="J168" s="303"/>
      <c r="K168" s="282"/>
      <c r="L168" s="304"/>
      <c r="M168" s="304"/>
      <c r="N168" s="305"/>
      <c r="O168" s="288"/>
      <c r="P168" s="282"/>
      <c r="Q168" s="282"/>
      <c r="R168" s="302"/>
      <c r="S168" s="285"/>
      <c r="T168" s="286"/>
      <c r="U168" s="281"/>
      <c r="V168" s="282"/>
      <c r="W168" s="282"/>
      <c r="X168" s="282"/>
      <c r="Y168" s="283"/>
      <c r="Z168" s="284"/>
      <c r="AA168" s="285"/>
      <c r="AB168" s="285"/>
      <c r="AC168" s="285"/>
      <c r="AD168" s="286"/>
      <c r="AE168" s="284" t="b">
        <f t="shared" si="558"/>
        <v>0</v>
      </c>
      <c r="AF168" s="285"/>
      <c r="AG168" s="282"/>
      <c r="AH168" s="282"/>
      <c r="AI168" s="312" t="b">
        <f t="shared" si="551"/>
        <v>0</v>
      </c>
      <c r="AJ168" s="313" t="b">
        <f t="shared" si="553"/>
        <v>0</v>
      </c>
    </row>
    <row r="169" spans="1:36">
      <c r="A169" s="301"/>
      <c r="B169" s="282"/>
      <c r="C169" s="282"/>
      <c r="D169" s="282"/>
      <c r="E169" s="302"/>
      <c r="F169" s="282"/>
      <c r="G169" s="282"/>
      <c r="H169" s="282"/>
      <c r="I169" s="302"/>
      <c r="J169" s="303"/>
      <c r="K169" s="282"/>
      <c r="L169" s="304"/>
      <c r="M169" s="304"/>
      <c r="N169" s="305"/>
      <c r="O169" s="288"/>
      <c r="P169" s="282"/>
      <c r="Q169" s="282"/>
      <c r="R169" s="302"/>
      <c r="S169" s="285"/>
      <c r="T169" s="286"/>
      <c r="U169" s="281"/>
      <c r="V169" s="282"/>
      <c r="W169" s="282"/>
      <c r="X169" s="282"/>
      <c r="Y169" s="283"/>
      <c r="Z169" s="284"/>
      <c r="AA169" s="285"/>
      <c r="AB169" s="285"/>
      <c r="AC169" s="285"/>
      <c r="AD169" s="286"/>
      <c r="AE169" s="284" t="b">
        <f t="shared" si="558"/>
        <v>0</v>
      </c>
      <c r="AF169" s="285"/>
      <c r="AG169" s="282"/>
      <c r="AH169" s="282"/>
      <c r="AI169" s="312" t="b">
        <f t="shared" si="551"/>
        <v>0</v>
      </c>
      <c r="AJ169" s="313" t="b">
        <f t="shared" si="553"/>
        <v>0</v>
      </c>
    </row>
    <row r="170" spans="1:36">
      <c r="A170" s="301"/>
      <c r="B170" s="282"/>
      <c r="C170" s="282"/>
      <c r="D170" s="282"/>
      <c r="E170" s="302"/>
      <c r="F170" s="282"/>
      <c r="G170" s="282"/>
      <c r="H170" s="282"/>
      <c r="I170" s="302"/>
      <c r="J170" s="303"/>
      <c r="K170" s="282"/>
      <c r="L170" s="304"/>
      <c r="M170" s="304"/>
      <c r="N170" s="305"/>
      <c r="O170" s="288"/>
      <c r="P170" s="282"/>
      <c r="Q170" s="282"/>
      <c r="R170" s="302"/>
      <c r="S170" s="285"/>
      <c r="T170" s="286"/>
      <c r="U170" s="281"/>
      <c r="V170" s="282"/>
      <c r="W170" s="282"/>
      <c r="X170" s="282"/>
      <c r="Y170" s="283"/>
      <c r="Z170" s="284"/>
      <c r="AA170" s="285"/>
      <c r="AB170" s="285"/>
      <c r="AC170" s="285"/>
      <c r="AD170" s="286"/>
      <c r="AE170" s="284" t="b">
        <f t="shared" si="558"/>
        <v>0</v>
      </c>
      <c r="AF170" s="285"/>
      <c r="AG170" s="282"/>
      <c r="AH170" s="282"/>
      <c r="AI170" s="312" t="b">
        <f t="shared" si="551"/>
        <v>0</v>
      </c>
      <c r="AJ170" s="313" t="b">
        <f t="shared" si="553"/>
        <v>0</v>
      </c>
    </row>
    <row r="171" spans="1:36">
      <c r="A171" s="301"/>
      <c r="B171" s="282"/>
      <c r="C171" s="282"/>
      <c r="D171" s="282"/>
      <c r="E171" s="302"/>
      <c r="F171" s="282"/>
      <c r="G171" s="282"/>
      <c r="H171" s="282"/>
      <c r="I171" s="302"/>
      <c r="J171" s="303"/>
      <c r="K171" s="282"/>
      <c r="L171" s="304"/>
      <c r="M171" s="304"/>
      <c r="N171" s="305"/>
      <c r="O171" s="288"/>
      <c r="P171" s="282"/>
      <c r="Q171" s="282"/>
      <c r="R171" s="302"/>
      <c r="S171" s="285"/>
      <c r="T171" s="286"/>
      <c r="U171" s="281"/>
      <c r="V171" s="282"/>
      <c r="W171" s="282"/>
      <c r="X171" s="282"/>
      <c r="Y171" s="283"/>
      <c r="Z171" s="284"/>
      <c r="AA171" s="285"/>
      <c r="AB171" s="285"/>
      <c r="AC171" s="285"/>
      <c r="AD171" s="286"/>
      <c r="AE171" s="284" t="b">
        <f t="shared" si="558"/>
        <v>0</v>
      </c>
      <c r="AF171" s="285"/>
      <c r="AG171" s="282"/>
      <c r="AH171" s="282"/>
      <c r="AI171" s="312" t="b">
        <f t="shared" si="551"/>
        <v>0</v>
      </c>
      <c r="AJ171" s="313" t="b">
        <f t="shared" si="553"/>
        <v>0</v>
      </c>
    </row>
    <row r="172" spans="1:36">
      <c r="A172" s="301"/>
      <c r="B172" s="282"/>
      <c r="C172" s="282"/>
      <c r="D172" s="282"/>
      <c r="E172" s="302"/>
      <c r="F172" s="282"/>
      <c r="G172" s="282"/>
      <c r="H172" s="282"/>
      <c r="I172" s="302"/>
      <c r="J172" s="303"/>
      <c r="K172" s="282"/>
      <c r="L172" s="304"/>
      <c r="M172" s="304"/>
      <c r="N172" s="305"/>
      <c r="O172" s="288"/>
      <c r="P172" s="282"/>
      <c r="Q172" s="282"/>
      <c r="R172" s="302"/>
      <c r="S172" s="285"/>
      <c r="T172" s="286"/>
      <c r="U172" s="281"/>
      <c r="V172" s="282"/>
      <c r="W172" s="282"/>
      <c r="X172" s="282"/>
      <c r="Y172" s="283"/>
      <c r="Z172" s="284"/>
      <c r="AA172" s="285"/>
      <c r="AB172" s="285"/>
      <c r="AC172" s="285"/>
      <c r="AD172" s="286"/>
      <c r="AE172" s="284" t="b">
        <f t="shared" si="558"/>
        <v>0</v>
      </c>
      <c r="AF172" s="285"/>
      <c r="AG172" s="282"/>
      <c r="AH172" s="282"/>
      <c r="AI172" s="312" t="b">
        <f t="shared" si="551"/>
        <v>0</v>
      </c>
      <c r="AJ172" s="313" t="b">
        <f t="shared" si="553"/>
        <v>0</v>
      </c>
    </row>
    <row r="173" spans="1:36">
      <c r="A173" s="301"/>
      <c r="B173" s="282"/>
      <c r="C173" s="282"/>
      <c r="D173" s="282"/>
      <c r="E173" s="302"/>
      <c r="F173" s="282"/>
      <c r="G173" s="282"/>
      <c r="H173" s="282"/>
      <c r="I173" s="302"/>
      <c r="J173" s="303"/>
      <c r="K173" s="282"/>
      <c r="L173" s="304"/>
      <c r="M173" s="304"/>
      <c r="N173" s="305"/>
      <c r="O173" s="288"/>
      <c r="P173" s="282"/>
      <c r="Q173" s="282"/>
      <c r="R173" s="302"/>
      <c r="S173" s="285"/>
      <c r="T173" s="286"/>
      <c r="U173" s="281"/>
      <c r="V173" s="282"/>
      <c r="W173" s="282"/>
      <c r="X173" s="282"/>
      <c r="Y173" s="283"/>
      <c r="Z173" s="284"/>
      <c r="AA173" s="285"/>
      <c r="AB173" s="285"/>
      <c r="AC173" s="285"/>
      <c r="AD173" s="286"/>
      <c r="AE173" s="284" t="b">
        <f t="shared" si="558"/>
        <v>0</v>
      </c>
      <c r="AF173" s="285"/>
      <c r="AG173" s="282"/>
      <c r="AH173" s="282"/>
      <c r="AI173" s="312" t="b">
        <f t="shared" si="551"/>
        <v>0</v>
      </c>
      <c r="AJ173" s="313" t="b">
        <f t="shared" si="553"/>
        <v>0</v>
      </c>
    </row>
    <row r="174" spans="1:36">
      <c r="A174" s="301"/>
      <c r="B174" s="282"/>
      <c r="C174" s="282"/>
      <c r="D174" s="282"/>
      <c r="E174" s="302"/>
      <c r="F174" s="282"/>
      <c r="G174" s="282"/>
      <c r="H174" s="282"/>
      <c r="I174" s="302"/>
      <c r="J174" s="303"/>
      <c r="K174" s="282"/>
      <c r="L174" s="304"/>
      <c r="M174" s="304"/>
      <c r="N174" s="305"/>
      <c r="O174" s="288"/>
      <c r="P174" s="282"/>
      <c r="Q174" s="282"/>
      <c r="R174" s="302"/>
      <c r="S174" s="285"/>
      <c r="T174" s="286"/>
      <c r="U174" s="281"/>
      <c r="V174" s="282"/>
      <c r="W174" s="282"/>
      <c r="X174" s="282"/>
      <c r="Y174" s="283"/>
      <c r="Z174" s="284"/>
      <c r="AA174" s="285"/>
      <c r="AB174" s="285"/>
      <c r="AC174" s="285"/>
      <c r="AD174" s="286"/>
      <c r="AE174" s="284" t="b">
        <f t="shared" si="558"/>
        <v>0</v>
      </c>
      <c r="AF174" s="285"/>
      <c r="AG174" s="282"/>
      <c r="AH174" s="282"/>
      <c r="AI174" s="312" t="b">
        <f t="shared" si="551"/>
        <v>0</v>
      </c>
      <c r="AJ174" s="313" t="b">
        <f t="shared" si="553"/>
        <v>0</v>
      </c>
    </row>
    <row r="175" spans="1:36">
      <c r="A175" s="301"/>
      <c r="B175" s="282"/>
      <c r="C175" s="282"/>
      <c r="D175" s="282"/>
      <c r="E175" s="302"/>
      <c r="F175" s="282"/>
      <c r="G175" s="282"/>
      <c r="H175" s="282"/>
      <c r="I175" s="302"/>
      <c r="J175" s="303"/>
      <c r="K175" s="282"/>
      <c r="L175" s="304"/>
      <c r="M175" s="304"/>
      <c r="N175" s="305"/>
      <c r="O175" s="288"/>
      <c r="P175" s="282"/>
      <c r="Q175" s="282"/>
      <c r="R175" s="302"/>
      <c r="S175" s="285"/>
      <c r="T175" s="286"/>
      <c r="U175" s="281"/>
      <c r="V175" s="282"/>
      <c r="W175" s="282"/>
      <c r="X175" s="282"/>
      <c r="Y175" s="283"/>
      <c r="Z175" s="284"/>
      <c r="AA175" s="285"/>
      <c r="AB175" s="285"/>
      <c r="AC175" s="285"/>
      <c r="AD175" s="286"/>
      <c r="AE175" s="284" t="b">
        <f t="shared" si="558"/>
        <v>0</v>
      </c>
      <c r="AF175" s="285"/>
      <c r="AG175" s="282"/>
      <c r="AH175" s="282"/>
      <c r="AI175" s="312" t="b">
        <f t="shared" si="551"/>
        <v>0</v>
      </c>
      <c r="AJ175" s="313" t="b">
        <f t="shared" si="553"/>
        <v>0</v>
      </c>
    </row>
    <row r="176" spans="1:36">
      <c r="A176" s="301"/>
      <c r="B176" s="282"/>
      <c r="C176" s="282"/>
      <c r="D176" s="282"/>
      <c r="E176" s="302"/>
      <c r="F176" s="282"/>
      <c r="G176" s="282"/>
      <c r="H176" s="282"/>
      <c r="I176" s="302"/>
      <c r="J176" s="303"/>
      <c r="K176" s="282"/>
      <c r="L176" s="304"/>
      <c r="M176" s="304"/>
      <c r="N176" s="305"/>
      <c r="O176" s="288"/>
      <c r="P176" s="282"/>
      <c r="Q176" s="282"/>
      <c r="R176" s="302"/>
      <c r="S176" s="285"/>
      <c r="T176" s="286"/>
      <c r="U176" s="281"/>
      <c r="V176" s="282"/>
      <c r="W176" s="282"/>
      <c r="X176" s="282"/>
      <c r="Y176" s="283"/>
      <c r="Z176" s="284"/>
      <c r="AA176" s="285"/>
      <c r="AB176" s="285"/>
      <c r="AC176" s="285"/>
      <c r="AD176" s="286"/>
      <c r="AE176" s="284" t="b">
        <f t="shared" si="558"/>
        <v>0</v>
      </c>
      <c r="AF176" s="285"/>
      <c r="AG176" s="282"/>
      <c r="AH176" s="282"/>
      <c r="AI176" s="312" t="b">
        <f t="shared" si="551"/>
        <v>0</v>
      </c>
      <c r="AJ176" s="313" t="b">
        <f t="shared" si="553"/>
        <v>0</v>
      </c>
    </row>
    <row r="177" spans="1:36">
      <c r="A177" s="301"/>
      <c r="B177" s="282"/>
      <c r="C177" s="282"/>
      <c r="D177" s="282"/>
      <c r="E177" s="302"/>
      <c r="F177" s="282"/>
      <c r="G177" s="282"/>
      <c r="H177" s="282"/>
      <c r="I177" s="302"/>
      <c r="J177" s="303"/>
      <c r="K177" s="282"/>
      <c r="L177" s="304"/>
      <c r="M177" s="304"/>
      <c r="N177" s="305"/>
      <c r="O177" s="288"/>
      <c r="P177" s="282"/>
      <c r="Q177" s="282"/>
      <c r="R177" s="302"/>
      <c r="S177" s="285"/>
      <c r="T177" s="286"/>
      <c r="U177" s="281"/>
      <c r="V177" s="282"/>
      <c r="W177" s="282"/>
      <c r="X177" s="282"/>
      <c r="Y177" s="283"/>
      <c r="Z177" s="284"/>
      <c r="AA177" s="285"/>
      <c r="AB177" s="285"/>
      <c r="AC177" s="285"/>
      <c r="AD177" s="286"/>
      <c r="AE177" s="284" t="b">
        <f t="shared" si="558"/>
        <v>0</v>
      </c>
      <c r="AF177" s="285"/>
      <c r="AG177" s="282"/>
      <c r="AH177" s="282"/>
      <c r="AI177" s="312" t="b">
        <f t="shared" si="551"/>
        <v>0</v>
      </c>
      <c r="AJ177" s="313" t="b">
        <f t="shared" si="553"/>
        <v>0</v>
      </c>
    </row>
    <row r="178" spans="1:36">
      <c r="A178" s="301"/>
      <c r="B178" s="282"/>
      <c r="C178" s="282"/>
      <c r="D178" s="282"/>
      <c r="E178" s="302"/>
      <c r="F178" s="282"/>
      <c r="G178" s="282"/>
      <c r="H178" s="282"/>
      <c r="I178" s="302"/>
      <c r="J178" s="303"/>
      <c r="K178" s="282"/>
      <c r="L178" s="304"/>
      <c r="M178" s="304"/>
      <c r="N178" s="305"/>
      <c r="O178" s="288"/>
      <c r="P178" s="282"/>
      <c r="Q178" s="282"/>
      <c r="R178" s="302"/>
      <c r="S178" s="285"/>
      <c r="T178" s="286"/>
      <c r="U178" s="281"/>
      <c r="V178" s="282"/>
      <c r="W178" s="282"/>
      <c r="X178" s="282"/>
      <c r="Y178" s="283"/>
      <c r="Z178" s="284"/>
      <c r="AA178" s="285"/>
      <c r="AB178" s="285"/>
      <c r="AC178" s="285"/>
      <c r="AD178" s="286"/>
      <c r="AE178" s="284" t="b">
        <f t="shared" si="558"/>
        <v>0</v>
      </c>
      <c r="AF178" s="285"/>
      <c r="AG178" s="282"/>
      <c r="AH178" s="282"/>
      <c r="AI178" s="312" t="b">
        <f t="shared" si="551"/>
        <v>0</v>
      </c>
      <c r="AJ178" s="313" t="b">
        <f t="shared" si="553"/>
        <v>0</v>
      </c>
    </row>
    <row r="179" spans="1:36">
      <c r="A179" s="301"/>
      <c r="B179" s="282"/>
      <c r="C179" s="282"/>
      <c r="D179" s="282"/>
      <c r="E179" s="302"/>
      <c r="F179" s="282"/>
      <c r="G179" s="282"/>
      <c r="H179" s="282"/>
      <c r="I179" s="302"/>
      <c r="J179" s="303"/>
      <c r="K179" s="282"/>
      <c r="L179" s="304"/>
      <c r="M179" s="304"/>
      <c r="N179" s="305"/>
      <c r="O179" s="288"/>
      <c r="P179" s="282"/>
      <c r="Q179" s="282"/>
      <c r="R179" s="302"/>
      <c r="S179" s="285"/>
      <c r="T179" s="286"/>
      <c r="U179" s="281"/>
      <c r="V179" s="282"/>
      <c r="W179" s="282"/>
      <c r="X179" s="282"/>
      <c r="Y179" s="283"/>
      <c r="Z179" s="284"/>
      <c r="AA179" s="285"/>
      <c r="AB179" s="285"/>
      <c r="AC179" s="285"/>
      <c r="AD179" s="286"/>
      <c r="AE179" s="284" t="b">
        <f t="shared" si="558"/>
        <v>0</v>
      </c>
      <c r="AF179" s="285"/>
      <c r="AG179" s="282"/>
      <c r="AH179" s="282"/>
      <c r="AI179" s="312" t="b">
        <f t="shared" si="551"/>
        <v>0</v>
      </c>
      <c r="AJ179" s="313" t="b">
        <f t="shared" si="553"/>
        <v>0</v>
      </c>
    </row>
    <row r="180" spans="1:36">
      <c r="A180" s="301"/>
      <c r="B180" s="282"/>
      <c r="C180" s="282"/>
      <c r="D180" s="282"/>
      <c r="E180" s="302"/>
      <c r="F180" s="282"/>
      <c r="G180" s="282"/>
      <c r="H180" s="282"/>
      <c r="I180" s="302"/>
      <c r="J180" s="303"/>
      <c r="K180" s="282"/>
      <c r="L180" s="304"/>
      <c r="M180" s="304"/>
      <c r="N180" s="305"/>
      <c r="O180" s="288"/>
      <c r="P180" s="282"/>
      <c r="Q180" s="282"/>
      <c r="R180" s="302"/>
      <c r="S180" s="285"/>
      <c r="T180" s="286"/>
      <c r="U180" s="281"/>
      <c r="V180" s="282"/>
      <c r="W180" s="282"/>
      <c r="X180" s="282"/>
      <c r="Y180" s="283"/>
      <c r="Z180" s="284"/>
      <c r="AA180" s="285"/>
      <c r="AB180" s="285"/>
      <c r="AC180" s="285"/>
      <c r="AD180" s="286"/>
      <c r="AE180" s="284" t="b">
        <f t="shared" si="558"/>
        <v>0</v>
      </c>
      <c r="AF180" s="285"/>
      <c r="AG180" s="282"/>
      <c r="AH180" s="282"/>
      <c r="AI180" s="312" t="b">
        <f t="shared" si="551"/>
        <v>0</v>
      </c>
      <c r="AJ180" s="313" t="b">
        <f t="shared" si="553"/>
        <v>0</v>
      </c>
    </row>
    <row r="181" spans="1:36">
      <c r="A181" s="301"/>
      <c r="B181" s="282"/>
      <c r="C181" s="282"/>
      <c r="D181" s="282"/>
      <c r="E181" s="302"/>
      <c r="F181" s="282"/>
      <c r="G181" s="282"/>
      <c r="H181" s="282"/>
      <c r="I181" s="302"/>
      <c r="J181" s="303"/>
      <c r="K181" s="282"/>
      <c r="L181" s="304"/>
      <c r="M181" s="304"/>
      <c r="N181" s="305"/>
      <c r="O181" s="288"/>
      <c r="P181" s="282"/>
      <c r="Q181" s="282"/>
      <c r="R181" s="302"/>
      <c r="S181" s="285"/>
      <c r="T181" s="286"/>
      <c r="U181" s="281"/>
      <c r="V181" s="282"/>
      <c r="W181" s="282"/>
      <c r="X181" s="282"/>
      <c r="Y181" s="283"/>
      <c r="Z181" s="284"/>
      <c r="AA181" s="285"/>
      <c r="AB181" s="285"/>
      <c r="AC181" s="285"/>
      <c r="AD181" s="286"/>
      <c r="AE181" s="284" t="b">
        <f t="shared" si="558"/>
        <v>0</v>
      </c>
      <c r="AF181" s="285"/>
      <c r="AG181" s="282"/>
      <c r="AH181" s="282"/>
      <c r="AI181" s="312" t="b">
        <f t="shared" si="551"/>
        <v>0</v>
      </c>
      <c r="AJ181" s="313" t="b">
        <f t="shared" si="553"/>
        <v>0</v>
      </c>
    </row>
    <row r="182" spans="1:36">
      <c r="A182" s="301"/>
      <c r="B182" s="282"/>
      <c r="C182" s="282"/>
      <c r="D182" s="282"/>
      <c r="E182" s="302"/>
      <c r="F182" s="282"/>
      <c r="G182" s="282"/>
      <c r="H182" s="282"/>
      <c r="I182" s="302"/>
      <c r="J182" s="303"/>
      <c r="K182" s="282"/>
      <c r="L182" s="304"/>
      <c r="M182" s="304"/>
      <c r="N182" s="305"/>
      <c r="O182" s="288"/>
      <c r="P182" s="282"/>
      <c r="Q182" s="282"/>
      <c r="R182" s="302"/>
      <c r="S182" s="285"/>
      <c r="T182" s="286"/>
      <c r="U182" s="281"/>
      <c r="V182" s="282"/>
      <c r="W182" s="282"/>
      <c r="X182" s="282"/>
      <c r="Y182" s="283"/>
      <c r="Z182" s="284"/>
      <c r="AA182" s="285"/>
      <c r="AB182" s="285"/>
      <c r="AC182" s="285"/>
      <c r="AD182" s="286"/>
      <c r="AE182" s="284" t="b">
        <f t="shared" si="558"/>
        <v>0</v>
      </c>
      <c r="AF182" s="285"/>
      <c r="AG182" s="282"/>
      <c r="AH182" s="282"/>
      <c r="AI182" s="312" t="b">
        <f t="shared" si="551"/>
        <v>0</v>
      </c>
      <c r="AJ182" s="313" t="b">
        <f t="shared" si="553"/>
        <v>0</v>
      </c>
    </row>
    <row r="183" spans="1:36">
      <c r="A183" s="301"/>
      <c r="B183" s="282"/>
      <c r="C183" s="282"/>
      <c r="D183" s="282"/>
      <c r="E183" s="302"/>
      <c r="F183" s="282"/>
      <c r="G183" s="282"/>
      <c r="H183" s="282"/>
      <c r="I183" s="302"/>
      <c r="J183" s="303"/>
      <c r="K183" s="282"/>
      <c r="L183" s="304"/>
      <c r="M183" s="304"/>
      <c r="N183" s="305"/>
      <c r="O183" s="288"/>
      <c r="P183" s="282"/>
      <c r="Q183" s="282"/>
      <c r="R183" s="302"/>
      <c r="S183" s="285"/>
      <c r="T183" s="286"/>
      <c r="U183" s="281"/>
      <c r="V183" s="282"/>
      <c r="W183" s="282"/>
      <c r="X183" s="282"/>
      <c r="Y183" s="283"/>
      <c r="Z183" s="284"/>
      <c r="AA183" s="285"/>
      <c r="AB183" s="285"/>
      <c r="AC183" s="285"/>
      <c r="AD183" s="286"/>
      <c r="AE183" s="284" t="b">
        <f t="shared" si="558"/>
        <v>0</v>
      </c>
      <c r="AF183" s="285"/>
      <c r="AG183" s="282"/>
      <c r="AH183" s="282"/>
      <c r="AI183" s="312" t="b">
        <f t="shared" si="551"/>
        <v>0</v>
      </c>
      <c r="AJ183" s="313" t="b">
        <f t="shared" si="553"/>
        <v>0</v>
      </c>
    </row>
    <row r="184" spans="1:36">
      <c r="A184" s="301"/>
      <c r="B184" s="282"/>
      <c r="C184" s="282"/>
      <c r="D184" s="282"/>
      <c r="E184" s="302"/>
      <c r="F184" s="282"/>
      <c r="G184" s="282"/>
      <c r="H184" s="282"/>
      <c r="I184" s="302"/>
      <c r="J184" s="303"/>
      <c r="K184" s="282"/>
      <c r="L184" s="304"/>
      <c r="M184" s="304"/>
      <c r="N184" s="305"/>
      <c r="O184" s="288"/>
      <c r="P184" s="282"/>
      <c r="Q184" s="282"/>
      <c r="R184" s="302"/>
      <c r="S184" s="285"/>
      <c r="T184" s="286"/>
      <c r="U184" s="281"/>
      <c r="V184" s="282"/>
      <c r="W184" s="282"/>
      <c r="X184" s="282"/>
      <c r="Y184" s="283"/>
      <c r="Z184" s="284"/>
      <c r="AA184" s="285"/>
      <c r="AB184" s="285"/>
      <c r="AC184" s="285"/>
      <c r="AD184" s="286"/>
      <c r="AE184" s="284" t="b">
        <f t="shared" si="558"/>
        <v>0</v>
      </c>
      <c r="AF184" s="285"/>
      <c r="AG184" s="282"/>
      <c r="AH184" s="282"/>
      <c r="AI184" s="312" t="b">
        <f t="shared" si="551"/>
        <v>0</v>
      </c>
      <c r="AJ184" s="313" t="b">
        <f t="shared" si="553"/>
        <v>0</v>
      </c>
    </row>
    <row r="185" spans="1:36">
      <c r="A185" s="301"/>
      <c r="B185" s="282"/>
      <c r="C185" s="282"/>
      <c r="D185" s="282"/>
      <c r="E185" s="302"/>
      <c r="F185" s="282"/>
      <c r="G185" s="282"/>
      <c r="H185" s="282"/>
      <c r="I185" s="302"/>
      <c r="J185" s="303"/>
      <c r="K185" s="282"/>
      <c r="L185" s="304"/>
      <c r="M185" s="304"/>
      <c r="N185" s="305"/>
      <c r="O185" s="288"/>
      <c r="P185" s="282"/>
      <c r="Q185" s="282"/>
      <c r="R185" s="302"/>
      <c r="S185" s="285"/>
      <c r="T185" s="286"/>
      <c r="U185" s="281"/>
      <c r="V185" s="282"/>
      <c r="W185" s="282"/>
      <c r="X185" s="282"/>
      <c r="Y185" s="283"/>
      <c r="Z185" s="284"/>
      <c r="AA185" s="285"/>
      <c r="AB185" s="285"/>
      <c r="AC185" s="285"/>
      <c r="AD185" s="286"/>
      <c r="AE185" s="284" t="b">
        <f t="shared" si="558"/>
        <v>0</v>
      </c>
      <c r="AF185" s="285"/>
      <c r="AG185" s="282"/>
      <c r="AH185" s="282"/>
      <c r="AI185" s="312" t="b">
        <f t="shared" si="551"/>
        <v>0</v>
      </c>
      <c r="AJ185" s="313" t="b">
        <f t="shared" si="553"/>
        <v>0</v>
      </c>
    </row>
    <row r="186" spans="1:36">
      <c r="A186" s="301"/>
      <c r="B186" s="282"/>
      <c r="C186" s="282"/>
      <c r="D186" s="282"/>
      <c r="E186" s="302"/>
      <c r="F186" s="282"/>
      <c r="G186" s="282"/>
      <c r="H186" s="282"/>
      <c r="I186" s="302"/>
      <c r="J186" s="303"/>
      <c r="K186" s="282"/>
      <c r="L186" s="304"/>
      <c r="M186" s="304"/>
      <c r="N186" s="305"/>
      <c r="O186" s="288"/>
      <c r="P186" s="282"/>
      <c r="Q186" s="282"/>
      <c r="R186" s="302"/>
      <c r="S186" s="285"/>
      <c r="T186" s="286"/>
      <c r="U186" s="281"/>
      <c r="V186" s="282"/>
      <c r="W186" s="282"/>
      <c r="X186" s="282"/>
      <c r="Y186" s="283"/>
      <c r="Z186" s="284"/>
      <c r="AA186" s="285"/>
      <c r="AB186" s="285"/>
      <c r="AC186" s="285"/>
      <c r="AD186" s="286"/>
      <c r="AE186" s="284" t="b">
        <f t="shared" si="558"/>
        <v>0</v>
      </c>
      <c r="AF186" s="285"/>
      <c r="AG186" s="282"/>
      <c r="AH186" s="282"/>
      <c r="AI186" s="312" t="b">
        <f t="shared" si="551"/>
        <v>0</v>
      </c>
      <c r="AJ186" s="313" t="b">
        <f t="shared" si="553"/>
        <v>0</v>
      </c>
    </row>
    <row r="187" spans="1:36">
      <c r="A187" s="301"/>
      <c r="B187" s="282"/>
      <c r="C187" s="282"/>
      <c r="D187" s="282"/>
      <c r="E187" s="302"/>
      <c r="F187" s="282"/>
      <c r="G187" s="282"/>
      <c r="H187" s="282"/>
      <c r="I187" s="302"/>
      <c r="J187" s="303"/>
      <c r="K187" s="282"/>
      <c r="L187" s="304"/>
      <c r="M187" s="304"/>
      <c r="N187" s="305"/>
      <c r="O187" s="288"/>
      <c r="P187" s="282"/>
      <c r="Q187" s="282"/>
      <c r="R187" s="302"/>
      <c r="S187" s="285"/>
      <c r="T187" s="286"/>
      <c r="U187" s="281"/>
      <c r="V187" s="282"/>
      <c r="W187" s="282"/>
      <c r="X187" s="282"/>
      <c r="Y187" s="283"/>
      <c r="Z187" s="284"/>
      <c r="AA187" s="285"/>
      <c r="AB187" s="285"/>
      <c r="AC187" s="285"/>
      <c r="AD187" s="286"/>
      <c r="AE187" s="284" t="b">
        <f t="shared" si="558"/>
        <v>0</v>
      </c>
      <c r="AF187" s="285"/>
      <c r="AG187" s="282"/>
      <c r="AH187" s="282"/>
      <c r="AI187" s="312" t="b">
        <f t="shared" si="551"/>
        <v>0</v>
      </c>
      <c r="AJ187" s="313" t="b">
        <f t="shared" si="553"/>
        <v>0</v>
      </c>
    </row>
    <row r="188" spans="1:36">
      <c r="A188" s="301"/>
      <c r="B188" s="282"/>
      <c r="C188" s="282"/>
      <c r="D188" s="282"/>
      <c r="E188" s="302"/>
      <c r="F188" s="282"/>
      <c r="G188" s="282"/>
      <c r="H188" s="282"/>
      <c r="I188" s="302"/>
      <c r="J188" s="303"/>
      <c r="K188" s="282"/>
      <c r="L188" s="304"/>
      <c r="M188" s="304"/>
      <c r="N188" s="305"/>
      <c r="O188" s="288"/>
      <c r="P188" s="282"/>
      <c r="Q188" s="282"/>
      <c r="R188" s="302"/>
      <c r="S188" s="285"/>
      <c r="T188" s="286"/>
      <c r="U188" s="281"/>
      <c r="V188" s="282"/>
      <c r="W188" s="282"/>
      <c r="X188" s="282"/>
      <c r="Y188" s="283"/>
      <c r="Z188" s="284"/>
      <c r="AA188" s="285"/>
      <c r="AB188" s="285"/>
      <c r="AC188" s="285"/>
      <c r="AD188" s="286"/>
      <c r="AE188" s="284" t="b">
        <f t="shared" si="558"/>
        <v>0</v>
      </c>
      <c r="AF188" s="285"/>
      <c r="AG188" s="282"/>
      <c r="AH188" s="282"/>
      <c r="AI188" s="312" t="b">
        <f t="shared" si="551"/>
        <v>0</v>
      </c>
      <c r="AJ188" s="313" t="b">
        <f t="shared" si="553"/>
        <v>0</v>
      </c>
    </row>
    <row r="189" spans="1:36">
      <c r="A189" s="301"/>
      <c r="B189" s="282"/>
      <c r="C189" s="282"/>
      <c r="D189" s="282"/>
      <c r="E189" s="302"/>
      <c r="F189" s="282"/>
      <c r="G189" s="282"/>
      <c r="H189" s="282"/>
      <c r="I189" s="302"/>
      <c r="J189" s="303"/>
      <c r="K189" s="282"/>
      <c r="L189" s="304"/>
      <c r="M189" s="304"/>
      <c r="N189" s="305"/>
      <c r="O189" s="288"/>
      <c r="P189" s="282"/>
      <c r="Q189" s="282"/>
      <c r="R189" s="302"/>
      <c r="S189" s="285"/>
      <c r="T189" s="286"/>
      <c r="U189" s="281"/>
      <c r="V189" s="282"/>
      <c r="W189" s="282"/>
      <c r="X189" s="282"/>
      <c r="Y189" s="283"/>
      <c r="Z189" s="284"/>
      <c r="AA189" s="285"/>
      <c r="AB189" s="285"/>
      <c r="AC189" s="285"/>
      <c r="AD189" s="286"/>
      <c r="AE189" s="284" t="b">
        <f t="shared" si="558"/>
        <v>0</v>
      </c>
      <c r="AF189" s="285"/>
      <c r="AG189" s="282"/>
      <c r="AH189" s="282"/>
      <c r="AI189" s="312" t="b">
        <f t="shared" si="551"/>
        <v>0</v>
      </c>
      <c r="AJ189" s="313" t="b">
        <f t="shared" si="553"/>
        <v>0</v>
      </c>
    </row>
    <row r="190" spans="1:36">
      <c r="A190" s="301"/>
      <c r="B190" s="282"/>
      <c r="C190" s="282"/>
      <c r="D190" s="282"/>
      <c r="E190" s="302"/>
      <c r="F190" s="282"/>
      <c r="G190" s="282"/>
      <c r="H190" s="282"/>
      <c r="I190" s="302"/>
      <c r="J190" s="303"/>
      <c r="K190" s="282"/>
      <c r="L190" s="304"/>
      <c r="M190" s="304"/>
      <c r="N190" s="305"/>
      <c r="O190" s="288"/>
      <c r="P190" s="282"/>
      <c r="Q190" s="282"/>
      <c r="R190" s="302"/>
      <c r="S190" s="285"/>
      <c r="T190" s="286"/>
      <c r="U190" s="281"/>
      <c r="V190" s="282"/>
      <c r="W190" s="282"/>
      <c r="X190" s="282"/>
      <c r="Y190" s="283"/>
      <c r="Z190" s="284"/>
      <c r="AA190" s="285"/>
      <c r="AB190" s="285"/>
      <c r="AC190" s="285"/>
      <c r="AD190" s="286"/>
      <c r="AE190" s="284" t="b">
        <f t="shared" si="558"/>
        <v>0</v>
      </c>
      <c r="AF190" s="285"/>
      <c r="AG190" s="282"/>
      <c r="AH190" s="282"/>
      <c r="AI190" s="312" t="b">
        <f t="shared" si="551"/>
        <v>0</v>
      </c>
      <c r="AJ190" s="313" t="b">
        <f t="shared" si="553"/>
        <v>0</v>
      </c>
    </row>
    <row r="191" spans="1:36">
      <c r="A191" s="301"/>
      <c r="B191" s="282"/>
      <c r="C191" s="282"/>
      <c r="D191" s="282"/>
      <c r="E191" s="302"/>
      <c r="F191" s="282"/>
      <c r="G191" s="282"/>
      <c r="H191" s="282"/>
      <c r="I191" s="302"/>
      <c r="J191" s="303"/>
      <c r="K191" s="282"/>
      <c r="L191" s="304"/>
      <c r="M191" s="304"/>
      <c r="N191" s="305"/>
      <c r="O191" s="288"/>
      <c r="P191" s="282"/>
      <c r="Q191" s="282"/>
      <c r="R191" s="302"/>
      <c r="S191" s="285"/>
      <c r="T191" s="286"/>
      <c r="U191" s="281"/>
      <c r="V191" s="282"/>
      <c r="W191" s="282"/>
      <c r="X191" s="282"/>
      <c r="Y191" s="283"/>
      <c r="Z191" s="284"/>
      <c r="AA191" s="285"/>
      <c r="AB191" s="285"/>
      <c r="AC191" s="285"/>
      <c r="AD191" s="286"/>
      <c r="AE191" s="284" t="b">
        <f t="shared" si="558"/>
        <v>0</v>
      </c>
      <c r="AF191" s="285"/>
      <c r="AG191" s="282"/>
      <c r="AH191" s="282"/>
      <c r="AI191" s="312" t="b">
        <f t="shared" si="551"/>
        <v>0</v>
      </c>
      <c r="AJ191" s="313" t="b">
        <f t="shared" si="553"/>
        <v>0</v>
      </c>
    </row>
    <row r="192" spans="1:36">
      <c r="A192" s="301"/>
      <c r="B192" s="282"/>
      <c r="C192" s="282"/>
      <c r="D192" s="282"/>
      <c r="E192" s="302"/>
      <c r="F192" s="282"/>
      <c r="G192" s="282"/>
      <c r="H192" s="282"/>
      <c r="I192" s="302"/>
      <c r="J192" s="303"/>
      <c r="K192" s="282"/>
      <c r="L192" s="304"/>
      <c r="M192" s="304"/>
      <c r="N192" s="305"/>
      <c r="O192" s="288"/>
      <c r="P192" s="282"/>
      <c r="Q192" s="282"/>
      <c r="R192" s="302"/>
      <c r="S192" s="285"/>
      <c r="T192" s="286"/>
      <c r="U192" s="281"/>
      <c r="V192" s="282"/>
      <c r="W192" s="282"/>
      <c r="X192" s="282"/>
      <c r="Y192" s="283"/>
      <c r="Z192" s="284"/>
      <c r="AA192" s="285"/>
      <c r="AB192" s="285"/>
      <c r="AC192" s="285"/>
      <c r="AD192" s="286"/>
      <c r="AE192" s="284" t="b">
        <f t="shared" si="558"/>
        <v>0</v>
      </c>
      <c r="AF192" s="285"/>
      <c r="AG192" s="282"/>
      <c r="AH192" s="282"/>
      <c r="AI192" s="312" t="b">
        <f t="shared" si="551"/>
        <v>0</v>
      </c>
      <c r="AJ192" s="313" t="b">
        <f t="shared" si="553"/>
        <v>0</v>
      </c>
    </row>
    <row r="193" spans="1:36">
      <c r="A193" s="301"/>
      <c r="B193" s="282"/>
      <c r="C193" s="282"/>
      <c r="D193" s="282"/>
      <c r="E193" s="302"/>
      <c r="F193" s="282"/>
      <c r="G193" s="282"/>
      <c r="H193" s="282"/>
      <c r="I193" s="302"/>
      <c r="J193" s="303"/>
      <c r="K193" s="282"/>
      <c r="L193" s="304"/>
      <c r="M193" s="304"/>
      <c r="N193" s="305"/>
      <c r="O193" s="288"/>
      <c r="P193" s="282"/>
      <c r="Q193" s="282"/>
      <c r="R193" s="302"/>
      <c r="S193" s="285"/>
      <c r="T193" s="286"/>
      <c r="U193" s="281"/>
      <c r="V193" s="282"/>
      <c r="W193" s="282"/>
      <c r="X193" s="282"/>
      <c r="Y193" s="283"/>
      <c r="Z193" s="284"/>
      <c r="AA193" s="285"/>
      <c r="AB193" s="285"/>
      <c r="AC193" s="285"/>
      <c r="AD193" s="286"/>
      <c r="AE193" s="284" t="b">
        <f t="shared" si="558"/>
        <v>0</v>
      </c>
      <c r="AF193" s="285"/>
      <c r="AG193" s="282"/>
      <c r="AH193" s="282"/>
      <c r="AI193" s="312" t="b">
        <f t="shared" si="551"/>
        <v>0</v>
      </c>
      <c r="AJ193" s="313" t="b">
        <f t="shared" si="553"/>
        <v>0</v>
      </c>
    </row>
    <row r="194" spans="1:36">
      <c r="A194" s="301"/>
      <c r="B194" s="282"/>
      <c r="C194" s="282"/>
      <c r="D194" s="282"/>
      <c r="E194" s="302"/>
      <c r="F194" s="282"/>
      <c r="G194" s="282"/>
      <c r="H194" s="282"/>
      <c r="I194" s="302"/>
      <c r="J194" s="303"/>
      <c r="K194" s="282"/>
      <c r="L194" s="304"/>
      <c r="M194" s="304"/>
      <c r="N194" s="305"/>
      <c r="O194" s="288"/>
      <c r="P194" s="282"/>
      <c r="Q194" s="282"/>
      <c r="R194" s="302"/>
      <c r="S194" s="285"/>
      <c r="T194" s="286"/>
      <c r="U194" s="281"/>
      <c r="V194" s="282"/>
      <c r="W194" s="282"/>
      <c r="X194" s="282"/>
      <c r="Y194" s="283"/>
      <c r="Z194" s="284"/>
      <c r="AA194" s="285"/>
      <c r="AB194" s="285"/>
      <c r="AC194" s="285"/>
      <c r="AD194" s="286"/>
      <c r="AE194" s="284" t="b">
        <f t="shared" si="558"/>
        <v>0</v>
      </c>
      <c r="AF194" s="285"/>
      <c r="AG194" s="282"/>
      <c r="AH194" s="282"/>
      <c r="AI194" s="312" t="b">
        <f t="shared" si="551"/>
        <v>0</v>
      </c>
      <c r="AJ194" s="313" t="b">
        <f t="shared" si="553"/>
        <v>0</v>
      </c>
    </row>
    <row r="195" spans="1:36">
      <c r="A195" s="301"/>
      <c r="B195" s="282"/>
      <c r="C195" s="282"/>
      <c r="D195" s="282"/>
      <c r="E195" s="302"/>
      <c r="F195" s="282"/>
      <c r="G195" s="282"/>
      <c r="H195" s="282"/>
      <c r="I195" s="302"/>
      <c r="J195" s="303"/>
      <c r="K195" s="282"/>
      <c r="L195" s="304"/>
      <c r="M195" s="304"/>
      <c r="N195" s="305"/>
      <c r="O195" s="288"/>
      <c r="P195" s="282"/>
      <c r="Q195" s="282"/>
      <c r="R195" s="302"/>
      <c r="S195" s="285"/>
      <c r="T195" s="286"/>
      <c r="U195" s="281"/>
      <c r="V195" s="282"/>
      <c r="W195" s="282"/>
      <c r="X195" s="282"/>
      <c r="Y195" s="283"/>
      <c r="Z195" s="284"/>
      <c r="AA195" s="285"/>
      <c r="AB195" s="285"/>
      <c r="AC195" s="285"/>
      <c r="AD195" s="286"/>
      <c r="AE195" s="284" t="b">
        <f t="shared" si="558"/>
        <v>0</v>
      </c>
      <c r="AF195" s="285"/>
      <c r="AG195" s="282"/>
      <c r="AH195" s="282"/>
      <c r="AI195" s="312" t="b">
        <f t="shared" si="551"/>
        <v>0</v>
      </c>
      <c r="AJ195" s="313" t="b">
        <f t="shared" si="553"/>
        <v>0</v>
      </c>
    </row>
    <row r="196" spans="1:36">
      <c r="A196" s="301" t="s">
        <v>351</v>
      </c>
      <c r="B196" s="282">
        <f>MIN(IF(Calc!Q31&lt;=5,(455+22*Calc!Q31+0.3*(Calc!Q31-1)/2*Calc!Q31),(455+22*5+32.25*(Calc!Q31-5)+0.3*(Calc!Q31-1)/2*Calc!Q31)),1300)</f>
        <v>455</v>
      </c>
      <c r="C196" s="282">
        <f t="shared" ref="C196:K196" si="559">0</f>
        <v>0</v>
      </c>
      <c r="D196" s="282">
        <f t="shared" si="559"/>
        <v>0</v>
      </c>
      <c r="E196" s="302">
        <f t="shared" si="559"/>
        <v>0</v>
      </c>
      <c r="F196" s="282">
        <f t="shared" si="559"/>
        <v>0</v>
      </c>
      <c r="G196" s="282">
        <f t="shared" si="559"/>
        <v>0</v>
      </c>
      <c r="H196" s="282">
        <f t="shared" si="559"/>
        <v>0</v>
      </c>
      <c r="I196" s="302">
        <f t="shared" si="559"/>
        <v>0</v>
      </c>
      <c r="J196" s="303">
        <f t="shared" si="559"/>
        <v>0</v>
      </c>
      <c r="K196" s="282">
        <f t="shared" si="559"/>
        <v>0</v>
      </c>
      <c r="L196" s="304">
        <f t="shared" ref="L196:M196" si="560">1.25</f>
        <v>1.25</v>
      </c>
      <c r="M196" s="304">
        <f t="shared" si="560"/>
        <v>1.25</v>
      </c>
      <c r="N196" s="305">
        <f t="shared" ref="N196:N199" si="561">0</f>
        <v>0</v>
      </c>
      <c r="O196" s="288">
        <f>MIN(IF(Calc!Q31&gt;=5,(0.085*(Calc!Q31-5-1)/2*(Calc!Q31-5)),0),16)</f>
        <v>0</v>
      </c>
      <c r="P196" s="282">
        <f t="shared" ref="P196:S196" si="562">0</f>
        <v>0</v>
      </c>
      <c r="Q196" s="282">
        <f t="shared" si="562"/>
        <v>0</v>
      </c>
      <c r="R196" s="302">
        <f t="shared" si="562"/>
        <v>0</v>
      </c>
      <c r="S196" s="285">
        <f t="shared" si="562"/>
        <v>0</v>
      </c>
      <c r="T196" s="286">
        <f>110</f>
        <v>110</v>
      </c>
      <c r="U196" s="281">
        <f t="shared" ref="U196:Y196" si="563">0</f>
        <v>0</v>
      </c>
      <c r="V196" s="282">
        <f t="shared" si="563"/>
        <v>0</v>
      </c>
      <c r="W196" s="282">
        <f t="shared" si="563"/>
        <v>0</v>
      </c>
      <c r="X196" s="282">
        <f t="shared" si="563"/>
        <v>0</v>
      </c>
      <c r="Y196" s="283">
        <f t="shared" si="563"/>
        <v>0</v>
      </c>
      <c r="Z196" s="284">
        <f t="shared" ref="Z196:AD196" si="564">1</f>
        <v>1</v>
      </c>
      <c r="AA196" s="285">
        <f t="shared" si="564"/>
        <v>1</v>
      </c>
      <c r="AB196" s="285">
        <f t="shared" si="564"/>
        <v>1</v>
      </c>
      <c r="AC196" s="285">
        <f t="shared" si="564"/>
        <v>1</v>
      </c>
      <c r="AD196" s="286">
        <f t="shared" si="564"/>
        <v>1</v>
      </c>
      <c r="AE196" s="284" t="b">
        <f>TRUE</f>
        <v>1</v>
      </c>
      <c r="AF196" s="285"/>
      <c r="AG196" s="282"/>
      <c r="AH196" s="282"/>
      <c r="AI196" s="312" t="b">
        <f t="shared" si="551"/>
        <v>0</v>
      </c>
      <c r="AJ196" s="313" t="b">
        <f t="shared" si="553"/>
        <v>0</v>
      </c>
    </row>
    <row r="197" spans="1:36">
      <c r="A197" s="301" t="s">
        <v>352</v>
      </c>
      <c r="B197" s="282">
        <f>MIN(IF(Calc!Q31&lt;=5,290+6*Calc!Q31,290+6*5+8.25*(Calc!Q31-5)),485)</f>
        <v>290</v>
      </c>
      <c r="C197" s="282">
        <f t="shared" ref="C197:K197" si="565">0</f>
        <v>0</v>
      </c>
      <c r="D197" s="282">
        <f t="shared" si="565"/>
        <v>0</v>
      </c>
      <c r="E197" s="302">
        <f t="shared" si="565"/>
        <v>0</v>
      </c>
      <c r="F197" s="282">
        <f t="shared" si="565"/>
        <v>0</v>
      </c>
      <c r="G197" s="282">
        <f t="shared" si="565"/>
        <v>0</v>
      </c>
      <c r="H197" s="282">
        <f t="shared" si="565"/>
        <v>0</v>
      </c>
      <c r="I197" s="302">
        <f t="shared" si="565"/>
        <v>0</v>
      </c>
      <c r="J197" s="303">
        <f t="shared" si="565"/>
        <v>0</v>
      </c>
      <c r="K197" s="282">
        <f t="shared" si="565"/>
        <v>0</v>
      </c>
      <c r="L197" s="304">
        <f t="shared" ref="L197:M197" si="566">0.667</f>
        <v>0.66700000000000004</v>
      </c>
      <c r="M197" s="304">
        <f t="shared" si="566"/>
        <v>0.66700000000000004</v>
      </c>
      <c r="N197" s="305">
        <f t="shared" si="561"/>
        <v>0</v>
      </c>
      <c r="O197" s="288">
        <f t="shared" ref="O197:S197" si="567">0</f>
        <v>0</v>
      </c>
      <c r="P197" s="282">
        <f t="shared" si="567"/>
        <v>0</v>
      </c>
      <c r="Q197" s="282">
        <f t="shared" si="567"/>
        <v>0</v>
      </c>
      <c r="R197" s="302">
        <f t="shared" si="567"/>
        <v>0</v>
      </c>
      <c r="S197" s="285">
        <f t="shared" si="567"/>
        <v>0</v>
      </c>
      <c r="T197" s="286">
        <f>550</f>
        <v>550</v>
      </c>
      <c r="U197" s="281">
        <f t="shared" ref="U197:Y197" si="568">0</f>
        <v>0</v>
      </c>
      <c r="V197" s="282">
        <f t="shared" si="568"/>
        <v>0</v>
      </c>
      <c r="W197" s="282">
        <f t="shared" si="568"/>
        <v>0</v>
      </c>
      <c r="X197" s="282">
        <f t="shared" si="568"/>
        <v>0</v>
      </c>
      <c r="Y197" s="283">
        <f t="shared" si="568"/>
        <v>0</v>
      </c>
      <c r="Z197" s="284">
        <f t="shared" ref="Z197:AD197" si="569">1</f>
        <v>1</v>
      </c>
      <c r="AA197" s="285">
        <f t="shared" si="569"/>
        <v>1</v>
      </c>
      <c r="AB197" s="285">
        <f t="shared" si="569"/>
        <v>1</v>
      </c>
      <c r="AC197" s="285">
        <f t="shared" si="569"/>
        <v>1</v>
      </c>
      <c r="AD197" s="286">
        <f t="shared" si="569"/>
        <v>1</v>
      </c>
      <c r="AE197" s="284" t="b">
        <f t="shared" ref="AE197:AE198" si="570">FALSE</f>
        <v>0</v>
      </c>
      <c r="AF197" s="285"/>
      <c r="AG197" s="282"/>
      <c r="AH197" s="282"/>
      <c r="AI197" s="312" t="b">
        <f t="shared" si="551"/>
        <v>0</v>
      </c>
      <c r="AJ197" s="313" t="b">
        <f t="shared" si="553"/>
        <v>0</v>
      </c>
    </row>
    <row r="198" spans="1:36">
      <c r="A198" s="301" t="s">
        <v>353</v>
      </c>
      <c r="B198" s="282">
        <f>MIN(IF(Calc!Q31&lt;=5,850+62*Calc!Q31,850+62*5+87*(Calc!Q31-5)),10850)</f>
        <v>850</v>
      </c>
      <c r="C198" s="282">
        <f t="shared" ref="C198:K198" si="571">0</f>
        <v>0</v>
      </c>
      <c r="D198" s="282">
        <f t="shared" si="571"/>
        <v>0</v>
      </c>
      <c r="E198" s="302">
        <f t="shared" si="571"/>
        <v>0</v>
      </c>
      <c r="F198" s="282">
        <f t="shared" si="571"/>
        <v>0</v>
      </c>
      <c r="G198" s="282">
        <f t="shared" si="571"/>
        <v>0</v>
      </c>
      <c r="H198" s="282">
        <f t="shared" si="571"/>
        <v>0</v>
      </c>
      <c r="I198" s="302">
        <f t="shared" si="571"/>
        <v>0</v>
      </c>
      <c r="J198" s="303">
        <f t="shared" si="571"/>
        <v>0</v>
      </c>
      <c r="K198" s="282">
        <f t="shared" si="571"/>
        <v>0</v>
      </c>
      <c r="L198" s="304">
        <f t="shared" ref="L198:M198" si="572">1</f>
        <v>1</v>
      </c>
      <c r="M198" s="304">
        <f t="shared" si="572"/>
        <v>1</v>
      </c>
      <c r="N198" s="305">
        <f t="shared" si="561"/>
        <v>0</v>
      </c>
      <c r="O198" s="288">
        <f t="shared" ref="O198:S198" si="573">0</f>
        <v>0</v>
      </c>
      <c r="P198" s="282">
        <f t="shared" si="573"/>
        <v>0</v>
      </c>
      <c r="Q198" s="282">
        <f t="shared" si="573"/>
        <v>0</v>
      </c>
      <c r="R198" s="302">
        <f t="shared" si="573"/>
        <v>0</v>
      </c>
      <c r="S198" s="285">
        <f t="shared" si="573"/>
        <v>0</v>
      </c>
      <c r="T198" s="286">
        <f>300</f>
        <v>300</v>
      </c>
      <c r="U198" s="281">
        <f t="shared" ref="U198:Y198" si="574">0</f>
        <v>0</v>
      </c>
      <c r="V198" s="282">
        <f t="shared" si="574"/>
        <v>0</v>
      </c>
      <c r="W198" s="282">
        <f t="shared" si="574"/>
        <v>0</v>
      </c>
      <c r="X198" s="282">
        <f t="shared" si="574"/>
        <v>0</v>
      </c>
      <c r="Y198" s="283">
        <f t="shared" si="574"/>
        <v>0</v>
      </c>
      <c r="Z198" s="284">
        <f t="shared" ref="Z198:AD198" si="575">1</f>
        <v>1</v>
      </c>
      <c r="AA198" s="285">
        <f t="shared" si="575"/>
        <v>1</v>
      </c>
      <c r="AB198" s="285">
        <f t="shared" si="575"/>
        <v>1</v>
      </c>
      <c r="AC198" s="285">
        <f t="shared" si="575"/>
        <v>1</v>
      </c>
      <c r="AD198" s="286">
        <f t="shared" si="575"/>
        <v>1</v>
      </c>
      <c r="AE198" s="284" t="b">
        <f t="shared" si="570"/>
        <v>0</v>
      </c>
      <c r="AF198" s="285"/>
      <c r="AG198" s="282"/>
      <c r="AH198" s="282"/>
      <c r="AI198" s="312" t="b">
        <f t="shared" si="551"/>
        <v>0</v>
      </c>
      <c r="AJ198" s="313" t="b">
        <f t="shared" si="553"/>
        <v>0</v>
      </c>
    </row>
    <row r="199" spans="1:36">
      <c r="A199" s="301" t="s">
        <v>354</v>
      </c>
      <c r="B199" s="282">
        <f>MIN(1500+100*Calc!Q31,11500)</f>
        <v>1500</v>
      </c>
      <c r="C199" s="282">
        <f t="shared" ref="C199:K199" si="576">0</f>
        <v>0</v>
      </c>
      <c r="D199" s="282">
        <f t="shared" si="576"/>
        <v>0</v>
      </c>
      <c r="E199" s="302">
        <f t="shared" si="576"/>
        <v>0</v>
      </c>
      <c r="F199" s="282">
        <f t="shared" si="576"/>
        <v>0</v>
      </c>
      <c r="G199" s="282">
        <f t="shared" si="576"/>
        <v>0</v>
      </c>
      <c r="H199" s="282">
        <f t="shared" si="576"/>
        <v>0</v>
      </c>
      <c r="I199" s="302">
        <f t="shared" si="576"/>
        <v>0</v>
      </c>
      <c r="J199" s="303">
        <f t="shared" si="576"/>
        <v>0</v>
      </c>
      <c r="K199" s="282">
        <f t="shared" si="576"/>
        <v>0</v>
      </c>
      <c r="L199" s="304">
        <f t="shared" ref="L199:M199" si="577">0.85</f>
        <v>0.85</v>
      </c>
      <c r="M199" s="304">
        <f t="shared" si="577"/>
        <v>0.85</v>
      </c>
      <c r="N199" s="305">
        <f t="shared" si="561"/>
        <v>0</v>
      </c>
      <c r="O199" s="288">
        <f t="shared" ref="O199:O200" si="578">100</f>
        <v>100</v>
      </c>
      <c r="P199" s="282">
        <f t="shared" ref="P199:P200" si="579">0</f>
        <v>0</v>
      </c>
      <c r="Q199" s="282">
        <f>-30</f>
        <v>-30</v>
      </c>
      <c r="R199" s="302">
        <f t="shared" ref="R199:S199" si="580">0</f>
        <v>0</v>
      </c>
      <c r="S199" s="285">
        <f t="shared" si="580"/>
        <v>0</v>
      </c>
      <c r="T199" s="286">
        <f>170</f>
        <v>170</v>
      </c>
      <c r="U199" s="281">
        <f t="shared" ref="U199:Y199" si="581">0</f>
        <v>0</v>
      </c>
      <c r="V199" s="282">
        <f t="shared" si="581"/>
        <v>0</v>
      </c>
      <c r="W199" s="282">
        <f t="shared" si="581"/>
        <v>0</v>
      </c>
      <c r="X199" s="282">
        <f t="shared" si="581"/>
        <v>0</v>
      </c>
      <c r="Y199" s="283">
        <f t="shared" si="581"/>
        <v>0</v>
      </c>
      <c r="Z199" s="284">
        <f t="shared" ref="Z199:AD199" si="582">1</f>
        <v>1</v>
      </c>
      <c r="AA199" s="285">
        <f t="shared" si="582"/>
        <v>1</v>
      </c>
      <c r="AB199" s="285">
        <f t="shared" si="582"/>
        <v>1</v>
      </c>
      <c r="AC199" s="285">
        <f t="shared" si="582"/>
        <v>1</v>
      </c>
      <c r="AD199" s="286">
        <f t="shared" si="582"/>
        <v>1</v>
      </c>
      <c r="AE199" s="284" t="b">
        <f t="shared" ref="AE199:AE200" si="583">TRUE</f>
        <v>1</v>
      </c>
      <c r="AF199" s="285"/>
      <c r="AG199" s="282"/>
      <c r="AH199" s="282"/>
      <c r="AI199" s="312" t="b">
        <f t="shared" si="551"/>
        <v>0</v>
      </c>
      <c r="AJ199" s="313" t="b">
        <f t="shared" si="553"/>
        <v>0</v>
      </c>
    </row>
    <row r="200" spans="1:36">
      <c r="A200" s="301" t="s">
        <v>355</v>
      </c>
      <c r="B200" s="282">
        <f>3000</f>
        <v>3000</v>
      </c>
      <c r="C200" s="282">
        <f t="shared" ref="C200:K200" si="584">0</f>
        <v>0</v>
      </c>
      <c r="D200" s="282">
        <f t="shared" si="584"/>
        <v>0</v>
      </c>
      <c r="E200" s="302">
        <f t="shared" si="584"/>
        <v>0</v>
      </c>
      <c r="F200" s="282">
        <f t="shared" si="584"/>
        <v>0</v>
      </c>
      <c r="G200" s="282">
        <f t="shared" si="584"/>
        <v>0</v>
      </c>
      <c r="H200" s="282">
        <f t="shared" si="584"/>
        <v>0</v>
      </c>
      <c r="I200" s="302">
        <f t="shared" si="584"/>
        <v>0</v>
      </c>
      <c r="J200" s="303">
        <f t="shared" si="584"/>
        <v>0</v>
      </c>
      <c r="K200" s="282">
        <f t="shared" si="584"/>
        <v>0</v>
      </c>
      <c r="L200" s="304">
        <f t="shared" ref="L200:M200" si="585">0.658</f>
        <v>0.65800000000000003</v>
      </c>
      <c r="M200" s="304">
        <f t="shared" si="585"/>
        <v>0.65800000000000003</v>
      </c>
      <c r="N200" s="305">
        <f>0%</f>
        <v>0</v>
      </c>
      <c r="O200" s="288">
        <f t="shared" si="578"/>
        <v>100</v>
      </c>
      <c r="P200" s="282">
        <f t="shared" si="579"/>
        <v>0</v>
      </c>
      <c r="Q200" s="282">
        <f>100</f>
        <v>100</v>
      </c>
      <c r="R200" s="302">
        <f t="shared" ref="R200:Y200" si="586">0</f>
        <v>0</v>
      </c>
      <c r="S200" s="285">
        <f t="shared" si="586"/>
        <v>0</v>
      </c>
      <c r="T200" s="286">
        <f t="shared" si="586"/>
        <v>0</v>
      </c>
      <c r="U200" s="281">
        <f t="shared" si="586"/>
        <v>0</v>
      </c>
      <c r="V200" s="282">
        <f t="shared" si="586"/>
        <v>0</v>
      </c>
      <c r="W200" s="282">
        <f t="shared" si="586"/>
        <v>0</v>
      </c>
      <c r="X200" s="282">
        <f t="shared" si="586"/>
        <v>0</v>
      </c>
      <c r="Y200" s="283">
        <f t="shared" si="586"/>
        <v>0</v>
      </c>
      <c r="Z200" s="284">
        <f t="shared" ref="Z200:AD200" si="587">1</f>
        <v>1</v>
      </c>
      <c r="AA200" s="285">
        <f t="shared" si="587"/>
        <v>1</v>
      </c>
      <c r="AB200" s="285">
        <f t="shared" si="587"/>
        <v>1</v>
      </c>
      <c r="AC200" s="285">
        <f t="shared" si="587"/>
        <v>1</v>
      </c>
      <c r="AD200" s="286">
        <f t="shared" si="587"/>
        <v>1</v>
      </c>
      <c r="AE200" s="284" t="b">
        <f t="shared" si="583"/>
        <v>1</v>
      </c>
      <c r="AF200" s="285"/>
      <c r="AG200" s="282"/>
      <c r="AH200" s="282"/>
      <c r="AI200" s="312" t="b">
        <f t="shared" si="551"/>
        <v>0</v>
      </c>
      <c r="AJ200" s="313" t="b">
        <f t="shared" si="553"/>
        <v>0</v>
      </c>
    </row>
  </sheetData>
  <hyperlinks>
    <hyperlink ref="A1" r:id="rId1" xr:uid="{00000000-0004-0000-0600-000000000000}"/>
    <hyperlink ref="T1" r:id="rId2" xr:uid="{00000000-0004-0000-0600-000001000000}"/>
  </hyperlinks>
  <pageMargins left="0.7" right="0.7" top="0.75" bottom="0.75" header="0.3" footer="0.3"/>
  <legacyDrawing r:id="rId3"/>
  <tableParts count="1">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E69138"/>
    <outlinePr summaryBelow="0" summaryRight="0"/>
  </sheetPr>
  <dimension ref="A1:B200"/>
  <sheetViews>
    <sheetView showGridLines="0" workbookViewId="0"/>
  </sheetViews>
  <sheetFormatPr baseColWidth="10" defaultColWidth="12.6640625" defaultRowHeight="15" customHeight="1"/>
  <cols>
    <col min="1" max="1" width="19" customWidth="1"/>
    <col min="2" max="2" width="62.109375" customWidth="1"/>
  </cols>
  <sheetData>
    <row r="1" spans="1:2" ht="63.75" customHeight="1">
      <c r="A1" s="314" t="s">
        <v>11</v>
      </c>
      <c r="B1" s="315" t="s">
        <v>356</v>
      </c>
    </row>
    <row r="2" spans="1:2" ht="15.6">
      <c r="A2" s="314" t="s">
        <v>188</v>
      </c>
      <c r="B2" s="315" t="s">
        <v>357</v>
      </c>
    </row>
    <row r="3" spans="1:2" ht="15.6">
      <c r="A3" s="314" t="s">
        <v>189</v>
      </c>
      <c r="B3" s="315" t="s">
        <v>358</v>
      </c>
    </row>
    <row r="4" spans="1:2" ht="15.6">
      <c r="A4" s="314" t="s">
        <v>190</v>
      </c>
      <c r="B4" s="315" t="s">
        <v>359</v>
      </c>
    </row>
    <row r="5" spans="1:2" ht="15.6">
      <c r="A5" s="314" t="s">
        <v>192</v>
      </c>
      <c r="B5" s="315" t="s">
        <v>360</v>
      </c>
    </row>
    <row r="6" spans="1:2" ht="15.6">
      <c r="A6" s="314" t="s">
        <v>193</v>
      </c>
      <c r="B6" s="315" t="s">
        <v>361</v>
      </c>
    </row>
    <row r="7" spans="1:2" ht="15.6">
      <c r="A7" s="314" t="s">
        <v>194</v>
      </c>
      <c r="B7" s="315" t="s">
        <v>362</v>
      </c>
    </row>
    <row r="8" spans="1:2" ht="15.6">
      <c r="A8" s="314" t="s">
        <v>195</v>
      </c>
      <c r="B8" s="315" t="s">
        <v>363</v>
      </c>
    </row>
    <row r="9" spans="1:2" ht="15.6">
      <c r="A9" s="314" t="s">
        <v>196</v>
      </c>
      <c r="B9" s="315" t="s">
        <v>364</v>
      </c>
    </row>
    <row r="10" spans="1:2" ht="15.6">
      <c r="A10" s="314" t="s">
        <v>197</v>
      </c>
      <c r="B10" s="315" t="s">
        <v>365</v>
      </c>
    </row>
    <row r="11" spans="1:2" ht="15.6">
      <c r="A11" s="314" t="s">
        <v>198</v>
      </c>
      <c r="B11" s="315" t="s">
        <v>366</v>
      </c>
    </row>
    <row r="12" spans="1:2" ht="15.6">
      <c r="A12" s="314" t="s">
        <v>199</v>
      </c>
      <c r="B12" s="315" t="s">
        <v>367</v>
      </c>
    </row>
    <row r="13" spans="1:2" ht="15.6">
      <c r="A13" s="314" t="s">
        <v>200</v>
      </c>
      <c r="B13" s="315" t="s">
        <v>368</v>
      </c>
    </row>
    <row r="14" spans="1:2" ht="15.6">
      <c r="A14" s="314" t="s">
        <v>201</v>
      </c>
      <c r="B14" s="315" t="s">
        <v>369</v>
      </c>
    </row>
    <row r="15" spans="1:2" ht="15.6">
      <c r="A15" s="314" t="s">
        <v>202</v>
      </c>
      <c r="B15" s="315" t="s">
        <v>370</v>
      </c>
    </row>
    <row r="16" spans="1:2" ht="15.6">
      <c r="A16" s="314" t="s">
        <v>203</v>
      </c>
      <c r="B16" s="315" t="s">
        <v>371</v>
      </c>
    </row>
    <row r="17" spans="1:2" ht="15.6">
      <c r="A17" s="314" t="s">
        <v>204</v>
      </c>
      <c r="B17" s="315" t="s">
        <v>372</v>
      </c>
    </row>
    <row r="18" spans="1:2" ht="15.6">
      <c r="A18" s="314" t="s">
        <v>205</v>
      </c>
      <c r="B18" s="315" t="s">
        <v>373</v>
      </c>
    </row>
    <row r="19" spans="1:2" ht="15.6">
      <c r="A19" s="314" t="s">
        <v>206</v>
      </c>
      <c r="B19" s="315" t="s">
        <v>374</v>
      </c>
    </row>
    <row r="20" spans="1:2" ht="15.6">
      <c r="A20" s="314" t="s">
        <v>207</v>
      </c>
      <c r="B20" s="315" t="s">
        <v>375</v>
      </c>
    </row>
    <row r="21" spans="1:2" ht="15.6">
      <c r="A21" s="314" t="s">
        <v>208</v>
      </c>
      <c r="B21" s="315" t="s">
        <v>376</v>
      </c>
    </row>
    <row r="22" spans="1:2" ht="15.6">
      <c r="A22" s="314" t="s">
        <v>209</v>
      </c>
      <c r="B22" s="315" t="s">
        <v>377</v>
      </c>
    </row>
    <row r="23" spans="1:2" ht="15.6">
      <c r="A23" s="314" t="s">
        <v>210</v>
      </c>
      <c r="B23" s="315" t="s">
        <v>378</v>
      </c>
    </row>
    <row r="24" spans="1:2" ht="15.6">
      <c r="A24" s="314" t="s">
        <v>211</v>
      </c>
      <c r="B24" s="315" t="s">
        <v>379</v>
      </c>
    </row>
    <row r="25" spans="1:2" ht="15.6">
      <c r="A25" s="314" t="s">
        <v>212</v>
      </c>
      <c r="B25" s="315" t="s">
        <v>380</v>
      </c>
    </row>
    <row r="26" spans="1:2" ht="15.6">
      <c r="A26" s="314" t="s">
        <v>213</v>
      </c>
      <c r="B26" s="315" t="s">
        <v>381</v>
      </c>
    </row>
    <row r="27" spans="1:2" ht="15.6">
      <c r="A27" s="314" t="s">
        <v>214</v>
      </c>
      <c r="B27" s="315" t="s">
        <v>382</v>
      </c>
    </row>
    <row r="28" spans="1:2" ht="15.6">
      <c r="A28" s="314" t="s">
        <v>215</v>
      </c>
      <c r="B28" s="315" t="s">
        <v>383</v>
      </c>
    </row>
    <row r="29" spans="1:2" ht="15.6">
      <c r="A29" s="314" t="s">
        <v>216</v>
      </c>
      <c r="B29" s="315" t="s">
        <v>384</v>
      </c>
    </row>
    <row r="30" spans="1:2" ht="15.6">
      <c r="A30" s="314" t="s">
        <v>217</v>
      </c>
      <c r="B30" s="315" t="s">
        <v>385</v>
      </c>
    </row>
    <row r="31" spans="1:2" ht="15.6">
      <c r="A31" s="314" t="s">
        <v>218</v>
      </c>
      <c r="B31" s="315" t="s">
        <v>386</v>
      </c>
    </row>
    <row r="32" spans="1:2" ht="15.6">
      <c r="A32" s="314" t="s">
        <v>219</v>
      </c>
      <c r="B32" s="315" t="s">
        <v>387</v>
      </c>
    </row>
    <row r="33" spans="1:2" ht="15.6">
      <c r="A33" s="314" t="s">
        <v>220</v>
      </c>
      <c r="B33" s="315" t="s">
        <v>388</v>
      </c>
    </row>
    <row r="34" spans="1:2" ht="15.6">
      <c r="A34" s="314" t="s">
        <v>221</v>
      </c>
      <c r="B34" s="315" t="s">
        <v>389</v>
      </c>
    </row>
    <row r="35" spans="1:2" ht="15.6">
      <c r="A35" s="314" t="s">
        <v>222</v>
      </c>
      <c r="B35" s="315" t="s">
        <v>390</v>
      </c>
    </row>
    <row r="36" spans="1:2" ht="15.6">
      <c r="A36" s="314" t="s">
        <v>223</v>
      </c>
      <c r="B36" s="315" t="s">
        <v>391</v>
      </c>
    </row>
    <row r="37" spans="1:2" ht="15.6">
      <c r="A37" s="314" t="s">
        <v>224</v>
      </c>
      <c r="B37" s="315" t="s">
        <v>392</v>
      </c>
    </row>
    <row r="38" spans="1:2" ht="15.6">
      <c r="A38" s="314" t="s">
        <v>225</v>
      </c>
      <c r="B38" s="315" t="s">
        <v>393</v>
      </c>
    </row>
    <row r="39" spans="1:2" ht="15.6">
      <c r="A39" s="314" t="s">
        <v>227</v>
      </c>
      <c r="B39" s="315" t="s">
        <v>394</v>
      </c>
    </row>
    <row r="40" spans="1:2" ht="15.6">
      <c r="A40" s="314" t="s">
        <v>228</v>
      </c>
      <c r="B40" s="315" t="s">
        <v>395</v>
      </c>
    </row>
    <row r="41" spans="1:2" ht="15.6">
      <c r="A41" s="314" t="s">
        <v>229</v>
      </c>
      <c r="B41" s="315" t="s">
        <v>386</v>
      </c>
    </row>
    <row r="42" spans="1:2" ht="15.6">
      <c r="A42" s="314" t="s">
        <v>230</v>
      </c>
      <c r="B42" s="315" t="s">
        <v>396</v>
      </c>
    </row>
    <row r="43" spans="1:2" ht="15.6">
      <c r="A43" s="314" t="s">
        <v>231</v>
      </c>
      <c r="B43" s="315" t="s">
        <v>397</v>
      </c>
    </row>
    <row r="44" spans="1:2" ht="15.6">
      <c r="A44" s="314" t="s">
        <v>232</v>
      </c>
      <c r="B44" s="315" t="s">
        <v>398</v>
      </c>
    </row>
    <row r="45" spans="1:2" ht="15.6">
      <c r="A45" s="314" t="s">
        <v>233</v>
      </c>
      <c r="B45" s="315" t="s">
        <v>399</v>
      </c>
    </row>
    <row r="46" spans="1:2" ht="15.6">
      <c r="A46" s="314" t="s">
        <v>234</v>
      </c>
      <c r="B46" s="315" t="s">
        <v>400</v>
      </c>
    </row>
    <row r="47" spans="1:2" ht="15.6">
      <c r="A47" s="314" t="s">
        <v>235</v>
      </c>
      <c r="B47" s="315" t="s">
        <v>401</v>
      </c>
    </row>
    <row r="48" spans="1:2" ht="15.6">
      <c r="A48" s="314" t="s">
        <v>236</v>
      </c>
      <c r="B48" s="315" t="s">
        <v>402</v>
      </c>
    </row>
    <row r="49" spans="1:2" ht="15.6">
      <c r="A49" s="314" t="s">
        <v>237</v>
      </c>
      <c r="B49" s="315" t="s">
        <v>403</v>
      </c>
    </row>
    <row r="50" spans="1:2" ht="15.6">
      <c r="A50" s="314" t="s">
        <v>238</v>
      </c>
      <c r="B50" s="315" t="s">
        <v>404</v>
      </c>
    </row>
    <row r="51" spans="1:2" ht="15.6">
      <c r="A51" s="314" t="s">
        <v>239</v>
      </c>
      <c r="B51" s="315" t="s">
        <v>405</v>
      </c>
    </row>
    <row r="52" spans="1:2" ht="15.6">
      <c r="A52" s="314" t="s">
        <v>240</v>
      </c>
      <c r="B52" s="315" t="s">
        <v>406</v>
      </c>
    </row>
    <row r="53" spans="1:2" ht="15.6">
      <c r="A53" s="314" t="s">
        <v>241</v>
      </c>
      <c r="B53" s="315" t="s">
        <v>407</v>
      </c>
    </row>
    <row r="54" spans="1:2" ht="15.6">
      <c r="A54" s="314" t="s">
        <v>242</v>
      </c>
      <c r="B54" s="315" t="s">
        <v>386</v>
      </c>
    </row>
    <row r="55" spans="1:2" ht="15.6">
      <c r="A55" s="314" t="s">
        <v>243</v>
      </c>
      <c r="B55" s="315" t="s">
        <v>408</v>
      </c>
    </row>
    <row r="56" spans="1:2" ht="15.6">
      <c r="A56" s="314" t="s">
        <v>244</v>
      </c>
      <c r="B56" s="315" t="s">
        <v>409</v>
      </c>
    </row>
    <row r="57" spans="1:2" ht="15.6">
      <c r="A57" s="314" t="s">
        <v>245</v>
      </c>
      <c r="B57" s="315" t="s">
        <v>410</v>
      </c>
    </row>
    <row r="58" spans="1:2" ht="15.6">
      <c r="A58" s="314" t="s">
        <v>246</v>
      </c>
      <c r="B58" s="315" t="s">
        <v>411</v>
      </c>
    </row>
    <row r="59" spans="1:2" ht="15.6">
      <c r="A59" s="314" t="s">
        <v>247</v>
      </c>
      <c r="B59" s="315" t="s">
        <v>412</v>
      </c>
    </row>
    <row r="60" spans="1:2" ht="15.6">
      <c r="A60" s="314" t="s">
        <v>248</v>
      </c>
      <c r="B60" s="315" t="s">
        <v>413</v>
      </c>
    </row>
    <row r="61" spans="1:2" ht="15.6">
      <c r="A61" s="314" t="s">
        <v>249</v>
      </c>
      <c r="B61" s="315" t="s">
        <v>414</v>
      </c>
    </row>
    <row r="62" spans="1:2" ht="15.6">
      <c r="A62" s="314" t="s">
        <v>250</v>
      </c>
      <c r="B62" s="315" t="s">
        <v>415</v>
      </c>
    </row>
    <row r="63" spans="1:2" ht="15.6">
      <c r="A63" s="314" t="s">
        <v>251</v>
      </c>
      <c r="B63" s="315" t="s">
        <v>416</v>
      </c>
    </row>
    <row r="64" spans="1:2" ht="15.6">
      <c r="A64" s="314" t="s">
        <v>252</v>
      </c>
      <c r="B64" s="315" t="s">
        <v>417</v>
      </c>
    </row>
    <row r="65" spans="1:2" ht="15.6">
      <c r="A65" s="314" t="s">
        <v>253</v>
      </c>
      <c r="B65" s="315" t="s">
        <v>418</v>
      </c>
    </row>
    <row r="66" spans="1:2" ht="15.6">
      <c r="A66" s="314" t="s">
        <v>254</v>
      </c>
      <c r="B66" s="315" t="s">
        <v>419</v>
      </c>
    </row>
    <row r="67" spans="1:2" ht="15.6">
      <c r="A67" s="314" t="s">
        <v>255</v>
      </c>
      <c r="B67" s="315" t="s">
        <v>386</v>
      </c>
    </row>
    <row r="68" spans="1:2" ht="15.6">
      <c r="A68" s="314" t="s">
        <v>256</v>
      </c>
      <c r="B68" s="315" t="s">
        <v>420</v>
      </c>
    </row>
    <row r="69" spans="1:2" ht="15.6">
      <c r="A69" s="314" t="s">
        <v>257</v>
      </c>
      <c r="B69" s="315" t="s">
        <v>421</v>
      </c>
    </row>
    <row r="70" spans="1:2" ht="15.6">
      <c r="A70" s="314" t="s">
        <v>258</v>
      </c>
      <c r="B70" s="315" t="s">
        <v>422</v>
      </c>
    </row>
    <row r="71" spans="1:2" ht="15.6">
      <c r="A71" s="314" t="s">
        <v>259</v>
      </c>
      <c r="B71" s="315" t="s">
        <v>423</v>
      </c>
    </row>
    <row r="72" spans="1:2" ht="15.6">
      <c r="A72" s="314" t="s">
        <v>260</v>
      </c>
      <c r="B72" s="315" t="s">
        <v>424</v>
      </c>
    </row>
    <row r="73" spans="1:2" ht="15.6">
      <c r="A73" s="314" t="s">
        <v>261</v>
      </c>
      <c r="B73" s="315" t="s">
        <v>386</v>
      </c>
    </row>
    <row r="74" spans="1:2" ht="15.6">
      <c r="A74" s="314" t="s">
        <v>262</v>
      </c>
      <c r="B74" s="315" t="s">
        <v>425</v>
      </c>
    </row>
    <row r="75" spans="1:2" ht="15.6">
      <c r="A75" s="314" t="s">
        <v>263</v>
      </c>
      <c r="B75" s="315" t="s">
        <v>426</v>
      </c>
    </row>
    <row r="76" spans="1:2" ht="15.6">
      <c r="A76" s="314" t="s">
        <v>264</v>
      </c>
      <c r="B76" s="315" t="s">
        <v>386</v>
      </c>
    </row>
    <row r="77" spans="1:2" ht="15.6">
      <c r="A77" s="314" t="s">
        <v>265</v>
      </c>
      <c r="B77" s="315" t="s">
        <v>427</v>
      </c>
    </row>
    <row r="78" spans="1:2" ht="15.6">
      <c r="A78" s="314" t="s">
        <v>266</v>
      </c>
      <c r="B78" s="315" t="s">
        <v>428</v>
      </c>
    </row>
    <row r="79" spans="1:2" ht="15.6">
      <c r="A79" s="314" t="s">
        <v>267</v>
      </c>
      <c r="B79" s="315" t="s">
        <v>429</v>
      </c>
    </row>
    <row r="80" spans="1:2" ht="15.6">
      <c r="A80" s="314" t="s">
        <v>268</v>
      </c>
      <c r="B80" s="315" t="s">
        <v>430</v>
      </c>
    </row>
    <row r="81" spans="1:2" ht="15.6">
      <c r="A81" s="314" t="s">
        <v>269</v>
      </c>
      <c r="B81" s="315" t="s">
        <v>431</v>
      </c>
    </row>
    <row r="82" spans="1:2" ht="15.6">
      <c r="A82" s="314" t="s">
        <v>270</v>
      </c>
      <c r="B82" s="315" t="s">
        <v>432</v>
      </c>
    </row>
    <row r="83" spans="1:2" ht="15.6">
      <c r="A83" s="314" t="s">
        <v>271</v>
      </c>
      <c r="B83" s="315" t="s">
        <v>433</v>
      </c>
    </row>
    <row r="84" spans="1:2" ht="15.6">
      <c r="A84" s="314" t="s">
        <v>272</v>
      </c>
      <c r="B84" s="315" t="s">
        <v>434</v>
      </c>
    </row>
    <row r="85" spans="1:2" ht="15.6">
      <c r="A85" s="314" t="s">
        <v>273</v>
      </c>
      <c r="B85" s="315" t="s">
        <v>435</v>
      </c>
    </row>
    <row r="86" spans="1:2" ht="15.6">
      <c r="A86" s="314" t="s">
        <v>274</v>
      </c>
      <c r="B86" s="315" t="s">
        <v>436</v>
      </c>
    </row>
    <row r="87" spans="1:2" ht="15.6">
      <c r="A87" s="314" t="s">
        <v>275</v>
      </c>
      <c r="B87" s="315" t="s">
        <v>386</v>
      </c>
    </row>
    <row r="88" spans="1:2" ht="15.6">
      <c r="A88" s="314" t="s">
        <v>276</v>
      </c>
      <c r="B88" s="315" t="s">
        <v>437</v>
      </c>
    </row>
    <row r="89" spans="1:2" ht="15.6">
      <c r="A89" s="314" t="s">
        <v>277</v>
      </c>
      <c r="B89" s="315" t="s">
        <v>438</v>
      </c>
    </row>
    <row r="90" spans="1:2" ht="15.6">
      <c r="A90" s="314" t="s">
        <v>278</v>
      </c>
      <c r="B90" s="315" t="s">
        <v>386</v>
      </c>
    </row>
    <row r="91" spans="1:2" ht="15.6">
      <c r="A91" s="314" t="s">
        <v>279</v>
      </c>
      <c r="B91" s="315" t="s">
        <v>439</v>
      </c>
    </row>
    <row r="92" spans="1:2" ht="15.6">
      <c r="A92" s="314" t="s">
        <v>280</v>
      </c>
      <c r="B92" s="315" t="s">
        <v>440</v>
      </c>
    </row>
    <row r="93" spans="1:2" ht="15.6">
      <c r="A93" s="314" t="s">
        <v>281</v>
      </c>
      <c r="B93" s="315" t="s">
        <v>386</v>
      </c>
    </row>
    <row r="94" spans="1:2" ht="15.6">
      <c r="A94" s="314" t="s">
        <v>282</v>
      </c>
      <c r="B94" s="315" t="s">
        <v>441</v>
      </c>
    </row>
    <row r="95" spans="1:2" ht="15.6">
      <c r="A95" s="314" t="s">
        <v>283</v>
      </c>
      <c r="B95" s="315" t="s">
        <v>442</v>
      </c>
    </row>
    <row r="96" spans="1:2" ht="15.6">
      <c r="A96" s="314" t="s">
        <v>285</v>
      </c>
      <c r="B96" s="315" t="s">
        <v>443</v>
      </c>
    </row>
    <row r="97" spans="1:2" ht="15.6">
      <c r="A97" s="314" t="s">
        <v>286</v>
      </c>
      <c r="B97" s="315" t="s">
        <v>444</v>
      </c>
    </row>
    <row r="98" spans="1:2" ht="15.6">
      <c r="A98" s="314" t="s">
        <v>287</v>
      </c>
      <c r="B98" s="315" t="s">
        <v>445</v>
      </c>
    </row>
    <row r="99" spans="1:2" ht="15.6">
      <c r="A99" s="314" t="s">
        <v>288</v>
      </c>
      <c r="B99" s="315" t="s">
        <v>446</v>
      </c>
    </row>
    <row r="100" spans="1:2" ht="15.6">
      <c r="A100" s="314" t="s">
        <v>289</v>
      </c>
      <c r="B100" s="315" t="s">
        <v>392</v>
      </c>
    </row>
    <row r="101" spans="1:2" ht="15.6">
      <c r="A101" s="314" t="s">
        <v>290</v>
      </c>
      <c r="B101" s="315" t="s">
        <v>447</v>
      </c>
    </row>
    <row r="102" spans="1:2" ht="15.6">
      <c r="A102" s="314" t="s">
        <v>291</v>
      </c>
      <c r="B102" s="315" t="s">
        <v>448</v>
      </c>
    </row>
    <row r="103" spans="1:2" ht="15.6">
      <c r="A103" s="314" t="s">
        <v>292</v>
      </c>
      <c r="B103" s="315" t="s">
        <v>449</v>
      </c>
    </row>
    <row r="104" spans="1:2" ht="15.6">
      <c r="A104" s="314" t="s">
        <v>294</v>
      </c>
      <c r="B104" s="315" t="s">
        <v>450</v>
      </c>
    </row>
    <row r="105" spans="1:2" ht="15.6">
      <c r="A105" s="314" t="s">
        <v>295</v>
      </c>
      <c r="B105" s="315" t="s">
        <v>451</v>
      </c>
    </row>
    <row r="106" spans="1:2" ht="15.6">
      <c r="A106" s="314" t="s">
        <v>296</v>
      </c>
      <c r="B106" s="315" t="s">
        <v>452</v>
      </c>
    </row>
    <row r="107" spans="1:2" ht="15.6">
      <c r="A107" s="314" t="s">
        <v>297</v>
      </c>
      <c r="B107" s="315" t="s">
        <v>453</v>
      </c>
    </row>
    <row r="108" spans="1:2" ht="15.6">
      <c r="A108" s="314" t="s">
        <v>298</v>
      </c>
      <c r="B108" s="315" t="s">
        <v>454</v>
      </c>
    </row>
    <row r="109" spans="1:2" ht="15.6">
      <c r="A109" s="314" t="s">
        <v>299</v>
      </c>
      <c r="B109" s="315" t="s">
        <v>455</v>
      </c>
    </row>
    <row r="110" spans="1:2" ht="15.6">
      <c r="A110" s="314" t="s">
        <v>300</v>
      </c>
      <c r="B110" s="315" t="s">
        <v>456</v>
      </c>
    </row>
    <row r="111" spans="1:2" ht="15.6">
      <c r="A111" s="314" t="s">
        <v>301</v>
      </c>
      <c r="B111" s="315" t="s">
        <v>392</v>
      </c>
    </row>
    <row r="112" spans="1:2" ht="15.6">
      <c r="A112" s="314" t="s">
        <v>302</v>
      </c>
      <c r="B112" s="315" t="s">
        <v>457</v>
      </c>
    </row>
    <row r="113" spans="1:2" ht="15.6">
      <c r="A113" s="314" t="s">
        <v>303</v>
      </c>
      <c r="B113" s="315" t="s">
        <v>458</v>
      </c>
    </row>
    <row r="114" spans="1:2" ht="15.6">
      <c r="A114" s="314" t="s">
        <v>304</v>
      </c>
      <c r="B114" s="315" t="s">
        <v>459</v>
      </c>
    </row>
    <row r="115" spans="1:2" ht="15.6">
      <c r="A115" s="314" t="s">
        <v>305</v>
      </c>
      <c r="B115" s="315" t="s">
        <v>460</v>
      </c>
    </row>
    <row r="116" spans="1:2" ht="15.6">
      <c r="A116" s="314" t="s">
        <v>306</v>
      </c>
      <c r="B116" s="315" t="s">
        <v>461</v>
      </c>
    </row>
    <row r="117" spans="1:2" ht="15.6">
      <c r="A117" s="314" t="s">
        <v>307</v>
      </c>
      <c r="B117" s="315" t="s">
        <v>462</v>
      </c>
    </row>
    <row r="118" spans="1:2" ht="15.6">
      <c r="A118" s="314" t="s">
        <v>308</v>
      </c>
      <c r="B118" s="315" t="s">
        <v>463</v>
      </c>
    </row>
    <row r="119" spans="1:2" ht="15.6">
      <c r="A119" s="314" t="s">
        <v>309</v>
      </c>
      <c r="B119" s="315" t="s">
        <v>392</v>
      </c>
    </row>
    <row r="120" spans="1:2" ht="15.6">
      <c r="A120" s="314" t="s">
        <v>310</v>
      </c>
      <c r="B120" s="315" t="s">
        <v>464</v>
      </c>
    </row>
    <row r="121" spans="1:2" ht="15.6">
      <c r="A121" s="314" t="s">
        <v>311</v>
      </c>
      <c r="B121" s="315" t="s">
        <v>465</v>
      </c>
    </row>
    <row r="122" spans="1:2" ht="15.6">
      <c r="A122" s="314" t="s">
        <v>312</v>
      </c>
      <c r="B122" s="315" t="s">
        <v>466</v>
      </c>
    </row>
    <row r="123" spans="1:2" ht="15.6">
      <c r="A123" s="314" t="s">
        <v>313</v>
      </c>
      <c r="B123" s="315" t="s">
        <v>467</v>
      </c>
    </row>
    <row r="124" spans="1:2" ht="15.6">
      <c r="A124" s="314" t="s">
        <v>314</v>
      </c>
      <c r="B124" s="315" t="s">
        <v>468</v>
      </c>
    </row>
    <row r="125" spans="1:2" ht="15.6">
      <c r="A125" s="314" t="s">
        <v>315</v>
      </c>
      <c r="B125" s="315" t="s">
        <v>469</v>
      </c>
    </row>
    <row r="126" spans="1:2" ht="15.6">
      <c r="A126" s="314" t="s">
        <v>316</v>
      </c>
      <c r="B126" s="315" t="s">
        <v>470</v>
      </c>
    </row>
    <row r="127" spans="1:2" ht="15.6">
      <c r="A127" s="314" t="s">
        <v>317</v>
      </c>
      <c r="B127" s="315" t="s">
        <v>471</v>
      </c>
    </row>
    <row r="128" spans="1:2" ht="15.6">
      <c r="A128" s="314" t="s">
        <v>318</v>
      </c>
      <c r="B128" s="315" t="s">
        <v>472</v>
      </c>
    </row>
    <row r="129" spans="1:2" ht="15.6">
      <c r="A129" s="314" t="s">
        <v>319</v>
      </c>
      <c r="B129" s="315" t="s">
        <v>473</v>
      </c>
    </row>
    <row r="130" spans="1:2" ht="15.6">
      <c r="A130" s="314" t="s">
        <v>320</v>
      </c>
      <c r="B130" s="315" t="s">
        <v>474</v>
      </c>
    </row>
    <row r="131" spans="1:2" ht="15.6">
      <c r="A131" s="314" t="s">
        <v>321</v>
      </c>
      <c r="B131" s="315" t="s">
        <v>475</v>
      </c>
    </row>
    <row r="132" spans="1:2" ht="15.6">
      <c r="A132" s="314" t="s">
        <v>322</v>
      </c>
      <c r="B132" s="315" t="s">
        <v>476</v>
      </c>
    </row>
    <row r="133" spans="1:2" ht="15.6">
      <c r="A133" s="314" t="s">
        <v>323</v>
      </c>
      <c r="B133" s="315" t="s">
        <v>477</v>
      </c>
    </row>
    <row r="134" spans="1:2" ht="15.6">
      <c r="A134" s="314" t="s">
        <v>325</v>
      </c>
      <c r="B134" s="315" t="s">
        <v>478</v>
      </c>
    </row>
    <row r="135" spans="1:2" ht="15.6">
      <c r="A135" s="314" t="s">
        <v>327</v>
      </c>
      <c r="B135" s="315" t="s">
        <v>479</v>
      </c>
    </row>
    <row r="136" spans="1:2" ht="15.6">
      <c r="A136" s="314" t="s">
        <v>328</v>
      </c>
      <c r="B136" s="315" t="s">
        <v>480</v>
      </c>
    </row>
    <row r="137" spans="1:2" ht="15.6">
      <c r="A137" s="314" t="s">
        <v>329</v>
      </c>
      <c r="B137" s="315" t="s">
        <v>481</v>
      </c>
    </row>
    <row r="138" spans="1:2" ht="15.6">
      <c r="A138" s="314" t="s">
        <v>330</v>
      </c>
      <c r="B138" s="315" t="s">
        <v>482</v>
      </c>
    </row>
    <row r="139" spans="1:2" ht="15.6">
      <c r="A139" s="314" t="s">
        <v>331</v>
      </c>
      <c r="B139" s="315" t="s">
        <v>483</v>
      </c>
    </row>
    <row r="140" spans="1:2" ht="15.6">
      <c r="A140" s="314" t="s">
        <v>332</v>
      </c>
      <c r="B140" s="315" t="s">
        <v>484</v>
      </c>
    </row>
    <row r="141" spans="1:2" ht="15.6">
      <c r="A141" s="314" t="s">
        <v>333</v>
      </c>
      <c r="B141" s="315" t="s">
        <v>485</v>
      </c>
    </row>
    <row r="142" spans="1:2" ht="15.6">
      <c r="A142" s="314" t="s">
        <v>334</v>
      </c>
      <c r="B142" s="315" t="s">
        <v>486</v>
      </c>
    </row>
    <row r="143" spans="1:2" ht="15.6">
      <c r="A143" s="314" t="s">
        <v>335</v>
      </c>
      <c r="B143" s="315" t="s">
        <v>487</v>
      </c>
    </row>
    <row r="144" spans="1:2" ht="15.6">
      <c r="A144" s="314" t="s">
        <v>336</v>
      </c>
      <c r="B144" s="315" t="s">
        <v>386</v>
      </c>
    </row>
    <row r="145" spans="1:2" ht="15.6">
      <c r="A145" s="314" t="s">
        <v>337</v>
      </c>
      <c r="B145" s="315" t="s">
        <v>386</v>
      </c>
    </row>
    <row r="146" spans="1:2" ht="15.6">
      <c r="A146" s="314" t="s">
        <v>338</v>
      </c>
      <c r="B146" s="315" t="s">
        <v>488</v>
      </c>
    </row>
    <row r="147" spans="1:2" ht="15.6">
      <c r="A147" s="314" t="s">
        <v>339</v>
      </c>
      <c r="B147" s="315" t="s">
        <v>489</v>
      </c>
    </row>
    <row r="148" spans="1:2" ht="15.6">
      <c r="A148" s="314" t="s">
        <v>340</v>
      </c>
      <c r="B148" s="315" t="s">
        <v>490</v>
      </c>
    </row>
    <row r="149" spans="1:2" ht="15.6">
      <c r="A149" s="314" t="s">
        <v>341</v>
      </c>
      <c r="B149" s="315" t="s">
        <v>491</v>
      </c>
    </row>
    <row r="150" spans="1:2" ht="15.6">
      <c r="A150" s="314" t="s">
        <v>342</v>
      </c>
      <c r="B150" s="315" t="s">
        <v>386</v>
      </c>
    </row>
    <row r="151" spans="1:2" ht="15.6">
      <c r="A151" s="314" t="s">
        <v>343</v>
      </c>
      <c r="B151" s="315" t="s">
        <v>492</v>
      </c>
    </row>
    <row r="152" spans="1:2" ht="15.6">
      <c r="A152" s="314" t="s">
        <v>344</v>
      </c>
      <c r="B152" s="315" t="s">
        <v>493</v>
      </c>
    </row>
    <row r="153" spans="1:2" ht="15.6">
      <c r="A153" s="314" t="s">
        <v>293</v>
      </c>
      <c r="B153" s="315" t="s">
        <v>494</v>
      </c>
    </row>
    <row r="154" spans="1:2" ht="15.6">
      <c r="A154" s="314" t="s">
        <v>284</v>
      </c>
      <c r="B154" s="315" t="s">
        <v>386</v>
      </c>
    </row>
    <row r="155" spans="1:2" ht="15.6">
      <c r="A155" s="314" t="s">
        <v>326</v>
      </c>
      <c r="B155" s="315" t="s">
        <v>495</v>
      </c>
    </row>
    <row r="156" spans="1:2" ht="15.6">
      <c r="A156" s="314" t="s">
        <v>226</v>
      </c>
      <c r="B156" s="315" t="s">
        <v>496</v>
      </c>
    </row>
    <row r="157" spans="1:2" ht="15.6">
      <c r="A157" s="314" t="s">
        <v>191</v>
      </c>
      <c r="B157" s="315" t="s">
        <v>497</v>
      </c>
    </row>
    <row r="158" spans="1:2" ht="15.6">
      <c r="A158" s="314" t="s">
        <v>324</v>
      </c>
      <c r="B158" s="315" t="s">
        <v>386</v>
      </c>
    </row>
    <row r="159" spans="1:2" ht="15.6">
      <c r="A159" s="314" t="s">
        <v>345</v>
      </c>
      <c r="B159" s="315" t="s">
        <v>498</v>
      </c>
    </row>
    <row r="160" spans="1:2" ht="15.6">
      <c r="A160" s="314" t="s">
        <v>347</v>
      </c>
      <c r="B160" s="315" t="s">
        <v>499</v>
      </c>
    </row>
    <row r="161" spans="1:2" ht="15.6">
      <c r="A161" s="314" t="s">
        <v>348</v>
      </c>
      <c r="B161" s="315" t="s">
        <v>500</v>
      </c>
    </row>
    <row r="162" spans="1:2" ht="15.6">
      <c r="A162" s="314" t="s">
        <v>501</v>
      </c>
      <c r="B162" s="315" t="s">
        <v>502</v>
      </c>
    </row>
    <row r="163" spans="1:2" ht="15.6">
      <c r="A163" s="314" t="s">
        <v>346</v>
      </c>
      <c r="B163" s="315" t="s">
        <v>503</v>
      </c>
    </row>
    <row r="164" spans="1:2" ht="15.6">
      <c r="A164" s="314" t="s">
        <v>350</v>
      </c>
      <c r="B164" s="315" t="s">
        <v>504</v>
      </c>
    </row>
    <row r="165" spans="1:2" ht="15.6">
      <c r="A165" s="314"/>
      <c r="B165" s="315"/>
    </row>
    <row r="166" spans="1:2" ht="15.6">
      <c r="A166" s="314"/>
      <c r="B166" s="315"/>
    </row>
    <row r="167" spans="1:2" ht="15.6">
      <c r="A167" s="314"/>
      <c r="B167" s="315"/>
    </row>
    <row r="168" spans="1:2" ht="15.6">
      <c r="A168" s="314"/>
      <c r="B168" s="315"/>
    </row>
    <row r="169" spans="1:2" ht="15.6">
      <c r="A169" s="314"/>
      <c r="B169" s="315"/>
    </row>
    <row r="170" spans="1:2" ht="15.6">
      <c r="A170" s="314"/>
      <c r="B170" s="315"/>
    </row>
    <row r="171" spans="1:2" ht="15.6">
      <c r="A171" s="314"/>
      <c r="B171" s="315"/>
    </row>
    <row r="172" spans="1:2" ht="15.6">
      <c r="A172" s="314"/>
      <c r="B172" s="315"/>
    </row>
    <row r="173" spans="1:2" ht="15.6">
      <c r="A173" s="314"/>
      <c r="B173" s="315"/>
    </row>
    <row r="174" spans="1:2" ht="15.6">
      <c r="A174" s="314"/>
      <c r="B174" s="315"/>
    </row>
    <row r="175" spans="1:2" ht="15.6">
      <c r="A175" s="314"/>
      <c r="B175" s="315"/>
    </row>
    <row r="176" spans="1:2" ht="15.6">
      <c r="A176" s="314"/>
      <c r="B176" s="315"/>
    </row>
    <row r="177" spans="1:2" ht="15.6">
      <c r="A177" s="314"/>
      <c r="B177" s="315"/>
    </row>
    <row r="178" spans="1:2" ht="15.6">
      <c r="A178" s="314"/>
      <c r="B178" s="315"/>
    </row>
    <row r="179" spans="1:2" ht="15.6">
      <c r="A179" s="314"/>
      <c r="B179" s="315"/>
    </row>
    <row r="180" spans="1:2" ht="15.6">
      <c r="A180" s="314"/>
      <c r="B180" s="315"/>
    </row>
    <row r="181" spans="1:2" ht="15.6">
      <c r="A181" s="314"/>
      <c r="B181" s="315"/>
    </row>
    <row r="182" spans="1:2" ht="15.6">
      <c r="A182" s="314"/>
      <c r="B182" s="315"/>
    </row>
    <row r="183" spans="1:2" ht="15.6">
      <c r="A183" s="314"/>
      <c r="B183" s="315"/>
    </row>
    <row r="184" spans="1:2" ht="15.6">
      <c r="A184" s="314"/>
      <c r="B184" s="315"/>
    </row>
    <row r="185" spans="1:2" ht="15.6">
      <c r="A185" s="314"/>
      <c r="B185" s="315"/>
    </row>
    <row r="186" spans="1:2" ht="15.6">
      <c r="A186" s="314"/>
      <c r="B186" s="315"/>
    </row>
    <row r="187" spans="1:2" ht="15.6">
      <c r="A187" s="314"/>
      <c r="B187" s="315"/>
    </row>
    <row r="188" spans="1:2" ht="15.6">
      <c r="A188" s="314"/>
      <c r="B188" s="315"/>
    </row>
    <row r="189" spans="1:2" ht="15.6">
      <c r="A189" s="314"/>
      <c r="B189" s="315"/>
    </row>
    <row r="190" spans="1:2" ht="15.6">
      <c r="A190" s="314"/>
      <c r="B190" s="315"/>
    </row>
    <row r="191" spans="1:2" ht="15.6">
      <c r="A191" s="314"/>
      <c r="B191" s="315"/>
    </row>
    <row r="192" spans="1:2" ht="15.6">
      <c r="A192" s="314"/>
      <c r="B192" s="315"/>
    </row>
    <row r="193" spans="1:2" ht="15.6">
      <c r="A193" s="314"/>
      <c r="B193" s="315"/>
    </row>
    <row r="194" spans="1:2" ht="15.6">
      <c r="A194" s="314"/>
      <c r="B194" s="315"/>
    </row>
    <row r="195" spans="1:2" ht="15.6">
      <c r="A195" s="314"/>
      <c r="B195" s="315"/>
    </row>
    <row r="196" spans="1:2" ht="15.6">
      <c r="A196" s="314"/>
      <c r="B196" s="315"/>
    </row>
    <row r="197" spans="1:2" ht="15.6">
      <c r="A197" s="314"/>
      <c r="B197" s="315"/>
    </row>
    <row r="198" spans="1:2" ht="15.6">
      <c r="A198" s="314"/>
      <c r="B198" s="315"/>
    </row>
    <row r="199" spans="1:2" ht="15.6">
      <c r="A199" s="314"/>
      <c r="B199" s="315"/>
    </row>
    <row r="200" spans="1:2" ht="15.6">
      <c r="A200" s="314"/>
      <c r="B200" s="315"/>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E06666"/>
    <outlinePr summaryBelow="0" summaryRight="0"/>
  </sheetPr>
  <dimension ref="A1:AP227"/>
  <sheetViews>
    <sheetView showGridLines="0" tabSelected="1" workbookViewId="0">
      <pane ySplit="1" topLeftCell="A64" activePane="bottomLeft" state="frozen"/>
      <selection pane="bottomLeft" activeCell="S89" sqref="S89"/>
    </sheetView>
  </sheetViews>
  <sheetFormatPr baseColWidth="10" defaultColWidth="12.6640625" defaultRowHeight="15" customHeight="1"/>
  <cols>
    <col min="1" max="1" width="32.33203125" customWidth="1"/>
    <col min="2" max="34" width="5.33203125" customWidth="1"/>
    <col min="35" max="39" width="2" customWidth="1"/>
    <col min="40" max="41" width="3.21875" customWidth="1"/>
    <col min="42" max="42" width="6" customWidth="1"/>
  </cols>
  <sheetData>
    <row r="1" spans="1:42" ht="15" customHeight="1">
      <c r="A1" s="316" t="s">
        <v>505</v>
      </c>
      <c r="B1" s="317" t="s">
        <v>506</v>
      </c>
      <c r="C1" s="317" t="s">
        <v>154</v>
      </c>
      <c r="D1" s="318" t="s">
        <v>156</v>
      </c>
      <c r="E1" s="318" t="s">
        <v>158</v>
      </c>
      <c r="F1" s="318" t="s">
        <v>160</v>
      </c>
      <c r="G1" s="317" t="s">
        <v>162</v>
      </c>
      <c r="H1" s="317" t="s">
        <v>507</v>
      </c>
      <c r="I1" s="317" t="s">
        <v>167</v>
      </c>
      <c r="J1" s="317" t="s">
        <v>169</v>
      </c>
      <c r="K1" s="318" t="s">
        <v>164</v>
      </c>
      <c r="L1" s="317" t="s">
        <v>508</v>
      </c>
      <c r="M1" s="317" t="s">
        <v>509</v>
      </c>
      <c r="N1" s="317" t="s">
        <v>510</v>
      </c>
      <c r="O1" s="317" t="s">
        <v>511</v>
      </c>
      <c r="P1" s="317" t="s">
        <v>512</v>
      </c>
      <c r="Q1" s="318" t="s">
        <v>513</v>
      </c>
      <c r="R1" s="318" t="s">
        <v>514</v>
      </c>
      <c r="S1" s="318" t="s">
        <v>515</v>
      </c>
      <c r="T1" s="317" t="s">
        <v>516</v>
      </c>
      <c r="U1" s="318" t="s">
        <v>517</v>
      </c>
      <c r="V1" s="318" t="s">
        <v>518</v>
      </c>
      <c r="W1" s="318" t="s">
        <v>519</v>
      </c>
      <c r="X1" s="317" t="s">
        <v>520</v>
      </c>
      <c r="Y1" s="317" t="s">
        <v>521</v>
      </c>
      <c r="Z1" s="318" t="s">
        <v>522</v>
      </c>
      <c r="AA1" s="317" t="s">
        <v>523</v>
      </c>
      <c r="AB1" s="318" t="s">
        <v>524</v>
      </c>
      <c r="AC1" s="318" t="s">
        <v>525</v>
      </c>
      <c r="AD1" s="317" t="s">
        <v>526</v>
      </c>
      <c r="AE1" s="317"/>
      <c r="AF1" s="318" t="s">
        <v>527</v>
      </c>
      <c r="AG1" s="318" t="s">
        <v>171</v>
      </c>
      <c r="AH1" s="317" t="s">
        <v>528</v>
      </c>
      <c r="AI1" s="319" t="s">
        <v>529</v>
      </c>
      <c r="AJ1" s="320" t="s">
        <v>530</v>
      </c>
      <c r="AK1" s="320" t="s">
        <v>531</v>
      </c>
      <c r="AL1" s="320" t="s">
        <v>532</v>
      </c>
      <c r="AM1" s="321" t="s">
        <v>533</v>
      </c>
      <c r="AN1" s="322" t="s">
        <v>183</v>
      </c>
      <c r="AO1" s="322" t="s">
        <v>534</v>
      </c>
      <c r="AP1" s="323" t="s">
        <v>535</v>
      </c>
    </row>
    <row r="2" spans="1:42" ht="15" customHeight="1">
      <c r="A2" s="316" t="s">
        <v>11</v>
      </c>
      <c r="B2" s="324"/>
      <c r="C2" s="324"/>
      <c r="D2" s="324"/>
      <c r="E2" s="324"/>
      <c r="F2" s="324"/>
      <c r="G2" s="324"/>
      <c r="H2" s="324"/>
      <c r="I2" s="324"/>
      <c r="J2" s="324"/>
      <c r="K2" s="324"/>
      <c r="L2" s="324"/>
      <c r="M2" s="324"/>
      <c r="N2" s="324"/>
      <c r="O2" s="324"/>
      <c r="P2" s="324"/>
      <c r="Q2" s="324"/>
      <c r="R2" s="324"/>
      <c r="S2" s="324"/>
      <c r="T2" s="324"/>
      <c r="U2" s="324"/>
      <c r="V2" s="324"/>
      <c r="W2" s="324"/>
      <c r="X2" s="324"/>
      <c r="Y2" s="324"/>
      <c r="Z2" s="324"/>
      <c r="AA2" s="324"/>
      <c r="AB2" s="324"/>
      <c r="AC2" s="324"/>
      <c r="AD2" s="324"/>
      <c r="AE2" s="324"/>
      <c r="AF2" s="324"/>
      <c r="AG2" s="324"/>
      <c r="AH2" s="324"/>
      <c r="AI2" s="325"/>
      <c r="AJ2" s="325"/>
      <c r="AK2" s="325"/>
      <c r="AL2" s="325"/>
      <c r="AM2" s="326"/>
      <c r="AN2" s="322" t="e">
        <f ca="1">_xludf.Image("https://puu.sh/I6Yjx/080458c278.png")</f>
        <v>#NAME?</v>
      </c>
      <c r="AO2" s="322">
        <f>IF(AP2="Itemset 1",1,IF(AP2="Itemset 2",2,IF(AP2="Itemset 3",3,IF(AP2="Itemset 4",4,1))))</f>
        <v>1</v>
      </c>
      <c r="AP2" s="327" t="str">
        <f>IF(OR(Interface!C20,'Very basic Fight Sim'!I5),"Itemset 2","Itemset 1")</f>
        <v>Itemset 1</v>
      </c>
    </row>
    <row r="3" spans="1:42" ht="15" customHeight="1">
      <c r="A3" s="316" t="s">
        <v>536</v>
      </c>
      <c r="B3" s="324">
        <f>2400</f>
        <v>2400</v>
      </c>
      <c r="C3" s="324">
        <f>300</f>
        <v>300</v>
      </c>
      <c r="D3" s="324"/>
      <c r="E3" s="324"/>
      <c r="F3" s="324"/>
      <c r="G3" s="324"/>
      <c r="H3" s="324"/>
      <c r="I3" s="324"/>
      <c r="J3" s="324">
        <f>60 + IF(Steroid_Items, 45, 0)</f>
        <v>60</v>
      </c>
      <c r="K3" s="324"/>
      <c r="L3" s="324"/>
      <c r="M3" s="324">
        <f t="shared" ref="M3:M4" si="0">10</f>
        <v>10</v>
      </c>
      <c r="N3" s="324"/>
      <c r="O3" s="324"/>
      <c r="P3" s="324"/>
      <c r="Q3" s="324"/>
      <c r="R3" s="324"/>
      <c r="S3" s="324"/>
      <c r="T3" s="324"/>
      <c r="U3" s="324"/>
      <c r="V3" s="324"/>
      <c r="W3" s="324"/>
      <c r="X3" s="324"/>
      <c r="Y3" s="324"/>
      <c r="Z3" s="324"/>
      <c r="AA3" s="324"/>
      <c r="AB3" s="324"/>
      <c r="AC3" s="324"/>
      <c r="AD3" s="324"/>
      <c r="AE3" s="324"/>
      <c r="AF3" s="324"/>
      <c r="AG3" s="324"/>
      <c r="AH3" s="324"/>
      <c r="AI3" s="325">
        <f>IF($AO$2=1,COUNTIF(Interface!$C$22:$C$27,$A3),0)</f>
        <v>0</v>
      </c>
      <c r="AJ3" s="325">
        <f>IF($AO$2=2,COUNTIF(Interface!$C$30:$C$35,$A3),0)</f>
        <v>0</v>
      </c>
      <c r="AK3" s="325"/>
      <c r="AL3" s="325"/>
      <c r="AM3" s="326">
        <f>COUNTIF(Interface!$O$18:$O$23,$A3)</f>
        <v>0</v>
      </c>
      <c r="AN3" s="322" t="e">
        <f ca="1">_xludf.Image("https://ddragon.leagueoflegends.com/cdn/12.22.1/img/item/8020.png")</f>
        <v>#NAME?</v>
      </c>
      <c r="AO3" s="322" t="b">
        <f>TRUE</f>
        <v>1</v>
      </c>
      <c r="AP3" s="328">
        <f t="shared" ref="AP3:AP151" si="1">(C3 * 2.67 +
D3 * 300 +
E3 * 1.4 +
F3 * 500 +
G3 * 35 +
H3 * 21.75 +
I3 * 20 +
J3 * 18 +
K3 * 25 +
L3 * 40 +
M3 * 26.67 +
N3 * 37.5 +
O3 * 5 +
P3 * 31.11 +
Q3 * 12 +
R3 * 39.5 +
S3 * 56.67 +
T3 * 25 +
U3 * 25) / B3</f>
        <v>0.89487499999999998</v>
      </c>
    </row>
    <row r="4" spans="1:42" ht="15" customHeight="1">
      <c r="A4" s="316" t="s">
        <v>537</v>
      </c>
      <c r="B4" s="324">
        <f>1200</f>
        <v>1200</v>
      </c>
      <c r="C4" s="324"/>
      <c r="D4" s="324"/>
      <c r="E4" s="324"/>
      <c r="F4" s="324"/>
      <c r="G4" s="324"/>
      <c r="H4" s="324"/>
      <c r="I4" s="324">
        <f t="shared" ref="I4:J4" si="2">30</f>
        <v>30</v>
      </c>
      <c r="J4" s="324">
        <f t="shared" si="2"/>
        <v>30</v>
      </c>
      <c r="K4" s="324"/>
      <c r="L4" s="324"/>
      <c r="M4" s="324">
        <f t="shared" si="0"/>
        <v>10</v>
      </c>
      <c r="N4" s="324"/>
      <c r="O4" s="324"/>
      <c r="P4" s="324"/>
      <c r="Q4" s="324"/>
      <c r="R4" s="324"/>
      <c r="S4" s="324"/>
      <c r="T4" s="324"/>
      <c r="U4" s="324"/>
      <c r="V4" s="324"/>
      <c r="W4" s="324"/>
      <c r="X4" s="324"/>
      <c r="Y4" s="324"/>
      <c r="Z4" s="324"/>
      <c r="AA4" s="324"/>
      <c r="AB4" s="324"/>
      <c r="AC4" s="324"/>
      <c r="AD4" s="324"/>
      <c r="AE4" s="324"/>
      <c r="AF4" s="324"/>
      <c r="AG4" s="324"/>
      <c r="AH4" s="324"/>
      <c r="AI4" s="325">
        <f>IF($AO$2=1,COUNTIF(Interface!$C$22:$C$27,$A4),0)</f>
        <v>0</v>
      </c>
      <c r="AJ4" s="325">
        <f>IF($AO$2=2,COUNTIF(Interface!$C$30:$C$35,$A4),0)</f>
        <v>0</v>
      </c>
      <c r="AK4" s="325"/>
      <c r="AL4" s="325"/>
      <c r="AM4" s="326">
        <f>COUNTIF(Interface!$O$18:$O$23,$A4)</f>
        <v>0</v>
      </c>
      <c r="AN4" s="322" t="e">
        <f ca="1">_xludf.Image("https://ddragon.leagueoflegends.com/cdn/12.22.1/img/item/3105.png")</f>
        <v>#NAME?</v>
      </c>
      <c r="AO4" s="322" t="b">
        <f t="shared" ref="AO4:AO6" si="3">FALSE</f>
        <v>0</v>
      </c>
      <c r="AP4" s="329">
        <f t="shared" si="1"/>
        <v>1.17225</v>
      </c>
    </row>
    <row r="5" spans="1:42" ht="15" customHeight="1">
      <c r="A5" s="316" t="s">
        <v>538</v>
      </c>
      <c r="B5" s="324">
        <f>850</f>
        <v>850</v>
      </c>
      <c r="C5" s="324"/>
      <c r="D5" s="324"/>
      <c r="E5" s="324"/>
      <c r="F5" s="324"/>
      <c r="G5" s="324"/>
      <c r="H5" s="324">
        <f>30</f>
        <v>30</v>
      </c>
      <c r="I5" s="324"/>
      <c r="J5" s="324"/>
      <c r="K5" s="324"/>
      <c r="L5" s="324"/>
      <c r="M5" s="324"/>
      <c r="N5" s="324"/>
      <c r="O5" s="324"/>
      <c r="P5" s="324"/>
      <c r="Q5" s="324"/>
      <c r="R5" s="324">
        <f>5</f>
        <v>5</v>
      </c>
      <c r="S5" s="324"/>
      <c r="T5" s="324"/>
      <c r="U5" s="324"/>
      <c r="V5" s="324"/>
      <c r="W5" s="324"/>
      <c r="X5" s="324"/>
      <c r="Y5" s="324"/>
      <c r="Z5" s="324"/>
      <c r="AA5" s="324"/>
      <c r="AB5" s="324"/>
      <c r="AC5" s="324"/>
      <c r="AD5" s="324"/>
      <c r="AE5" s="324"/>
      <c r="AF5" s="324"/>
      <c r="AG5" s="324"/>
      <c r="AH5" s="324"/>
      <c r="AI5" s="325">
        <f>IF($AO$2=1,COUNTIF(Interface!$C$22:$C$27,$A5),0)</f>
        <v>0</v>
      </c>
      <c r="AJ5" s="325">
        <f>IF($AO$2=2,COUNTIF(Interface!$C$30:$C$35,$A5),0)</f>
        <v>0</v>
      </c>
      <c r="AK5" s="325"/>
      <c r="AL5" s="325"/>
      <c r="AM5" s="326">
        <f>COUNTIF(Interface!$O$18:$O$23,$A5)</f>
        <v>0</v>
      </c>
      <c r="AN5" s="322" t="e">
        <f ca="1">_xludf.Image("https://ddragon.leagueoflegends.com/cdn/12.22.1/img/item/3113.png")</f>
        <v>#NAME?</v>
      </c>
      <c r="AO5" s="322" t="b">
        <f t="shared" si="3"/>
        <v>0</v>
      </c>
      <c r="AP5" s="329">
        <f t="shared" si="1"/>
        <v>1</v>
      </c>
    </row>
    <row r="6" spans="1:42" ht="15" customHeight="1">
      <c r="A6" s="316" t="s">
        <v>539</v>
      </c>
      <c r="B6" s="324">
        <f>435</f>
        <v>435</v>
      </c>
      <c r="C6" s="324"/>
      <c r="D6" s="324"/>
      <c r="E6" s="324"/>
      <c r="F6" s="324"/>
      <c r="G6" s="324"/>
      <c r="H6" s="324">
        <f>20</f>
        <v>20</v>
      </c>
      <c r="I6" s="324"/>
      <c r="J6" s="324"/>
      <c r="K6" s="324"/>
      <c r="L6" s="324"/>
      <c r="M6" s="324"/>
      <c r="N6" s="324"/>
      <c r="O6" s="324"/>
      <c r="P6" s="324"/>
      <c r="Q6" s="324"/>
      <c r="R6" s="324"/>
      <c r="S6" s="324"/>
      <c r="T6" s="324"/>
      <c r="U6" s="324"/>
      <c r="V6" s="324"/>
      <c r="W6" s="324"/>
      <c r="X6" s="324"/>
      <c r="Y6" s="324"/>
      <c r="Z6" s="324"/>
      <c r="AA6" s="324"/>
      <c r="AB6" s="324"/>
      <c r="AC6" s="324"/>
      <c r="AD6" s="324"/>
      <c r="AE6" s="324"/>
      <c r="AF6" s="324"/>
      <c r="AG6" s="324"/>
      <c r="AH6" s="324"/>
      <c r="AI6" s="325">
        <f>IF($AO$2=1,COUNTIF(Interface!$C$22:$C$27,$A6),0)</f>
        <v>0</v>
      </c>
      <c r="AJ6" s="325">
        <f>IF($AO$2=2,COUNTIF(Interface!$C$30:$C$35,$A6),0)</f>
        <v>0</v>
      </c>
      <c r="AK6" s="325"/>
      <c r="AL6" s="325"/>
      <c r="AM6" s="326">
        <f>COUNTIF(Interface!$O$18:$O$23,$A6)</f>
        <v>0</v>
      </c>
      <c r="AN6" s="322" t="e">
        <f ca="1">_xludf.Image("https://ddragon.leagueoflegends.com/cdn/12.22.1/img/item/1052.png")</f>
        <v>#NAME?</v>
      </c>
      <c r="AO6" s="322" t="b">
        <f t="shared" si="3"/>
        <v>0</v>
      </c>
      <c r="AP6" s="329">
        <f t="shared" si="1"/>
        <v>1</v>
      </c>
    </row>
    <row r="7" spans="1:42" ht="15" customHeight="1">
      <c r="A7" s="316" t="s">
        <v>540</v>
      </c>
      <c r="B7" s="324">
        <f>2500</f>
        <v>2500</v>
      </c>
      <c r="C7" s="324">
        <f>650</f>
        <v>650</v>
      </c>
      <c r="D7" s="324"/>
      <c r="E7" s="324"/>
      <c r="F7" s="324"/>
      <c r="G7" s="324"/>
      <c r="H7" s="324"/>
      <c r="I7" s="324"/>
      <c r="J7" s="324"/>
      <c r="K7" s="324"/>
      <c r="L7" s="324"/>
      <c r="M7" s="324">
        <f>20</f>
        <v>20</v>
      </c>
      <c r="N7" s="324"/>
      <c r="O7" s="324"/>
      <c r="P7" s="324"/>
      <c r="Q7" s="324"/>
      <c r="R7" s="324"/>
      <c r="S7" s="324"/>
      <c r="T7" s="324"/>
      <c r="U7" s="324"/>
      <c r="V7" s="324"/>
      <c r="W7" s="324"/>
      <c r="X7" s="324"/>
      <c r="Y7" s="324"/>
      <c r="Z7" s="324"/>
      <c r="AA7" s="324"/>
      <c r="AB7" s="324"/>
      <c r="AC7" s="324"/>
      <c r="AD7" s="324"/>
      <c r="AE7" s="324"/>
      <c r="AF7" s="324"/>
      <c r="AG7" s="324"/>
      <c r="AH7" s="324"/>
      <c r="AI7" s="325">
        <f>IF($AO$2=1,COUNTIF(Interface!$C$22:$C$27,$A7),0)</f>
        <v>0</v>
      </c>
      <c r="AJ7" s="325">
        <f>IF($AO$2=2,COUNTIF(Interface!$C$30:$C$35,$A7),0)</f>
        <v>0</v>
      </c>
      <c r="AK7" s="325"/>
      <c r="AL7" s="325"/>
      <c r="AM7" s="326">
        <f>COUNTIF(Interface!$O$18:$O$23,$A7)</f>
        <v>0</v>
      </c>
      <c r="AN7" s="322" t="e">
        <f ca="1">_xludf.Image("https://ddragon.leagueoflegends.com/cdn/12.22.1/img/item/8001.png")</f>
        <v>#NAME?</v>
      </c>
      <c r="AO7" s="322" t="b">
        <f t="shared" ref="AO7:AO10" si="4">TRUE</f>
        <v>1</v>
      </c>
      <c r="AP7" s="330">
        <f t="shared" si="1"/>
        <v>0.90756000000000003</v>
      </c>
    </row>
    <row r="8" spans="1:42" ht="15" customHeight="1">
      <c r="A8" s="316" t="s">
        <v>541</v>
      </c>
      <c r="B8" s="324">
        <f>3000</f>
        <v>3000</v>
      </c>
      <c r="C8" s="324">
        <f>200</f>
        <v>200</v>
      </c>
      <c r="D8" s="324"/>
      <c r="E8" s="324">
        <f>500</f>
        <v>500</v>
      </c>
      <c r="F8" s="324"/>
      <c r="G8" s="324"/>
      <c r="H8" s="324">
        <f>70</f>
        <v>70</v>
      </c>
      <c r="I8" s="324"/>
      <c r="J8" s="324"/>
      <c r="K8" s="324"/>
      <c r="L8" s="324"/>
      <c r="M8" s="324">
        <f>10</f>
        <v>10</v>
      </c>
      <c r="N8" s="324"/>
      <c r="O8" s="324"/>
      <c r="P8" s="324"/>
      <c r="Q8" s="324"/>
      <c r="R8" s="324"/>
      <c r="S8" s="324"/>
      <c r="T8" s="324"/>
      <c r="U8" s="324"/>
      <c r="V8" s="324"/>
      <c r="W8" s="324"/>
      <c r="X8" s="324"/>
      <c r="Y8" s="324"/>
      <c r="Z8" s="324"/>
      <c r="AA8" s="324"/>
      <c r="AB8" s="324"/>
      <c r="AC8" s="324"/>
      <c r="AD8" s="324"/>
      <c r="AE8" s="324"/>
      <c r="AF8" s="324"/>
      <c r="AG8" s="324"/>
      <c r="AH8" s="324"/>
      <c r="AI8" s="325">
        <f>IF($AO$2=1,COUNTIF(Interface!$C$22:$C$27,$A8),0)</f>
        <v>0</v>
      </c>
      <c r="AJ8" s="325">
        <f>IF($AO$2=2,COUNTIF(Interface!$C$30:$C$35,$A8),0)</f>
        <v>0</v>
      </c>
      <c r="AK8" s="325"/>
      <c r="AL8" s="325"/>
      <c r="AM8" s="326">
        <f>COUNTIF(Interface!$O$18:$O$23,$A8)</f>
        <v>0</v>
      </c>
      <c r="AN8" s="322" t="e">
        <f ca="1">_xludf.Image("https://ddragon.leagueoflegends.com/cdn/12.22.1/img/item/3003.png")</f>
        <v>#NAME?</v>
      </c>
      <c r="AO8" s="322" t="b">
        <f t="shared" si="4"/>
        <v>1</v>
      </c>
      <c r="AP8" s="331">
        <f t="shared" si="1"/>
        <v>1.0077333333333334</v>
      </c>
    </row>
    <row r="9" spans="1:42" ht="15" customHeight="1">
      <c r="A9" s="316" t="s">
        <v>542</v>
      </c>
      <c r="B9" s="324">
        <f>2100</f>
        <v>2100</v>
      </c>
      <c r="C9" s="324"/>
      <c r="D9" s="324"/>
      <c r="E9" s="324"/>
      <c r="F9" s="324">
        <f>0.75</f>
        <v>0.75</v>
      </c>
      <c r="G9" s="324"/>
      <c r="H9" s="324">
        <f>35</f>
        <v>35</v>
      </c>
      <c r="I9" s="324"/>
      <c r="J9" s="324"/>
      <c r="K9" s="324"/>
      <c r="L9" s="324"/>
      <c r="M9" s="324"/>
      <c r="N9" s="324"/>
      <c r="O9" s="324"/>
      <c r="P9" s="324"/>
      <c r="Q9" s="324"/>
      <c r="R9" s="324">
        <f>5</f>
        <v>5</v>
      </c>
      <c r="S9" s="324">
        <f>8</f>
        <v>8</v>
      </c>
      <c r="T9" s="324"/>
      <c r="U9" s="324"/>
      <c r="V9" s="324"/>
      <c r="W9" s="324"/>
      <c r="X9" s="324"/>
      <c r="Y9" s="324"/>
      <c r="Z9" s="324"/>
      <c r="AA9" s="324"/>
      <c r="AB9" s="324"/>
      <c r="AC9" s="324"/>
      <c r="AD9" s="324"/>
      <c r="AE9" s="324"/>
      <c r="AF9" s="324"/>
      <c r="AG9" s="324"/>
      <c r="AH9" s="324"/>
      <c r="AI9" s="325">
        <f>IF($AO$2=1,COUNTIF(Interface!$C$22:$C$27,$A9),0)</f>
        <v>0</v>
      </c>
      <c r="AJ9" s="325">
        <f>IF($AO$2=2,COUNTIF(Interface!$C$30:$C$35,$A9),0)</f>
        <v>0</v>
      </c>
      <c r="AK9" s="325"/>
      <c r="AL9" s="325"/>
      <c r="AM9" s="326">
        <f>COUNTIF(Interface!$O$18:$O$23,$A9)</f>
        <v>0</v>
      </c>
      <c r="AN9" s="322" t="e">
        <f ca="1">_xludf.Image("https://ddragon.leagueoflegends.com/cdn/12.22.1/img/item/3504.png")</f>
        <v>#NAME?</v>
      </c>
      <c r="AO9" s="322" t="b">
        <f t="shared" si="4"/>
        <v>1</v>
      </c>
      <c r="AP9" s="329">
        <f t="shared" si="1"/>
        <v>0.85100476190476193</v>
      </c>
    </row>
    <row r="10" spans="1:42" ht="15" customHeight="1">
      <c r="A10" s="316" t="s">
        <v>543</v>
      </c>
      <c r="B10" s="324">
        <f>3000</f>
        <v>3000</v>
      </c>
      <c r="C10" s="324"/>
      <c r="D10" s="324"/>
      <c r="E10" s="324"/>
      <c r="F10" s="324"/>
      <c r="G10" s="324">
        <f>55</f>
        <v>55</v>
      </c>
      <c r="H10" s="324"/>
      <c r="I10" s="324"/>
      <c r="J10" s="324"/>
      <c r="K10" s="324"/>
      <c r="L10" s="324"/>
      <c r="M10" s="324">
        <f>25</f>
        <v>25</v>
      </c>
      <c r="N10" s="324"/>
      <c r="O10" s="324">
        <f>18</f>
        <v>18</v>
      </c>
      <c r="P10" s="324"/>
      <c r="Q10" s="324"/>
      <c r="R10" s="324"/>
      <c r="S10" s="324"/>
      <c r="T10" s="324"/>
      <c r="U10" s="324"/>
      <c r="V10" s="324"/>
      <c r="W10" s="324"/>
      <c r="X10" s="324"/>
      <c r="Y10" s="324"/>
      <c r="Z10" s="324"/>
      <c r="AA10" s="324"/>
      <c r="AB10" s="324"/>
      <c r="AC10" s="324"/>
      <c r="AD10" s="324"/>
      <c r="AE10" s="324"/>
      <c r="AF10" s="324"/>
      <c r="AG10" s="324"/>
      <c r="AH10" s="324"/>
      <c r="AI10" s="325">
        <f>IF($AO$2=1,COUNTIF(Interface!$C$22:$C$27,$A10),0)</f>
        <v>0</v>
      </c>
      <c r="AJ10" s="325">
        <f>IF($AO$2=2,COUNTIF(Interface!$C$30:$C$35,$A10),0)</f>
        <v>0</v>
      </c>
      <c r="AK10" s="325"/>
      <c r="AL10" s="325"/>
      <c r="AM10" s="326">
        <f>COUNTIF(Interface!$O$18:$O$23,$A10)</f>
        <v>0</v>
      </c>
      <c r="AN10" s="322" t="e">
        <f ca="1">_xludf.Image("https://ddragon.leagueoflegends.com/cdn/12.22.1/img/item/6696.png")</f>
        <v>#NAME?</v>
      </c>
      <c r="AO10" s="322" t="b">
        <f t="shared" si="4"/>
        <v>1</v>
      </c>
      <c r="AP10" s="331">
        <f t="shared" si="1"/>
        <v>0.89391666666666669</v>
      </c>
    </row>
    <row r="11" spans="1:42" ht="15" customHeight="1">
      <c r="A11" s="316" t="s">
        <v>544</v>
      </c>
      <c r="B11" s="324">
        <f>1300</f>
        <v>1300</v>
      </c>
      <c r="C11" s="324"/>
      <c r="D11" s="324"/>
      <c r="E11" s="324"/>
      <c r="F11" s="324"/>
      <c r="G11" s="324">
        <f>40</f>
        <v>40</v>
      </c>
      <c r="H11" s="324"/>
      <c r="I11" s="324"/>
      <c r="J11" s="324"/>
      <c r="K11" s="324"/>
      <c r="L11" s="324"/>
      <c r="M11" s="324"/>
      <c r="N11" s="324"/>
      <c r="O11" s="324"/>
      <c r="P11" s="324"/>
      <c r="Q11" s="324"/>
      <c r="R11" s="324"/>
      <c r="S11" s="324"/>
      <c r="T11" s="324"/>
      <c r="U11" s="324"/>
      <c r="V11" s="324"/>
      <c r="W11" s="324"/>
      <c r="X11" s="324"/>
      <c r="Y11" s="324"/>
      <c r="Z11" s="324"/>
      <c r="AA11" s="324"/>
      <c r="AB11" s="324"/>
      <c r="AC11" s="324"/>
      <c r="AD11" s="324"/>
      <c r="AE11" s="324"/>
      <c r="AF11" s="324"/>
      <c r="AG11" s="324"/>
      <c r="AH11" s="324"/>
      <c r="AI11" s="325">
        <f>IF($AO$2=1,COUNTIF(Interface!$C$22:$C$27,$A11),0)</f>
        <v>0</v>
      </c>
      <c r="AJ11" s="325">
        <f>IF($AO$2=2,COUNTIF(Interface!$C$30:$C$35,$A11),0)</f>
        <v>0</v>
      </c>
      <c r="AK11" s="325"/>
      <c r="AL11" s="325"/>
      <c r="AM11" s="326">
        <f>COUNTIF(Interface!$O$18:$O$23,$A11)</f>
        <v>0</v>
      </c>
      <c r="AN11" s="322" t="e">
        <f ca="1">_xludf.Image("https://ddragon.leagueoflegends.com/cdn/12.22.1/img/item/1038.png")</f>
        <v>#NAME?</v>
      </c>
      <c r="AO11" s="322" t="b">
        <f t="shared" ref="AO11:AO13" si="5">FALSE</f>
        <v>0</v>
      </c>
      <c r="AP11" s="329">
        <f t="shared" si="1"/>
        <v>1.0769230769230769</v>
      </c>
    </row>
    <row r="12" spans="1:42" ht="15" customHeight="1">
      <c r="A12" s="316" t="s">
        <v>545</v>
      </c>
      <c r="B12" s="324">
        <f>1000</f>
        <v>1000</v>
      </c>
      <c r="C12" s="324">
        <f>300</f>
        <v>300</v>
      </c>
      <c r="D12" s="324"/>
      <c r="E12" s="324"/>
      <c r="F12" s="324"/>
      <c r="G12" s="324"/>
      <c r="H12" s="324"/>
      <c r="I12" s="324"/>
      <c r="J12" s="324"/>
      <c r="K12" s="324"/>
      <c r="L12" s="324"/>
      <c r="M12" s="324"/>
      <c r="N12" s="324"/>
      <c r="O12" s="324"/>
      <c r="P12" s="324"/>
      <c r="Q12" s="324"/>
      <c r="R12" s="324"/>
      <c r="S12" s="324"/>
      <c r="T12" s="324"/>
      <c r="U12" s="324"/>
      <c r="V12" s="324"/>
      <c r="W12" s="324"/>
      <c r="X12" s="324"/>
      <c r="Y12" s="324"/>
      <c r="Z12" s="324"/>
      <c r="AA12" s="324"/>
      <c r="AB12" s="324"/>
      <c r="AC12" s="324"/>
      <c r="AD12" s="324"/>
      <c r="AE12" s="324"/>
      <c r="AF12" s="324"/>
      <c r="AG12" s="324"/>
      <c r="AH12" s="324"/>
      <c r="AI12" s="325">
        <f>IF($AO$2=1,COUNTIF(Interface!$C$22:$C$27,$A12),0)</f>
        <v>0</v>
      </c>
      <c r="AJ12" s="325">
        <f>IF($AO$2=2,COUNTIF(Interface!$C$30:$C$35,$A12),0)</f>
        <v>0</v>
      </c>
      <c r="AK12" s="325"/>
      <c r="AL12" s="325"/>
      <c r="AM12" s="326">
        <f>COUNTIF(Interface!$O$18:$O$23,$A12)</f>
        <v>0</v>
      </c>
      <c r="AN12" s="322" t="e">
        <f ca="1">_xludf.Image("https://ddragon.leagueoflegends.com/cdn/12.22.1/img/item/6660.png")</f>
        <v>#NAME?</v>
      </c>
      <c r="AO12" s="322" t="b">
        <f t="shared" si="5"/>
        <v>0</v>
      </c>
      <c r="AP12" s="332">
        <f t="shared" si="1"/>
        <v>0.80100000000000005</v>
      </c>
    </row>
    <row r="13" spans="1:42" ht="15" customHeight="1">
      <c r="A13" s="316" t="s">
        <v>546</v>
      </c>
      <c r="B13" s="324">
        <f>950</f>
        <v>950</v>
      </c>
      <c r="C13" s="324"/>
      <c r="D13" s="324"/>
      <c r="E13" s="324"/>
      <c r="F13" s="324">
        <f>0.5</f>
        <v>0.5</v>
      </c>
      <c r="G13" s="324"/>
      <c r="H13" s="324">
        <f>20</f>
        <v>20</v>
      </c>
      <c r="I13" s="324"/>
      <c r="J13" s="324"/>
      <c r="K13" s="324"/>
      <c r="L13" s="324"/>
      <c r="M13" s="324">
        <f t="shared" ref="M13:M14" si="6">10</f>
        <v>10</v>
      </c>
      <c r="N13" s="324"/>
      <c r="O13" s="324"/>
      <c r="P13" s="324"/>
      <c r="Q13" s="324"/>
      <c r="R13" s="324"/>
      <c r="S13" s="324"/>
      <c r="T13" s="324"/>
      <c r="U13" s="324"/>
      <c r="V13" s="324"/>
      <c r="W13" s="324"/>
      <c r="X13" s="324"/>
      <c r="Y13" s="324"/>
      <c r="Z13" s="324"/>
      <c r="AA13" s="324"/>
      <c r="AB13" s="324"/>
      <c r="AC13" s="324"/>
      <c r="AD13" s="324"/>
      <c r="AE13" s="324"/>
      <c r="AF13" s="324"/>
      <c r="AG13" s="324"/>
      <c r="AH13" s="324"/>
      <c r="AI13" s="325">
        <f>IF($AO$2=1,COUNTIF(Interface!$C$22:$C$27,$A13),0)</f>
        <v>0</v>
      </c>
      <c r="AJ13" s="325">
        <f>IF($AO$2=2,COUNTIF(Interface!$C$30:$C$35,$A13),0)</f>
        <v>0</v>
      </c>
      <c r="AK13" s="325"/>
      <c r="AL13" s="325"/>
      <c r="AM13" s="326">
        <f>COUNTIF(Interface!$O$18:$O$23,$A13)</f>
        <v>0</v>
      </c>
      <c r="AN13" s="322" t="e">
        <f ca="1">_xludf.Image("https://ddragon.leagueoflegends.com/cdn/12.22.1/img/item/4642.png")</f>
        <v>#NAME?</v>
      </c>
      <c r="AO13" s="322" t="b">
        <f t="shared" si="5"/>
        <v>0</v>
      </c>
      <c r="AP13" s="329">
        <f t="shared" si="1"/>
        <v>1.0017894736842106</v>
      </c>
    </row>
    <row r="14" spans="1:42" ht="15" customHeight="1">
      <c r="A14" s="316" t="s">
        <v>547</v>
      </c>
      <c r="B14" s="324">
        <f>2600</f>
        <v>2600</v>
      </c>
      <c r="C14" s="324"/>
      <c r="D14" s="324"/>
      <c r="E14" s="324"/>
      <c r="F14" s="324"/>
      <c r="G14" s="324"/>
      <c r="H14" s="324">
        <f>80</f>
        <v>80</v>
      </c>
      <c r="I14" s="324"/>
      <c r="J14" s="324">
        <f>45</f>
        <v>45</v>
      </c>
      <c r="K14" s="324"/>
      <c r="L14" s="324"/>
      <c r="M14" s="324">
        <f t="shared" si="6"/>
        <v>10</v>
      </c>
      <c r="N14" s="324"/>
      <c r="O14" s="324"/>
      <c r="P14" s="324"/>
      <c r="Q14" s="324"/>
      <c r="R14" s="324"/>
      <c r="S14" s="324"/>
      <c r="T14" s="324"/>
      <c r="U14" s="324"/>
      <c r="V14" s="324"/>
      <c r="W14" s="324"/>
      <c r="X14" s="324"/>
      <c r="Y14" s="324"/>
      <c r="Z14" s="324"/>
      <c r="AA14" s="324"/>
      <c r="AB14" s="324"/>
      <c r="AC14" s="324"/>
      <c r="AD14" s="324"/>
      <c r="AE14" s="324"/>
      <c r="AF14" s="324"/>
      <c r="AG14" s="324"/>
      <c r="AH14" s="324"/>
      <c r="AI14" s="325">
        <f>IF($AO$2=1,COUNTIF(Interface!$C$22:$C$27,$A14),0)</f>
        <v>0</v>
      </c>
      <c r="AJ14" s="325">
        <f>IF($AO$2=2,COUNTIF(Interface!$C$30:$C$35,$A14),0)</f>
        <v>0</v>
      </c>
      <c r="AK14" s="325"/>
      <c r="AL14" s="325"/>
      <c r="AM14" s="326">
        <f>COUNTIF(Interface!$O$18:$O$23,$A14)</f>
        <v>0</v>
      </c>
      <c r="AN14" s="322" t="e">
        <f ca="1">_xludf.Image("https://ddragon.leagueoflegends.com/cdn/12.22.1/img/item/3102.png")</f>
        <v>#NAME?</v>
      </c>
      <c r="AO14" s="322" t="b">
        <f>TRUE</f>
        <v>1</v>
      </c>
      <c r="AP14" s="329">
        <f t="shared" si="1"/>
        <v>1.0833461538461537</v>
      </c>
    </row>
    <row r="15" spans="1:42" ht="15" customHeight="1">
      <c r="A15" s="316" t="s">
        <v>548</v>
      </c>
      <c r="B15" s="324">
        <f>1100</f>
        <v>1100</v>
      </c>
      <c r="C15" s="324"/>
      <c r="D15" s="324"/>
      <c r="E15" s="324"/>
      <c r="F15" s="324"/>
      <c r="G15" s="324"/>
      <c r="H15" s="324"/>
      <c r="I15" s="324"/>
      <c r="J15" s="324"/>
      <c r="K15" s="324">
        <f>35</f>
        <v>35</v>
      </c>
      <c r="L15" s="324"/>
      <c r="M15" s="324"/>
      <c r="N15" s="324"/>
      <c r="O15" s="324"/>
      <c r="P15" s="324"/>
      <c r="Q15" s="324">
        <f>45</f>
        <v>45</v>
      </c>
      <c r="R15" s="324"/>
      <c r="S15" s="324"/>
      <c r="T15" s="324"/>
      <c r="U15" s="324"/>
      <c r="V15" s="324"/>
      <c r="W15" s="324"/>
      <c r="X15" s="324"/>
      <c r="Y15" s="324"/>
      <c r="Z15" s="324"/>
      <c r="AA15" s="324"/>
      <c r="AB15" s="324"/>
      <c r="AC15" s="324"/>
      <c r="AD15" s="324"/>
      <c r="AE15" s="324"/>
      <c r="AF15" s="324"/>
      <c r="AG15" s="324"/>
      <c r="AH15" s="324"/>
      <c r="AI15" s="325">
        <f>IF($AO$2=1,COUNTIF(Interface!$C$22:$C$27,$A15),0)</f>
        <v>0</v>
      </c>
      <c r="AJ15" s="325">
        <f>IF($AO$2=2,COUNTIF(Interface!$C$30:$C$35,$A15),0)</f>
        <v>0</v>
      </c>
      <c r="AK15" s="325"/>
      <c r="AL15" s="325"/>
      <c r="AM15" s="326">
        <f>COUNTIF(Interface!$O$18:$O$23,$A15)</f>
        <v>0</v>
      </c>
      <c r="AN15" s="322" t="e">
        <f ca="1">_xludf.Image("https://ddragon.leagueoflegends.com/cdn/12.22.1/img/item/3006.png")</f>
        <v>#NAME?</v>
      </c>
      <c r="AO15" s="322" t="b">
        <f>FALSE</f>
        <v>0</v>
      </c>
      <c r="AP15" s="329">
        <f t="shared" si="1"/>
        <v>1.2863636363636364</v>
      </c>
    </row>
    <row r="16" spans="1:42" ht="15" customHeight="1">
      <c r="A16" s="316" t="s">
        <v>123</v>
      </c>
      <c r="B16" s="324">
        <f>3100</f>
        <v>3100</v>
      </c>
      <c r="C16" s="324">
        <f>400</f>
        <v>400</v>
      </c>
      <c r="D16" s="324"/>
      <c r="E16" s="324"/>
      <c r="F16" s="324"/>
      <c r="G16" s="324">
        <f>50</f>
        <v>50</v>
      </c>
      <c r="H16" s="324"/>
      <c r="I16" s="324"/>
      <c r="J16" s="324"/>
      <c r="K16" s="324"/>
      <c r="L16" s="324"/>
      <c r="M16" s="324">
        <f>30</f>
        <v>30</v>
      </c>
      <c r="N16" s="324"/>
      <c r="O16" s="324"/>
      <c r="P16" s="324"/>
      <c r="Q16" s="324"/>
      <c r="R16" s="324"/>
      <c r="S16" s="324"/>
      <c r="T16" s="324"/>
      <c r="U16" s="324"/>
      <c r="V16" s="324"/>
      <c r="W16" s="324"/>
      <c r="X16" s="324"/>
      <c r="Y16" s="324"/>
      <c r="Z16" s="324"/>
      <c r="AA16" s="324"/>
      <c r="AB16" s="324"/>
      <c r="AC16" s="324"/>
      <c r="AD16" s="324"/>
      <c r="AE16" s="324"/>
      <c r="AF16" s="324"/>
      <c r="AG16" s="324">
        <f>18</f>
        <v>18</v>
      </c>
      <c r="AH16" s="324"/>
      <c r="AI16" s="325">
        <f>IF($AO$2=1,COUNTIF(Interface!$C$22:$C$27,$A16),0)</f>
        <v>0</v>
      </c>
      <c r="AJ16" s="325">
        <f>IF($AO$2=2,COUNTIF(Interface!$C$30:$C$35,$A16),0)</f>
        <v>0</v>
      </c>
      <c r="AK16" s="325"/>
      <c r="AL16" s="325"/>
      <c r="AM16" s="326">
        <f>COUNTIF(Interface!$O$18:$O$23,$A16)</f>
        <v>0</v>
      </c>
      <c r="AN16" s="322" t="e">
        <f ca="1">_xludf.Image("https://ddragon.leagueoflegends.com/cdn/12.22.1/img/item/3071.png")</f>
        <v>#NAME?</v>
      </c>
      <c r="AO16" s="322" t="b">
        <f t="shared" ref="AO16:AO18" si="7">TRUE</f>
        <v>1</v>
      </c>
      <c r="AP16" s="329">
        <f t="shared" si="1"/>
        <v>1.1671290322580645</v>
      </c>
    </row>
    <row r="17" spans="1:42" ht="15" customHeight="1">
      <c r="A17" s="316" t="s">
        <v>549</v>
      </c>
      <c r="B17" s="324">
        <f>400</f>
        <v>400</v>
      </c>
      <c r="C17" s="324">
        <f>75</f>
        <v>75</v>
      </c>
      <c r="D17" s="324"/>
      <c r="E17" s="324"/>
      <c r="F17" s="324">
        <f>1</f>
        <v>1</v>
      </c>
      <c r="G17" s="324">
        <f>20</f>
        <v>20</v>
      </c>
      <c r="H17" s="324"/>
      <c r="I17" s="324"/>
      <c r="J17" s="324"/>
      <c r="K17" s="324"/>
      <c r="L17" s="324"/>
      <c r="M17" s="324"/>
      <c r="N17" s="324"/>
      <c r="O17" s="324"/>
      <c r="P17" s="324"/>
      <c r="Q17" s="324"/>
      <c r="R17" s="324"/>
      <c r="S17" s="324"/>
      <c r="T17" s="324"/>
      <c r="U17" s="324"/>
      <c r="V17" s="324"/>
      <c r="W17" s="324"/>
      <c r="X17" s="324"/>
      <c r="Y17" s="324"/>
      <c r="Z17" s="324"/>
      <c r="AA17" s="324"/>
      <c r="AB17" s="324"/>
      <c r="AC17" s="324"/>
      <c r="AD17" s="324"/>
      <c r="AE17" s="324"/>
      <c r="AF17" s="324"/>
      <c r="AG17" s="324"/>
      <c r="AH17" s="324"/>
      <c r="AI17" s="325">
        <f>IF($AO$2=1,COUNTIF(Interface!$C$22:$C$27,$A17),0)</f>
        <v>0</v>
      </c>
      <c r="AJ17" s="325">
        <f>IF($AO$2=2,COUNTIF(Interface!$C$30:$C$35,$A17),0)</f>
        <v>0</v>
      </c>
      <c r="AK17" s="325"/>
      <c r="AL17" s="325"/>
      <c r="AM17" s="326">
        <f>COUNTIF(Interface!$O$18:$O$23,$A17)</f>
        <v>0</v>
      </c>
      <c r="AN17" s="322" t="e">
        <f ca="1">_xludf.Image("https://ddragon.leagueoflegends.com/cdn/12.22.1/img/item/3864.png")</f>
        <v>#NAME?</v>
      </c>
      <c r="AO17" s="322" t="b">
        <f t="shared" si="7"/>
        <v>1</v>
      </c>
      <c r="AP17" s="329">
        <f t="shared" si="1"/>
        <v>3.5006249999999999</v>
      </c>
    </row>
    <row r="18" spans="1:42" ht="15" customHeight="1">
      <c r="A18" s="316" t="s">
        <v>550</v>
      </c>
      <c r="B18" s="324">
        <f>3300</f>
        <v>3300</v>
      </c>
      <c r="C18" s="324"/>
      <c r="D18" s="324"/>
      <c r="E18" s="324"/>
      <c r="F18" s="324"/>
      <c r="G18" s="324">
        <f>40</f>
        <v>40</v>
      </c>
      <c r="H18" s="324"/>
      <c r="I18" s="324"/>
      <c r="J18" s="324"/>
      <c r="K18" s="324">
        <f>25</f>
        <v>25</v>
      </c>
      <c r="L18" s="324"/>
      <c r="M18" s="324"/>
      <c r="N18" s="324">
        <f>8</f>
        <v>8</v>
      </c>
      <c r="O18" s="324"/>
      <c r="P18" s="324"/>
      <c r="Q18" s="324"/>
      <c r="R18" s="324"/>
      <c r="S18" s="324"/>
      <c r="T18" s="324">
        <f>IF(Interface!$L$28,MAX(E_MHP*IF(VLOOKUP(Name,Champs!A2:AE200,31,FALSE),0.06,0.045),15),MAX(E_CHPV*IF(VLOOKUP(Name,Champs!A2:AE200,31,FALSE),0.12,0.09),15))</f>
        <v>15</v>
      </c>
      <c r="U18" s="324"/>
      <c r="V18" s="324"/>
      <c r="W18" s="324">
        <f>40 + IF(Self_Level &gt; 9, 63 * (Self_Level - 9) / 9)</f>
        <v>40</v>
      </c>
      <c r="X18" s="324"/>
      <c r="Y18" s="324"/>
      <c r="Z18" s="324"/>
      <c r="AA18" s="324"/>
      <c r="AB18" s="324"/>
      <c r="AC18" s="324"/>
      <c r="AD18" s="324"/>
      <c r="AE18" s="324"/>
      <c r="AF18" s="324"/>
      <c r="AG18" s="324"/>
      <c r="AH18" s="324"/>
      <c r="AI18" s="325">
        <f>IF($AO$2=1,COUNTIF(Interface!$C$22:$C$27,$A18),0)</f>
        <v>0</v>
      </c>
      <c r="AJ18" s="325">
        <f>IF($AO$2=2,COUNTIF(Interface!$C$30:$C$35,$A18),0)</f>
        <v>0</v>
      </c>
      <c r="AK18" s="325"/>
      <c r="AL18" s="325"/>
      <c r="AM18" s="326">
        <f>COUNTIF(Interface!$O$18:$O$23,$A18)</f>
        <v>0</v>
      </c>
      <c r="AN18" s="322" t="e">
        <f ca="1">_xludf.Image("https://ddragon.leagueoflegends.com/cdn/12.22.1/img/item/3153.png")</f>
        <v>#NAME?</v>
      </c>
      <c r="AO18" s="322" t="b">
        <f t="shared" si="7"/>
        <v>1</v>
      </c>
      <c r="AP18" s="333">
        <f t="shared" si="1"/>
        <v>0.81818181818181823</v>
      </c>
    </row>
    <row r="19" spans="1:42" ht="15" customHeight="1">
      <c r="A19" s="316" t="s">
        <v>551</v>
      </c>
      <c r="B19" s="324">
        <f>850</f>
        <v>850</v>
      </c>
      <c r="C19" s="324"/>
      <c r="D19" s="324"/>
      <c r="E19" s="324"/>
      <c r="F19" s="324"/>
      <c r="G19" s="324"/>
      <c r="H19" s="324">
        <f>40</f>
        <v>40</v>
      </c>
      <c r="I19" s="324"/>
      <c r="J19" s="324"/>
      <c r="K19" s="324"/>
      <c r="L19" s="324"/>
      <c r="M19" s="324"/>
      <c r="N19" s="324"/>
      <c r="O19" s="324"/>
      <c r="P19" s="324"/>
      <c r="Q19" s="324"/>
      <c r="R19" s="324"/>
      <c r="S19" s="324"/>
      <c r="T19" s="324"/>
      <c r="U19" s="324"/>
      <c r="V19" s="324"/>
      <c r="W19" s="324"/>
      <c r="X19" s="324"/>
      <c r="Y19" s="324"/>
      <c r="Z19" s="324"/>
      <c r="AA19" s="324"/>
      <c r="AB19" s="324"/>
      <c r="AC19" s="324"/>
      <c r="AD19" s="324"/>
      <c r="AE19" s="324"/>
      <c r="AF19" s="324"/>
      <c r="AG19" s="324"/>
      <c r="AH19" s="324"/>
      <c r="AI19" s="325">
        <f>IF($AO$2=1,COUNTIF(Interface!$C$22:$C$27,$A19),0)</f>
        <v>0</v>
      </c>
      <c r="AJ19" s="325">
        <f>IF($AO$2=2,COUNTIF(Interface!$C$30:$C$35,$A19),0)</f>
        <v>0</v>
      </c>
      <c r="AK19" s="325"/>
      <c r="AL19" s="325"/>
      <c r="AM19" s="326">
        <f>COUNTIF(Interface!$O$18:$O$23,$A19)</f>
        <v>0</v>
      </c>
      <c r="AN19" s="322" t="e">
        <f ca="1">_xludf.Image("https://ddragon.leagueoflegends.com/cdn/12.22.1/img/item/1026.png")</f>
        <v>#NAME?</v>
      </c>
      <c r="AO19" s="322" t="b">
        <f t="shared" ref="AO19:AO20" si="8">FALSE</f>
        <v>0</v>
      </c>
      <c r="AP19" s="329">
        <f t="shared" si="1"/>
        <v>1.0235294117647058</v>
      </c>
    </row>
    <row r="20" spans="1:42" ht="13.2">
      <c r="A20" s="316" t="s">
        <v>552</v>
      </c>
      <c r="B20" s="324">
        <f>1250</f>
        <v>1250</v>
      </c>
      <c r="C20" s="324"/>
      <c r="D20" s="324"/>
      <c r="E20" s="324"/>
      <c r="F20" s="324"/>
      <c r="G20" s="324"/>
      <c r="H20" s="324">
        <f>25</f>
        <v>25</v>
      </c>
      <c r="I20" s="324"/>
      <c r="J20" s="324"/>
      <c r="K20" s="324"/>
      <c r="L20" s="324"/>
      <c r="M20" s="324"/>
      <c r="N20" s="324"/>
      <c r="O20" s="324"/>
      <c r="P20" s="324"/>
      <c r="Q20" s="324"/>
      <c r="R20" s="324"/>
      <c r="S20" s="324"/>
      <c r="T20" s="324"/>
      <c r="U20" s="324"/>
      <c r="V20" s="324"/>
      <c r="W20" s="324"/>
      <c r="X20" s="324"/>
      <c r="Y20" s="324"/>
      <c r="Z20" s="324">
        <f>13</f>
        <v>13</v>
      </c>
      <c r="AA20" s="324"/>
      <c r="AB20" s="324"/>
      <c r="AC20" s="324"/>
      <c r="AD20" s="324"/>
      <c r="AE20" s="324"/>
      <c r="AF20" s="324"/>
      <c r="AG20" s="324"/>
      <c r="AH20" s="324"/>
      <c r="AI20" s="325">
        <f>IF($AO$2=1,COUNTIF(Interface!$C$22:$C$27,$A20),0)</f>
        <v>0</v>
      </c>
      <c r="AJ20" s="325">
        <f>IF($AO$2=2,COUNTIF(Interface!$C$30:$C$35,$A20),0)</f>
        <v>0</v>
      </c>
      <c r="AK20" s="325"/>
      <c r="AL20" s="325"/>
      <c r="AM20" s="326">
        <f>COUNTIF(Interface!$O$18:$O$23,$A20)</f>
        <v>0</v>
      </c>
      <c r="AN20" s="322" t="e">
        <f ca="1">_xludf.Image("https://ddragon.leagueoflegends.com/cdn/12.22.1/img/item/4630.png")</f>
        <v>#NAME?</v>
      </c>
      <c r="AO20" s="322" t="b">
        <f t="shared" si="8"/>
        <v>0</v>
      </c>
      <c r="AP20" s="334">
        <f t="shared" si="1"/>
        <v>0.435</v>
      </c>
    </row>
    <row r="21" spans="1:42" ht="13.2">
      <c r="A21" s="316" t="s">
        <v>553</v>
      </c>
      <c r="B21" s="324">
        <f>3400</f>
        <v>3400</v>
      </c>
      <c r="C21" s="324"/>
      <c r="D21" s="324"/>
      <c r="E21" s="324"/>
      <c r="F21" s="324"/>
      <c r="G21" s="324">
        <f>55 + IF(Self_CHPP &gt; 50, 10 + 30 * Sc_Lin, 0)</f>
        <v>65</v>
      </c>
      <c r="H21" s="324"/>
      <c r="I21" s="324"/>
      <c r="J21" s="324"/>
      <c r="K21" s="324"/>
      <c r="L21" s="324">
        <f>20</f>
        <v>20</v>
      </c>
      <c r="M21" s="324"/>
      <c r="N21" s="324">
        <f>18</f>
        <v>18</v>
      </c>
      <c r="O21" s="324"/>
      <c r="P21" s="324"/>
      <c r="Q21" s="324"/>
      <c r="R21" s="324"/>
      <c r="S21" s="324"/>
      <c r="T21" s="324"/>
      <c r="U21" s="324"/>
      <c r="V21" s="324"/>
      <c r="W21" s="324"/>
      <c r="X21" s="324"/>
      <c r="Y21" s="324"/>
      <c r="Z21" s="324"/>
      <c r="AA21" s="324"/>
      <c r="AB21" s="324"/>
      <c r="AC21" s="324"/>
      <c r="AD21" s="324"/>
      <c r="AE21" s="324"/>
      <c r="AF21" s="324"/>
      <c r="AG21" s="324"/>
      <c r="AH21" s="324"/>
      <c r="AI21" s="325">
        <f>IF($AO$2=1,COUNTIF(Interface!$C$22:$C$27,$A21),0)</f>
        <v>0</v>
      </c>
      <c r="AJ21" s="325">
        <f>IF($AO$2=2,COUNTIF(Interface!$C$30:$C$35,$A21),0)</f>
        <v>0</v>
      </c>
      <c r="AK21" s="325"/>
      <c r="AL21" s="325"/>
      <c r="AM21" s="326">
        <f>COUNTIF(Interface!$O$18:$O$23,$A21)</f>
        <v>0</v>
      </c>
      <c r="AN21" s="322" t="e">
        <f ca="1">_xludf.Image("https://ddragon.leagueoflegends.com/cdn/12.22.1/img/item/3072.png")</f>
        <v>#NAME?</v>
      </c>
      <c r="AO21" s="322" t="b">
        <f>TRUE</f>
        <v>1</v>
      </c>
      <c r="AP21" s="329">
        <f t="shared" si="1"/>
        <v>1.1029411764705883</v>
      </c>
    </row>
    <row r="22" spans="1:42" ht="13.2">
      <c r="A22" s="316" t="s">
        <v>554</v>
      </c>
      <c r="B22" s="324">
        <f>300</f>
        <v>300</v>
      </c>
      <c r="C22" s="324"/>
      <c r="D22" s="324"/>
      <c r="E22" s="324"/>
      <c r="F22" s="324"/>
      <c r="G22" s="324"/>
      <c r="H22" s="324"/>
      <c r="I22" s="324"/>
      <c r="J22" s="324"/>
      <c r="K22" s="324"/>
      <c r="L22" s="324"/>
      <c r="M22" s="324"/>
      <c r="N22" s="324"/>
      <c r="O22" s="324"/>
      <c r="P22" s="324"/>
      <c r="Q22" s="324">
        <f>25</f>
        <v>25</v>
      </c>
      <c r="R22" s="324"/>
      <c r="S22" s="324"/>
      <c r="T22" s="324"/>
      <c r="U22" s="324"/>
      <c r="V22" s="324"/>
      <c r="W22" s="324"/>
      <c r="X22" s="324"/>
      <c r="Y22" s="324"/>
      <c r="Z22" s="324"/>
      <c r="AA22" s="324"/>
      <c r="AB22" s="324"/>
      <c r="AC22" s="324"/>
      <c r="AD22" s="324"/>
      <c r="AE22" s="324"/>
      <c r="AF22" s="324"/>
      <c r="AG22" s="324"/>
      <c r="AH22" s="324"/>
      <c r="AI22" s="325">
        <f>IF($AO$2=1,COUNTIF(Interface!$C$22:$C$27,$A22),0)</f>
        <v>0</v>
      </c>
      <c r="AJ22" s="325">
        <f>IF($AO$2=2,COUNTIF(Interface!$C$30:$C$35,$A22),0)</f>
        <v>0</v>
      </c>
      <c r="AK22" s="325"/>
      <c r="AL22" s="325"/>
      <c r="AM22" s="326">
        <f>COUNTIF(Interface!$O$18:$O$23,$A22)</f>
        <v>0</v>
      </c>
      <c r="AN22" s="322" t="e">
        <f ca="1">_xludf.Image("https://ddragon.leagueoflegends.com/cdn/12.22.1/img/item/1001.png")</f>
        <v>#NAME?</v>
      </c>
      <c r="AO22" s="322" t="b">
        <f t="shared" ref="AO22:AO24" si="9">FALSE</f>
        <v>0</v>
      </c>
      <c r="AP22" s="329">
        <f t="shared" si="1"/>
        <v>1</v>
      </c>
    </row>
    <row r="23" spans="1:42" ht="13.2">
      <c r="A23" s="316" t="s">
        <v>555</v>
      </c>
      <c r="B23" s="324">
        <f>900</f>
        <v>900</v>
      </c>
      <c r="C23" s="324"/>
      <c r="D23" s="324"/>
      <c r="E23" s="324"/>
      <c r="F23" s="324"/>
      <c r="G23" s="324"/>
      <c r="H23" s="324"/>
      <c r="I23" s="324"/>
      <c r="J23" s="324"/>
      <c r="K23" s="324"/>
      <c r="L23" s="324"/>
      <c r="M23" s="324"/>
      <c r="N23" s="324"/>
      <c r="O23" s="324"/>
      <c r="P23" s="324"/>
      <c r="Q23" s="324">
        <f>60</f>
        <v>60</v>
      </c>
      <c r="R23" s="324"/>
      <c r="S23" s="324"/>
      <c r="T23" s="324"/>
      <c r="U23" s="324"/>
      <c r="V23" s="324"/>
      <c r="W23" s="324"/>
      <c r="X23" s="324"/>
      <c r="Y23" s="324"/>
      <c r="Z23" s="324"/>
      <c r="AA23" s="324"/>
      <c r="AB23" s="324"/>
      <c r="AC23" s="324"/>
      <c r="AD23" s="324"/>
      <c r="AE23" s="324"/>
      <c r="AF23" s="324"/>
      <c r="AG23" s="324"/>
      <c r="AH23" s="324"/>
      <c r="AI23" s="325">
        <f>IF($AO$2=1,COUNTIF(Interface!$C$22:$C$27,$A23),0)</f>
        <v>0</v>
      </c>
      <c r="AJ23" s="325">
        <f>IF($AO$2=2,COUNTIF(Interface!$C$30:$C$35,$A23),0)</f>
        <v>0</v>
      </c>
      <c r="AK23" s="325"/>
      <c r="AL23" s="325"/>
      <c r="AM23" s="326">
        <f>COUNTIF(Interface!$O$18:$O$23,$A23)</f>
        <v>0</v>
      </c>
      <c r="AN23" s="322" t="e">
        <f ca="1">_xludf.Image("https://ddragon.leagueoflegends.com/cdn/12.22.1/img/item/3009.png")</f>
        <v>#NAME?</v>
      </c>
      <c r="AO23" s="322" t="b">
        <f t="shared" si="9"/>
        <v>0</v>
      </c>
      <c r="AP23" s="335">
        <f t="shared" si="1"/>
        <v>0.8</v>
      </c>
    </row>
    <row r="24" spans="1:42" ht="13.2">
      <c r="A24" s="316" t="s">
        <v>556</v>
      </c>
      <c r="B24" s="324">
        <f>800</f>
        <v>800</v>
      </c>
      <c r="C24" s="324"/>
      <c r="D24" s="324"/>
      <c r="E24" s="324"/>
      <c r="F24" s="324"/>
      <c r="G24" s="324"/>
      <c r="H24" s="324"/>
      <c r="I24" s="324">
        <f>30</f>
        <v>30</v>
      </c>
      <c r="J24" s="324"/>
      <c r="K24" s="324"/>
      <c r="L24" s="324"/>
      <c r="M24" s="324"/>
      <c r="N24" s="324"/>
      <c r="O24" s="324"/>
      <c r="P24" s="324"/>
      <c r="Q24" s="324"/>
      <c r="R24" s="324"/>
      <c r="S24" s="324"/>
      <c r="T24" s="324"/>
      <c r="U24" s="324"/>
      <c r="V24" s="324"/>
      <c r="W24" s="324"/>
      <c r="X24" s="324"/>
      <c r="Y24" s="324"/>
      <c r="Z24" s="324"/>
      <c r="AA24" s="324"/>
      <c r="AB24" s="324"/>
      <c r="AC24" s="324"/>
      <c r="AD24" s="324"/>
      <c r="AE24" s="324"/>
      <c r="AF24" s="324"/>
      <c r="AG24" s="324"/>
      <c r="AH24" s="324"/>
      <c r="AI24" s="325">
        <f>IF($AO$2=1,COUNTIF(Interface!$C$22:$C$27,$A24),0)</f>
        <v>0</v>
      </c>
      <c r="AJ24" s="325">
        <f>IF($AO$2=2,COUNTIF(Interface!$C$30:$C$35,$A24),0)</f>
        <v>0</v>
      </c>
      <c r="AK24" s="325"/>
      <c r="AL24" s="325"/>
      <c r="AM24" s="326">
        <f>COUNTIF(Interface!$O$18:$O$23,$A24)</f>
        <v>0</v>
      </c>
      <c r="AN24" s="322" t="e">
        <f ca="1">_xludf.Image("https://ddragon.leagueoflegends.com/cdn/12.22.1/img/item/3076.png")</f>
        <v>#NAME?</v>
      </c>
      <c r="AO24" s="322" t="b">
        <f t="shared" si="9"/>
        <v>0</v>
      </c>
      <c r="AP24" s="336">
        <f t="shared" si="1"/>
        <v>0.75</v>
      </c>
    </row>
    <row r="25" spans="1:42" ht="13.2">
      <c r="A25" s="316" t="s">
        <v>557</v>
      </c>
      <c r="B25" s="324">
        <f>400</f>
        <v>400</v>
      </c>
      <c r="C25" s="324">
        <f>250</f>
        <v>250</v>
      </c>
      <c r="D25" s="324">
        <f>1</f>
        <v>1</v>
      </c>
      <c r="E25" s="324"/>
      <c r="F25" s="324"/>
      <c r="G25" s="324"/>
      <c r="H25" s="324">
        <f>20</f>
        <v>20</v>
      </c>
      <c r="I25" s="324"/>
      <c r="J25" s="324"/>
      <c r="K25" s="324"/>
      <c r="L25" s="324"/>
      <c r="M25" s="324"/>
      <c r="N25" s="324"/>
      <c r="O25" s="324"/>
      <c r="P25" s="324"/>
      <c r="Q25" s="324"/>
      <c r="R25" s="324"/>
      <c r="S25" s="324"/>
      <c r="T25" s="324"/>
      <c r="U25" s="324"/>
      <c r="V25" s="324"/>
      <c r="W25" s="324"/>
      <c r="X25" s="324"/>
      <c r="Y25" s="324"/>
      <c r="Z25" s="324"/>
      <c r="AA25" s="324"/>
      <c r="AB25" s="324"/>
      <c r="AC25" s="324"/>
      <c r="AD25" s="324"/>
      <c r="AE25" s="324"/>
      <c r="AF25" s="324"/>
      <c r="AG25" s="324"/>
      <c r="AH25" s="324"/>
      <c r="AI25" s="325">
        <f>IF($AO$2=1,COUNTIF(Interface!$C$22:$C$27,$A25),0)</f>
        <v>0</v>
      </c>
      <c r="AJ25" s="325">
        <f>IF($AO$2=2,COUNTIF(Interface!$C$30:$C$35,$A25),0)</f>
        <v>0</v>
      </c>
      <c r="AK25" s="325"/>
      <c r="AL25" s="325"/>
      <c r="AM25" s="326">
        <f>COUNTIF(Interface!$O$18:$O$23,$A25)</f>
        <v>0</v>
      </c>
      <c r="AN25" s="322" t="e">
        <f ca="1">_xludf.Image("https://ddragon.leagueoflegends.com/cdn/12.22.1/img/item/3860.png")</f>
        <v>#NAME?</v>
      </c>
      <c r="AO25" s="322" t="b">
        <f>TRUE</f>
        <v>1</v>
      </c>
      <c r="AP25" s="329">
        <f t="shared" si="1"/>
        <v>3.5062500000000001</v>
      </c>
    </row>
    <row r="26" spans="1:42" ht="13.2">
      <c r="A26" s="316" t="s">
        <v>558</v>
      </c>
      <c r="B26" s="324">
        <f>1300</f>
        <v>1300</v>
      </c>
      <c r="C26" s="324">
        <f>300</f>
        <v>300</v>
      </c>
      <c r="D26" s="324"/>
      <c r="E26" s="324">
        <f>300</f>
        <v>300</v>
      </c>
      <c r="F26" s="324"/>
      <c r="G26" s="324"/>
      <c r="H26" s="324"/>
      <c r="I26" s="324"/>
      <c r="J26" s="324"/>
      <c r="K26" s="324"/>
      <c r="L26" s="324"/>
      <c r="M26" s="324"/>
      <c r="N26" s="324"/>
      <c r="O26" s="324"/>
      <c r="P26" s="324"/>
      <c r="Q26" s="324"/>
      <c r="R26" s="324"/>
      <c r="S26" s="324"/>
      <c r="T26" s="324"/>
      <c r="U26" s="324"/>
      <c r="V26" s="324"/>
      <c r="W26" s="324"/>
      <c r="X26" s="324"/>
      <c r="Y26" s="324"/>
      <c r="Z26" s="324"/>
      <c r="AA26" s="324"/>
      <c r="AB26" s="324"/>
      <c r="AC26" s="324"/>
      <c r="AD26" s="324"/>
      <c r="AE26" s="324"/>
      <c r="AF26" s="324"/>
      <c r="AG26" s="324"/>
      <c r="AH26" s="324"/>
      <c r="AI26" s="325">
        <f>IF($AO$2=1,COUNTIF(Interface!$C$22:$C$27,$A26),0)</f>
        <v>0</v>
      </c>
      <c r="AJ26" s="325">
        <f>IF($AO$2=2,COUNTIF(Interface!$C$30:$C$35,$A26),0)</f>
        <v>0</v>
      </c>
      <c r="AK26" s="325"/>
      <c r="AL26" s="325"/>
      <c r="AM26" s="326">
        <f>COUNTIF(Interface!$O$18:$O$23,$A26)</f>
        <v>0</v>
      </c>
      <c r="AN26" s="322" t="e">
        <f ca="1">_xludf.Image("https://ddragon.leagueoflegends.com/cdn/12.22.1/img/item/3803.png")</f>
        <v>#NAME?</v>
      </c>
      <c r="AO26" s="322" t="b">
        <f t="shared" ref="AO26:AO29" si="10">FALSE</f>
        <v>0</v>
      </c>
      <c r="AP26" s="329">
        <f t="shared" si="1"/>
        <v>0.9392307692307692</v>
      </c>
    </row>
    <row r="27" spans="1:42" ht="13.2">
      <c r="A27" s="316" t="s">
        <v>559</v>
      </c>
      <c r="B27" s="324">
        <f>1100</f>
        <v>1100</v>
      </c>
      <c r="C27" s="324"/>
      <c r="D27" s="324"/>
      <c r="E27" s="324"/>
      <c r="F27" s="324"/>
      <c r="G27" s="324">
        <f>25</f>
        <v>25</v>
      </c>
      <c r="H27" s="324"/>
      <c r="I27" s="324"/>
      <c r="J27" s="324"/>
      <c r="K27" s="324"/>
      <c r="L27" s="324"/>
      <c r="M27" s="324">
        <f>10</f>
        <v>10</v>
      </c>
      <c r="N27" s="324"/>
      <c r="O27" s="324"/>
      <c r="P27" s="324"/>
      <c r="Q27" s="324"/>
      <c r="R27" s="324"/>
      <c r="S27" s="324"/>
      <c r="T27" s="324"/>
      <c r="U27" s="324"/>
      <c r="V27" s="324"/>
      <c r="W27" s="324"/>
      <c r="X27" s="324"/>
      <c r="Y27" s="324"/>
      <c r="Z27" s="324"/>
      <c r="AA27" s="324"/>
      <c r="AB27" s="324"/>
      <c r="AC27" s="324"/>
      <c r="AD27" s="324"/>
      <c r="AE27" s="324"/>
      <c r="AF27" s="324"/>
      <c r="AG27" s="324"/>
      <c r="AH27" s="324"/>
      <c r="AI27" s="325">
        <f>IF($AO$2=1,COUNTIF(Interface!$C$22:$C$27,$A27),0)</f>
        <v>0</v>
      </c>
      <c r="AJ27" s="325">
        <f>IF($AO$2=2,COUNTIF(Interface!$C$30:$C$35,$A27),0)</f>
        <v>0</v>
      </c>
      <c r="AK27" s="325"/>
      <c r="AL27" s="325"/>
      <c r="AM27" s="326">
        <f>COUNTIF(Interface!$O$18:$O$23,$A27)</f>
        <v>0</v>
      </c>
      <c r="AN27" s="322" t="e">
        <f ca="1">_xludf.Image("https://ddragon.leagueoflegends.com/cdn/12.22.1/img/item/3133.png")</f>
        <v>#NAME?</v>
      </c>
      <c r="AO27" s="322" t="b">
        <f t="shared" si="10"/>
        <v>0</v>
      </c>
      <c r="AP27" s="329">
        <f t="shared" si="1"/>
        <v>1.0379090909090909</v>
      </c>
    </row>
    <row r="28" spans="1:42" ht="13.2">
      <c r="A28" s="316" t="s">
        <v>560</v>
      </c>
      <c r="B28" s="324">
        <f>800</f>
        <v>800</v>
      </c>
      <c r="C28" s="324"/>
      <c r="D28" s="324"/>
      <c r="E28" s="324"/>
      <c r="F28" s="324"/>
      <c r="G28" s="324"/>
      <c r="H28" s="324"/>
      <c r="I28" s="324">
        <f>40</f>
        <v>40</v>
      </c>
      <c r="J28" s="324"/>
      <c r="K28" s="324"/>
      <c r="L28" s="324"/>
      <c r="M28" s="324"/>
      <c r="N28" s="324"/>
      <c r="O28" s="324"/>
      <c r="P28" s="324"/>
      <c r="Q28" s="324"/>
      <c r="R28" s="324"/>
      <c r="S28" s="324"/>
      <c r="T28" s="324"/>
      <c r="U28" s="324"/>
      <c r="V28" s="324"/>
      <c r="W28" s="324"/>
      <c r="X28" s="324"/>
      <c r="Y28" s="324"/>
      <c r="Z28" s="324"/>
      <c r="AA28" s="324"/>
      <c r="AB28" s="324"/>
      <c r="AC28" s="324"/>
      <c r="AD28" s="324"/>
      <c r="AE28" s="324"/>
      <c r="AF28" s="324"/>
      <c r="AG28" s="324"/>
      <c r="AH28" s="324"/>
      <c r="AI28" s="325">
        <f>IF($AO$2=1,COUNTIF(Interface!$C$22:$C$27,$A28),0)</f>
        <v>0</v>
      </c>
      <c r="AJ28" s="325">
        <f>IF($AO$2=2,COUNTIF(Interface!$C$30:$C$35,$A28),0)</f>
        <v>0</v>
      </c>
      <c r="AK28" s="325"/>
      <c r="AL28" s="325"/>
      <c r="AM28" s="326">
        <f>COUNTIF(Interface!$O$18:$O$23,$A28)</f>
        <v>0</v>
      </c>
      <c r="AN28" s="322" t="e">
        <f ca="1">_xludf.Image("https://ddragon.leagueoflegends.com/cdn/12.22.1/img/item/1031.png")</f>
        <v>#NAME?</v>
      </c>
      <c r="AO28" s="322" t="b">
        <f t="shared" si="10"/>
        <v>0</v>
      </c>
      <c r="AP28" s="329">
        <f t="shared" si="1"/>
        <v>1</v>
      </c>
    </row>
    <row r="29" spans="1:42" ht="13.2">
      <c r="A29" s="316" t="s">
        <v>561</v>
      </c>
      <c r="B29" s="324">
        <f>900</f>
        <v>900</v>
      </c>
      <c r="C29" s="324">
        <f>200</f>
        <v>200</v>
      </c>
      <c r="D29" s="324">
        <f>IT_MPR</f>
        <v>0</v>
      </c>
      <c r="E29" s="324"/>
      <c r="F29" s="324">
        <f>0.5</f>
        <v>0.5</v>
      </c>
      <c r="G29" s="324"/>
      <c r="H29" s="324"/>
      <c r="I29" s="324"/>
      <c r="J29" s="324"/>
      <c r="K29" s="324"/>
      <c r="L29" s="324"/>
      <c r="M29" s="324"/>
      <c r="N29" s="324"/>
      <c r="O29" s="324"/>
      <c r="P29" s="324"/>
      <c r="Q29" s="324"/>
      <c r="R29" s="324"/>
      <c r="S29" s="324"/>
      <c r="T29" s="324"/>
      <c r="U29" s="324"/>
      <c r="V29" s="324"/>
      <c r="W29" s="324"/>
      <c r="X29" s="324"/>
      <c r="Y29" s="324"/>
      <c r="Z29" s="324"/>
      <c r="AA29" s="324"/>
      <c r="AB29" s="324"/>
      <c r="AC29" s="324"/>
      <c r="AD29" s="324"/>
      <c r="AE29" s="324"/>
      <c r="AF29" s="324"/>
      <c r="AG29" s="324"/>
      <c r="AH29" s="324"/>
      <c r="AI29" s="325">
        <f>IF($AO$2=1,COUNTIF(Interface!$C$22:$C$27,$A29),0)</f>
        <v>0</v>
      </c>
      <c r="AJ29" s="325">
        <f>IF($AO$2=2,COUNTIF(Interface!$C$30:$C$35,$A29),0)</f>
        <v>0</v>
      </c>
      <c r="AK29" s="325"/>
      <c r="AL29" s="325"/>
      <c r="AM29" s="326">
        <f>COUNTIF(Interface!$O$18:$O$23,$A29)</f>
        <v>0</v>
      </c>
      <c r="AN29" s="322"/>
      <c r="AO29" s="322" t="b">
        <f t="shared" si="10"/>
        <v>0</v>
      </c>
      <c r="AP29" s="337">
        <f t="shared" si="1"/>
        <v>0.87111111111111106</v>
      </c>
    </row>
    <row r="30" spans="1:42" ht="13.2">
      <c r="A30" s="316" t="s">
        <v>562</v>
      </c>
      <c r="B30" s="324">
        <f>2800</f>
        <v>2800</v>
      </c>
      <c r="C30" s="324">
        <f>250</f>
        <v>250</v>
      </c>
      <c r="D30" s="324"/>
      <c r="E30" s="324"/>
      <c r="F30" s="324"/>
      <c r="G30" s="324">
        <f>50</f>
        <v>50</v>
      </c>
      <c r="H30" s="324"/>
      <c r="I30" s="324"/>
      <c r="J30" s="324"/>
      <c r="K30" s="324"/>
      <c r="L30" s="324"/>
      <c r="M30" s="324">
        <f>25</f>
        <v>25</v>
      </c>
      <c r="N30" s="324"/>
      <c r="O30" s="324"/>
      <c r="P30" s="324"/>
      <c r="Q30" s="324"/>
      <c r="R30" s="324"/>
      <c r="S30" s="324"/>
      <c r="T30" s="324"/>
      <c r="U30" s="324"/>
      <c r="V30" s="324"/>
      <c r="W30" s="324"/>
      <c r="X30" s="324"/>
      <c r="Y30" s="324"/>
      <c r="Z30" s="324"/>
      <c r="AA30" s="324"/>
      <c r="AB30" s="324"/>
      <c r="AC30" s="324"/>
      <c r="AD30" s="324"/>
      <c r="AE30" s="324"/>
      <c r="AF30" s="324"/>
      <c r="AG30" s="324"/>
      <c r="AH30" s="324"/>
      <c r="AI30" s="325">
        <f>IF($AO$2=1,COUNTIF(Interface!$C$22:$C$27,$A30),0)</f>
        <v>0</v>
      </c>
      <c r="AJ30" s="325">
        <f>IF($AO$2=2,COUNTIF(Interface!$C$30:$C$35,$A30),0)</f>
        <v>0</v>
      </c>
      <c r="AK30" s="325"/>
      <c r="AL30" s="325"/>
      <c r="AM30" s="326">
        <f>COUNTIF(Interface!$O$18:$O$23,$A30)</f>
        <v>0</v>
      </c>
      <c r="AN30" s="322" t="e">
        <f ca="1">_xludf.Image("https://ddragon.leagueoflegends.com/cdn/12.22.1/img/item/6609.png")</f>
        <v>#NAME?</v>
      </c>
      <c r="AO30" s="322" t="b">
        <f t="shared" ref="AO30:AO31" si="11">TRUE</f>
        <v>1</v>
      </c>
      <c r="AP30" s="329">
        <f t="shared" si="1"/>
        <v>1.1015178571428572</v>
      </c>
    </row>
    <row r="31" spans="1:42" ht="13.2">
      <c r="A31" s="316" t="s">
        <v>563</v>
      </c>
      <c r="B31" s="324">
        <f>2100</f>
        <v>2100</v>
      </c>
      <c r="C31" s="324"/>
      <c r="D31" s="324"/>
      <c r="E31" s="324"/>
      <c r="F31" s="324">
        <f>0.75</f>
        <v>0.75</v>
      </c>
      <c r="G31" s="324"/>
      <c r="H31" s="324">
        <f>35</f>
        <v>35</v>
      </c>
      <c r="I31" s="324"/>
      <c r="J31" s="324"/>
      <c r="K31" s="324"/>
      <c r="L31" s="324"/>
      <c r="M31" s="324">
        <f>15</f>
        <v>15</v>
      </c>
      <c r="N31" s="324"/>
      <c r="O31" s="324"/>
      <c r="P31" s="324"/>
      <c r="Q31" s="324"/>
      <c r="R31" s="324"/>
      <c r="S31" s="324">
        <f>10</f>
        <v>10</v>
      </c>
      <c r="T31" s="324"/>
      <c r="U31" s="324"/>
      <c r="V31" s="324"/>
      <c r="W31" s="324"/>
      <c r="X31" s="324"/>
      <c r="Y31" s="324"/>
      <c r="Z31" s="324"/>
      <c r="AA31" s="324"/>
      <c r="AB31" s="324"/>
      <c r="AC31" s="324"/>
      <c r="AD31" s="324"/>
      <c r="AE31" s="324"/>
      <c r="AF31" s="324"/>
      <c r="AG31" s="324"/>
      <c r="AH31" s="324"/>
      <c r="AI31" s="325">
        <f>IF($AO$2=1,COUNTIF(Interface!$C$22:$C$27,$A31),0)</f>
        <v>0</v>
      </c>
      <c r="AJ31" s="325">
        <f>IF($AO$2=2,COUNTIF(Interface!$C$30:$C$35,$A31),0)</f>
        <v>0</v>
      </c>
      <c r="AK31" s="325"/>
      <c r="AL31" s="325"/>
      <c r="AM31" s="326">
        <f>COUNTIF(Interface!$O$18:$O$23,$A31)</f>
        <v>0</v>
      </c>
      <c r="AN31" s="322" t="e">
        <f ca="1">_xludf.Image("https://ddragon.leagueoflegends.com/cdn/12.22.1/img/item/3011.png")</f>
        <v>#NAME?</v>
      </c>
      <c r="AO31" s="322" t="b">
        <f t="shared" si="11"/>
        <v>1</v>
      </c>
      <c r="AP31" s="329">
        <f t="shared" si="1"/>
        <v>1.0014285714285713</v>
      </c>
    </row>
    <row r="32" spans="1:42" ht="13.2">
      <c r="A32" s="316" t="s">
        <v>564</v>
      </c>
      <c r="B32" s="324">
        <f>600</f>
        <v>600</v>
      </c>
      <c r="C32" s="324"/>
      <c r="D32" s="324"/>
      <c r="E32" s="324"/>
      <c r="F32" s="324"/>
      <c r="G32" s="324"/>
      <c r="H32" s="324"/>
      <c r="I32" s="324"/>
      <c r="J32" s="324"/>
      <c r="K32" s="324"/>
      <c r="L32" s="324">
        <f>15</f>
        <v>15</v>
      </c>
      <c r="M32" s="324"/>
      <c r="N32" s="324"/>
      <c r="O32" s="324"/>
      <c r="P32" s="324"/>
      <c r="Q32" s="324"/>
      <c r="R32" s="324"/>
      <c r="S32" s="324"/>
      <c r="T32" s="324"/>
      <c r="U32" s="324"/>
      <c r="V32" s="324"/>
      <c r="W32" s="324"/>
      <c r="X32" s="324"/>
      <c r="Y32" s="324"/>
      <c r="Z32" s="324"/>
      <c r="AA32" s="324"/>
      <c r="AB32" s="324"/>
      <c r="AC32" s="324"/>
      <c r="AD32" s="324"/>
      <c r="AE32" s="324"/>
      <c r="AF32" s="324"/>
      <c r="AG32" s="324"/>
      <c r="AH32" s="324"/>
      <c r="AI32" s="325">
        <f>IF($AO$2=1,COUNTIF(Interface!$C$22:$C$27,$A32),0)</f>
        <v>0</v>
      </c>
      <c r="AJ32" s="325">
        <f>IF($AO$2=2,COUNTIF(Interface!$C$30:$C$35,$A32),0)</f>
        <v>0</v>
      </c>
      <c r="AK32" s="325"/>
      <c r="AL32" s="325"/>
      <c r="AM32" s="326">
        <f>COUNTIF(Interface!$O$18:$O$23,$A32)</f>
        <v>0</v>
      </c>
      <c r="AN32" s="322" t="e">
        <f ca="1">_xludf.Image("https://ddragon.leagueoflegends.com/cdn/12.22.1/img/item/1018.png")</f>
        <v>#NAME?</v>
      </c>
      <c r="AO32" s="322" t="b">
        <f t="shared" ref="AO32:AO33" si="12">FALSE</f>
        <v>0</v>
      </c>
      <c r="AP32" s="329">
        <f t="shared" si="1"/>
        <v>1</v>
      </c>
    </row>
    <row r="33" spans="1:42" ht="13.2">
      <c r="A33" s="316" t="s">
        <v>565</v>
      </c>
      <c r="B33" s="324">
        <f>300</f>
        <v>300</v>
      </c>
      <c r="C33" s="324"/>
      <c r="D33" s="324"/>
      <c r="E33" s="324"/>
      <c r="F33" s="324"/>
      <c r="G33" s="324"/>
      <c r="H33" s="324"/>
      <c r="I33" s="324">
        <f>15</f>
        <v>15</v>
      </c>
      <c r="J33" s="324"/>
      <c r="K33" s="324"/>
      <c r="L33" s="324"/>
      <c r="M33" s="324"/>
      <c r="N33" s="324"/>
      <c r="O33" s="324"/>
      <c r="P33" s="324"/>
      <c r="Q33" s="324"/>
      <c r="R33" s="324"/>
      <c r="S33" s="324"/>
      <c r="T33" s="324"/>
      <c r="U33" s="324"/>
      <c r="V33" s="324"/>
      <c r="W33" s="324"/>
      <c r="X33" s="324"/>
      <c r="Y33" s="324"/>
      <c r="Z33" s="324"/>
      <c r="AA33" s="324"/>
      <c r="AB33" s="324"/>
      <c r="AC33" s="324"/>
      <c r="AD33" s="324"/>
      <c r="AE33" s="324"/>
      <c r="AF33" s="324"/>
      <c r="AG33" s="324"/>
      <c r="AH33" s="324"/>
      <c r="AI33" s="325">
        <f>IF($AO$2=1,COUNTIF(Interface!$C$22:$C$27,$A33),0)</f>
        <v>0</v>
      </c>
      <c r="AJ33" s="325">
        <f>IF($AO$2=2,COUNTIF(Interface!$C$30:$C$35,$A33),0)</f>
        <v>0</v>
      </c>
      <c r="AK33" s="325"/>
      <c r="AL33" s="325"/>
      <c r="AM33" s="326">
        <f>COUNTIF(Interface!$O$18:$O$23,$A33)</f>
        <v>0</v>
      </c>
      <c r="AN33" s="322" t="e">
        <f ca="1">_xludf.Image("https://ddragon.leagueoflegends.com/cdn/12.22.1/img/item/1029.png")</f>
        <v>#NAME?</v>
      </c>
      <c r="AO33" s="322" t="b">
        <f t="shared" si="12"/>
        <v>0</v>
      </c>
      <c r="AP33" s="329">
        <f t="shared" si="1"/>
        <v>1</v>
      </c>
    </row>
    <row r="34" spans="1:42" ht="13.2">
      <c r="A34" s="316" t="s">
        <v>566</v>
      </c>
      <c r="B34" s="324">
        <f>3000</f>
        <v>3000</v>
      </c>
      <c r="C34" s="324"/>
      <c r="D34" s="324"/>
      <c r="E34" s="324"/>
      <c r="F34" s="324"/>
      <c r="G34" s="324"/>
      <c r="H34" s="324">
        <f>100</f>
        <v>100</v>
      </c>
      <c r="I34" s="324"/>
      <c r="J34" s="324"/>
      <c r="K34" s="324"/>
      <c r="L34" s="324"/>
      <c r="M34" s="324">
        <f>30</f>
        <v>30</v>
      </c>
      <c r="N34" s="324"/>
      <c r="O34" s="324"/>
      <c r="P34" s="324"/>
      <c r="Q34" s="324"/>
      <c r="R34" s="324">
        <f>IF(Steroid_Items, 20, 0)</f>
        <v>0</v>
      </c>
      <c r="S34" s="324"/>
      <c r="T34" s="324"/>
      <c r="U34" s="324"/>
      <c r="V34" s="324"/>
      <c r="W34" s="324"/>
      <c r="X34" s="324"/>
      <c r="Y34" s="324"/>
      <c r="Z34" s="324"/>
      <c r="AA34" s="324"/>
      <c r="AB34" s="324"/>
      <c r="AC34" s="324"/>
      <c r="AD34" s="324"/>
      <c r="AE34" s="324"/>
      <c r="AF34" s="324"/>
      <c r="AG34" s="324"/>
      <c r="AH34" s="324"/>
      <c r="AI34" s="325">
        <f>IF($AO$2=1,COUNTIF(Interface!$C$22:$C$27,$A34),0)</f>
        <v>0</v>
      </c>
      <c r="AJ34" s="325">
        <f>IF($AO$2=2,COUNTIF(Interface!$C$30:$C$35,$A34),0)</f>
        <v>0</v>
      </c>
      <c r="AK34" s="325"/>
      <c r="AL34" s="325"/>
      <c r="AM34" s="326">
        <f>COUNTIF(Interface!$O$18:$O$23,$A34)</f>
        <v>0</v>
      </c>
      <c r="AN34" s="322" t="e">
        <f ca="1">_xludf.Image("https://ddragon.leagueoflegends.com/cdn/12.22.1/img/item/4629.png")</f>
        <v>#NAME?</v>
      </c>
      <c r="AO34" s="322" t="b">
        <f>TRUE</f>
        <v>1</v>
      </c>
      <c r="AP34" s="338">
        <f t="shared" si="1"/>
        <v>0.99169999999999991</v>
      </c>
    </row>
    <row r="35" spans="1:42" ht="13.2">
      <c r="A35" s="316" t="s">
        <v>567</v>
      </c>
      <c r="B35" s="324">
        <f>800</f>
        <v>800</v>
      </c>
      <c r="C35" s="324">
        <f>200</f>
        <v>200</v>
      </c>
      <c r="D35" s="324">
        <f>1</f>
        <v>1</v>
      </c>
      <c r="E35" s="324"/>
      <c r="F35" s="324"/>
      <c r="G35" s="324"/>
      <c r="H35" s="324"/>
      <c r="I35" s="324"/>
      <c r="J35" s="324"/>
      <c r="K35" s="324"/>
      <c r="L35" s="324"/>
      <c r="M35" s="324"/>
      <c r="N35" s="324"/>
      <c r="O35" s="324"/>
      <c r="P35" s="324"/>
      <c r="Q35" s="324"/>
      <c r="R35" s="324"/>
      <c r="S35" s="324"/>
      <c r="T35" s="324"/>
      <c r="U35" s="324"/>
      <c r="V35" s="324"/>
      <c r="W35" s="324"/>
      <c r="X35" s="324"/>
      <c r="Y35" s="324"/>
      <c r="Z35" s="324"/>
      <c r="AA35" s="324"/>
      <c r="AB35" s="324"/>
      <c r="AC35" s="324"/>
      <c r="AD35" s="324"/>
      <c r="AE35" s="324"/>
      <c r="AF35" s="324"/>
      <c r="AG35" s="324"/>
      <c r="AH35" s="324"/>
      <c r="AI35" s="325">
        <f>IF($AO$2=1,COUNTIF(Interface!$C$22:$C$27,$A35),0)</f>
        <v>0</v>
      </c>
      <c r="AJ35" s="325">
        <f>IF($AO$2=2,COUNTIF(Interface!$C$30:$C$35,$A35),0)</f>
        <v>0</v>
      </c>
      <c r="AK35" s="325"/>
      <c r="AL35" s="325"/>
      <c r="AM35" s="326">
        <f>COUNTIF(Interface!$O$18:$O$23,$A35)</f>
        <v>0</v>
      </c>
      <c r="AN35" s="322" t="e">
        <f ca="1">_xludf.Image("https://ddragon.leagueoflegends.com/cdn/12.22.1/img/item/3801.png")</f>
        <v>#NAME?</v>
      </c>
      <c r="AO35" s="322" t="b">
        <f t="shared" ref="AO35:AO38" si="13">FALSE</f>
        <v>0</v>
      </c>
      <c r="AP35" s="329">
        <f t="shared" si="1"/>
        <v>1.0425</v>
      </c>
    </row>
    <row r="36" spans="1:42" ht="13.2">
      <c r="A36" s="316" t="s">
        <v>568</v>
      </c>
      <c r="B36" s="324">
        <f>450</f>
        <v>450</v>
      </c>
      <c r="C36" s="324"/>
      <c r="D36" s="324"/>
      <c r="E36" s="324"/>
      <c r="F36" s="324"/>
      <c r="G36" s="324">
        <f>7</f>
        <v>7</v>
      </c>
      <c r="H36" s="324"/>
      <c r="I36" s="324"/>
      <c r="J36" s="324"/>
      <c r="K36" s="324"/>
      <c r="L36" s="324"/>
      <c r="M36" s="324"/>
      <c r="N36" s="324"/>
      <c r="O36" s="324"/>
      <c r="P36" s="324"/>
      <c r="Q36" s="324"/>
      <c r="R36" s="324"/>
      <c r="S36" s="324"/>
      <c r="T36" s="324"/>
      <c r="U36" s="324"/>
      <c r="V36" s="324"/>
      <c r="W36" s="324"/>
      <c r="X36" s="324"/>
      <c r="Y36" s="324"/>
      <c r="Z36" s="324"/>
      <c r="AA36" s="324"/>
      <c r="AB36" s="324"/>
      <c r="AC36" s="324"/>
      <c r="AD36" s="324"/>
      <c r="AE36" s="324"/>
      <c r="AF36" s="324"/>
      <c r="AG36" s="324"/>
      <c r="AH36" s="324"/>
      <c r="AI36" s="325">
        <f>IF($AO$2=1,COUNTIF(Interface!$C$22:$C$27,$A36),0)</f>
        <v>0</v>
      </c>
      <c r="AJ36" s="325">
        <f>IF($AO$2=2,COUNTIF(Interface!$C$30:$C$35,$A36),0)</f>
        <v>0</v>
      </c>
      <c r="AK36" s="325"/>
      <c r="AL36" s="325"/>
      <c r="AM36" s="326">
        <f>COUNTIF(Interface!$O$18:$O$23,$A36)</f>
        <v>0</v>
      </c>
      <c r="AN36" s="322" t="e">
        <f ca="1">_xludf.Image("https://ddragon.leagueoflegends.com/cdn/12.22.1/img/item/1083.png")</f>
        <v>#NAME?</v>
      </c>
      <c r="AO36" s="322" t="b">
        <f t="shared" si="13"/>
        <v>0</v>
      </c>
      <c r="AP36" s="329">
        <f t="shared" si="1"/>
        <v>0.5444444444444444</v>
      </c>
    </row>
    <row r="37" spans="1:42" ht="13.2">
      <c r="A37" s="316" t="s">
        <v>569</v>
      </c>
      <c r="B37" s="324">
        <f>300</f>
        <v>300</v>
      </c>
      <c r="C37" s="324"/>
      <c r="D37" s="324"/>
      <c r="E37" s="324"/>
      <c r="F37" s="324"/>
      <c r="G37" s="324"/>
      <c r="H37" s="324"/>
      <c r="I37" s="324"/>
      <c r="J37" s="324"/>
      <c r="K37" s="324">
        <f>12</f>
        <v>12</v>
      </c>
      <c r="L37" s="324"/>
      <c r="M37" s="324"/>
      <c r="N37" s="324"/>
      <c r="O37" s="324"/>
      <c r="P37" s="324"/>
      <c r="Q37" s="324"/>
      <c r="R37" s="324"/>
      <c r="S37" s="324"/>
      <c r="T37" s="324"/>
      <c r="U37" s="324"/>
      <c r="V37" s="324"/>
      <c r="W37" s="324"/>
      <c r="X37" s="324"/>
      <c r="Y37" s="324"/>
      <c r="Z37" s="324"/>
      <c r="AA37" s="324"/>
      <c r="AB37" s="324"/>
      <c r="AC37" s="324"/>
      <c r="AD37" s="324"/>
      <c r="AE37" s="324"/>
      <c r="AF37" s="324"/>
      <c r="AG37" s="324"/>
      <c r="AH37" s="324"/>
      <c r="AI37" s="325">
        <f>IF($AO$2=1,COUNTIF(Interface!$C$22:$C$27,$A37),0)</f>
        <v>0</v>
      </c>
      <c r="AJ37" s="325">
        <f>IF($AO$2=2,COUNTIF(Interface!$C$30:$C$35,$A37),0)</f>
        <v>0</v>
      </c>
      <c r="AK37" s="325"/>
      <c r="AL37" s="325"/>
      <c r="AM37" s="326">
        <f>COUNTIF(Interface!$O$18:$O$23,$A37)</f>
        <v>0</v>
      </c>
      <c r="AN37" s="322" t="e">
        <f ca="1">_xludf.Image("https://ddragon.leagueoflegends.com/cdn/12.22.1/img/item/1042.png")</f>
        <v>#NAME?</v>
      </c>
      <c r="AO37" s="322" t="b">
        <f t="shared" si="13"/>
        <v>0</v>
      </c>
      <c r="AP37" s="339">
        <f t="shared" si="1"/>
        <v>1</v>
      </c>
    </row>
    <row r="38" spans="1:42" ht="13.2">
      <c r="A38" s="316" t="s">
        <v>570</v>
      </c>
      <c r="B38" s="324">
        <f>350</f>
        <v>350</v>
      </c>
      <c r="C38" s="324">
        <f>40</f>
        <v>40</v>
      </c>
      <c r="D38" s="324"/>
      <c r="E38" s="324"/>
      <c r="F38" s="324"/>
      <c r="G38" s="324"/>
      <c r="H38" s="324">
        <f>15</f>
        <v>15</v>
      </c>
      <c r="I38" s="324"/>
      <c r="J38" s="324"/>
      <c r="K38" s="324"/>
      <c r="L38" s="324"/>
      <c r="M38" s="324"/>
      <c r="N38" s="324"/>
      <c r="O38" s="324"/>
      <c r="P38" s="324"/>
      <c r="Q38" s="324"/>
      <c r="R38" s="324"/>
      <c r="S38" s="324"/>
      <c r="T38" s="324"/>
      <c r="U38" s="324"/>
      <c r="V38" s="324"/>
      <c r="W38" s="324"/>
      <c r="X38" s="324"/>
      <c r="Y38" s="324"/>
      <c r="Z38" s="324"/>
      <c r="AA38" s="324"/>
      <c r="AB38" s="324"/>
      <c r="AC38" s="324"/>
      <c r="AD38" s="324"/>
      <c r="AE38" s="324"/>
      <c r="AF38" s="324"/>
      <c r="AG38" s="324"/>
      <c r="AH38" s="324"/>
      <c r="AI38" s="325">
        <f>IF($AO$2=1,COUNTIF(Interface!$C$22:$C$27,$A38),0)</f>
        <v>0</v>
      </c>
      <c r="AJ38" s="325">
        <f>IF($AO$2=2,COUNTIF(Interface!$C$30:$C$35,$A38),0)</f>
        <v>0</v>
      </c>
      <c r="AK38" s="325"/>
      <c r="AL38" s="325"/>
      <c r="AM38" s="326">
        <f>COUNTIF(Interface!$O$18:$O$23,$A38)</f>
        <v>0</v>
      </c>
      <c r="AN38" s="322" t="e">
        <f ca="1">_xludf.Image("https://ddragon.leagueoflegends.com/cdn/12.22.1/img/item/1082.png")</f>
        <v>#NAME?</v>
      </c>
      <c r="AO38" s="322" t="b">
        <f t="shared" si="13"/>
        <v>0</v>
      </c>
      <c r="AP38" s="340">
        <f t="shared" si="1"/>
        <v>1.2372857142857143</v>
      </c>
    </row>
    <row r="39" spans="1:42" ht="13.2">
      <c r="A39" s="316" t="s">
        <v>571</v>
      </c>
      <c r="B39" s="324">
        <f>2900</f>
        <v>2900</v>
      </c>
      <c r="C39" s="324">
        <f>300</f>
        <v>300</v>
      </c>
      <c r="D39" s="324"/>
      <c r="E39" s="324"/>
      <c r="F39" s="324"/>
      <c r="G39" s="324"/>
      <c r="H39" s="324"/>
      <c r="I39" s="324">
        <f t="shared" ref="I39:I40" si="14">45</f>
        <v>45</v>
      </c>
      <c r="J39" s="324"/>
      <c r="K39" s="324"/>
      <c r="L39" s="324"/>
      <c r="M39" s="324"/>
      <c r="N39" s="324"/>
      <c r="O39" s="324"/>
      <c r="P39" s="324"/>
      <c r="Q39" s="324"/>
      <c r="R39" s="324">
        <f>5</f>
        <v>5</v>
      </c>
      <c r="S39" s="324"/>
      <c r="T39" s="324"/>
      <c r="U39" s="324"/>
      <c r="V39" s="324"/>
      <c r="W39" s="324"/>
      <c r="X39" s="324"/>
      <c r="Y39" s="324"/>
      <c r="Z39" s="324"/>
      <c r="AA39" s="324"/>
      <c r="AB39" s="324"/>
      <c r="AC39" s="324"/>
      <c r="AD39" s="324"/>
      <c r="AE39" s="324">
        <f>Self_BaAD + 40</f>
        <v>40</v>
      </c>
      <c r="AF39" s="324"/>
      <c r="AG39" s="324"/>
      <c r="AH39" s="324"/>
      <c r="AI39" s="325">
        <f>IF($AO$2=1,COUNTIF(Interface!$C$22:$C$27,$A39),0)</f>
        <v>0</v>
      </c>
      <c r="AJ39" s="325">
        <f>IF($AO$2=2,COUNTIF(Interface!$C$30:$C$35,$A39),0)</f>
        <v>0</v>
      </c>
      <c r="AK39" s="325"/>
      <c r="AL39" s="325"/>
      <c r="AM39" s="326">
        <f>COUNTIF(Interface!$O$18:$O$23,$A39)</f>
        <v>0</v>
      </c>
      <c r="AN39" s="322" t="e">
        <f ca="1">_xludf.Image("https://ddragon.leagueoflegends.com/cdn/12.22.1/img/item/3742.png")</f>
        <v>#NAME?</v>
      </c>
      <c r="AO39" s="322" t="b">
        <f t="shared" ref="AO39:AO41" si="15">TRUE</f>
        <v>1</v>
      </c>
      <c r="AP39" s="341">
        <f t="shared" si="1"/>
        <v>0.65465517241379312</v>
      </c>
    </row>
    <row r="40" spans="1:42" ht="13.2">
      <c r="A40" s="316" t="s">
        <v>572</v>
      </c>
      <c r="B40" s="324">
        <f>3300</f>
        <v>3300</v>
      </c>
      <c r="C40" s="324"/>
      <c r="D40" s="324"/>
      <c r="E40" s="324"/>
      <c r="F40" s="324"/>
      <c r="G40" s="324">
        <f>55</f>
        <v>55</v>
      </c>
      <c r="H40" s="324"/>
      <c r="I40" s="324">
        <f t="shared" si="14"/>
        <v>45</v>
      </c>
      <c r="J40" s="324"/>
      <c r="K40" s="324"/>
      <c r="L40" s="324"/>
      <c r="M40" s="324">
        <f>15</f>
        <v>15</v>
      </c>
      <c r="N40" s="324"/>
      <c r="O40" s="324"/>
      <c r="P40" s="324"/>
      <c r="Q40" s="324"/>
      <c r="R40" s="324"/>
      <c r="S40" s="324"/>
      <c r="T40" s="324"/>
      <c r="U40" s="324"/>
      <c r="V40" s="324"/>
      <c r="W40" s="324"/>
      <c r="X40" s="324"/>
      <c r="Y40" s="324"/>
      <c r="Z40" s="324"/>
      <c r="AA40" s="324"/>
      <c r="AB40" s="324"/>
      <c r="AC40" s="324"/>
      <c r="AD40" s="324"/>
      <c r="AE40" s="324"/>
      <c r="AF40" s="324"/>
      <c r="AG40" s="324"/>
      <c r="AH40" s="324"/>
      <c r="AI40" s="325">
        <f>IF($AO$2=1,COUNTIF(Interface!$C$22:$C$27,$A40),0)</f>
        <v>0</v>
      </c>
      <c r="AJ40" s="325">
        <f>IF($AO$2=2,COUNTIF(Interface!$C$30:$C$35,$A40),0)</f>
        <v>0</v>
      </c>
      <c r="AK40" s="325"/>
      <c r="AL40" s="325"/>
      <c r="AM40" s="326">
        <f>COUNTIF(Interface!$O$18:$O$23,$A40)</f>
        <v>0</v>
      </c>
      <c r="AN40" s="322" t="e">
        <f ca="1">_xludf.Image("https://ddragon.leagueoflegends.com/cdn/12.22.1/img/item/6333.png")</f>
        <v>#NAME?</v>
      </c>
      <c r="AO40" s="322" t="b">
        <f t="shared" si="15"/>
        <v>1</v>
      </c>
      <c r="AP40" s="329">
        <f t="shared" si="1"/>
        <v>0.97728787878787882</v>
      </c>
    </row>
    <row r="41" spans="1:42" ht="13.2">
      <c r="A41" s="316" t="s">
        <v>573</v>
      </c>
      <c r="B41" s="324">
        <f>3000</f>
        <v>3000</v>
      </c>
      <c r="C41" s="324">
        <f>350</f>
        <v>350</v>
      </c>
      <c r="D41" s="324"/>
      <c r="E41" s="324"/>
      <c r="F41" s="324"/>
      <c r="G41" s="324"/>
      <c r="H41" s="324">
        <f>75</f>
        <v>75</v>
      </c>
      <c r="I41" s="324"/>
      <c r="J41" s="324"/>
      <c r="K41" s="324"/>
      <c r="L41" s="324"/>
      <c r="M41" s="324"/>
      <c r="N41" s="324"/>
      <c r="O41" s="324"/>
      <c r="P41" s="324"/>
      <c r="Q41" s="324"/>
      <c r="R41" s="324"/>
      <c r="S41" s="324"/>
      <c r="T41" s="324"/>
      <c r="U41" s="324"/>
      <c r="V41" s="324"/>
      <c r="W41" s="324">
        <f>IF(VLOOKUP(Name,Champs!A2:AE200,31,FALSE), 0.064, 0.04) * E_MHP</f>
        <v>0</v>
      </c>
      <c r="X41" s="324"/>
      <c r="Y41" s="324"/>
      <c r="Z41" s="324"/>
      <c r="AA41" s="324"/>
      <c r="AB41" s="324"/>
      <c r="AC41" s="324"/>
      <c r="AD41" s="324"/>
      <c r="AE41" s="324"/>
      <c r="AF41" s="324"/>
      <c r="AG41" s="324"/>
      <c r="AH41" s="324"/>
      <c r="AI41" s="325">
        <f>IF($AO$2=1,COUNTIF(Interface!$C$22:$C$27,$A41),0)</f>
        <v>0</v>
      </c>
      <c r="AJ41" s="325">
        <f>IF($AO$2=2,COUNTIF(Interface!$C$30:$C$35,$A41),0)</f>
        <v>0</v>
      </c>
      <c r="AK41" s="325"/>
      <c r="AL41" s="325"/>
      <c r="AM41" s="326">
        <f>COUNTIF(Interface!$O$18:$O$23,$A41)</f>
        <v>0</v>
      </c>
      <c r="AN41" s="322" t="e">
        <f ca="1">_xludf.Image("https://ddragon.leagueoflegends.com/cdn/12.22.1/img/item/4637.png")</f>
        <v>#NAME?</v>
      </c>
      <c r="AO41" s="322" t="b">
        <f t="shared" si="15"/>
        <v>1</v>
      </c>
      <c r="AP41" s="329">
        <f t="shared" si="1"/>
        <v>0.85524999999999995</v>
      </c>
    </row>
    <row r="42" spans="1:42" ht="13.2">
      <c r="A42" s="316" t="s">
        <v>574</v>
      </c>
      <c r="B42" s="324">
        <f>450</f>
        <v>450</v>
      </c>
      <c r="C42" s="324">
        <f>80</f>
        <v>80</v>
      </c>
      <c r="D42" s="324"/>
      <c r="E42" s="324"/>
      <c r="F42" s="324"/>
      <c r="G42" s="324">
        <f>8</f>
        <v>8</v>
      </c>
      <c r="H42" s="324"/>
      <c r="I42" s="324"/>
      <c r="J42" s="324"/>
      <c r="K42" s="324"/>
      <c r="L42" s="324"/>
      <c r="M42" s="324"/>
      <c r="N42" s="324">
        <f>2.5</f>
        <v>2.5</v>
      </c>
      <c r="O42" s="324"/>
      <c r="P42" s="324"/>
      <c r="Q42" s="324"/>
      <c r="R42" s="324"/>
      <c r="S42" s="324"/>
      <c r="T42" s="324"/>
      <c r="U42" s="324"/>
      <c r="V42" s="324"/>
      <c r="W42" s="324"/>
      <c r="X42" s="324"/>
      <c r="Y42" s="324"/>
      <c r="Z42" s="324"/>
      <c r="AA42" s="324"/>
      <c r="AB42" s="324">
        <f>2.5</f>
        <v>2.5</v>
      </c>
      <c r="AC42" s="324"/>
      <c r="AD42" s="324"/>
      <c r="AE42" s="324"/>
      <c r="AF42" s="324"/>
      <c r="AG42" s="324"/>
      <c r="AH42" s="324"/>
      <c r="AI42" s="325">
        <f>IF($AO$2=1,COUNTIF(Interface!$C$22:$C$27,$A42),0)</f>
        <v>0</v>
      </c>
      <c r="AJ42" s="325">
        <f>IF($AO$2=2,COUNTIF(Interface!$C$30:$C$35,$A42),0)</f>
        <v>0</v>
      </c>
      <c r="AK42" s="325"/>
      <c r="AL42" s="325"/>
      <c r="AM42" s="326">
        <f>COUNTIF(Interface!$O$18:$O$23,$A42)</f>
        <v>0</v>
      </c>
      <c r="AN42" s="322" t="e">
        <f ca="1">_xludf.Image("https://ddragon.leagueoflegends.com/cdn/12.22.1/img/item/1055.png")</f>
        <v>#NAME?</v>
      </c>
      <c r="AO42" s="322" t="b">
        <f t="shared" ref="AO42:AO44" si="16">FALSE</f>
        <v>0</v>
      </c>
      <c r="AP42" s="342">
        <f t="shared" si="1"/>
        <v>1.3052222222222223</v>
      </c>
    </row>
    <row r="43" spans="1:42" ht="13.2">
      <c r="A43" s="316" t="s">
        <v>575</v>
      </c>
      <c r="B43" s="324">
        <f>400</f>
        <v>400</v>
      </c>
      <c r="C43" s="324">
        <f>70</f>
        <v>70</v>
      </c>
      <c r="D43" s="324"/>
      <c r="E43" s="324"/>
      <c r="F43" s="324"/>
      <c r="G43" s="324"/>
      <c r="H43" s="324">
        <f>15</f>
        <v>15</v>
      </c>
      <c r="I43" s="324"/>
      <c r="J43" s="324"/>
      <c r="K43" s="324"/>
      <c r="L43" s="324"/>
      <c r="M43" s="324"/>
      <c r="N43" s="324"/>
      <c r="O43" s="324"/>
      <c r="P43" s="324"/>
      <c r="Q43" s="324"/>
      <c r="R43" s="324"/>
      <c r="S43" s="324"/>
      <c r="T43" s="324"/>
      <c r="U43" s="324"/>
      <c r="V43" s="324"/>
      <c r="W43" s="324"/>
      <c r="X43" s="324"/>
      <c r="Y43" s="324"/>
      <c r="Z43" s="324"/>
      <c r="AA43" s="324"/>
      <c r="AB43" s="324"/>
      <c r="AC43" s="324"/>
      <c r="AD43" s="324"/>
      <c r="AE43" s="324"/>
      <c r="AF43" s="324"/>
      <c r="AG43" s="324"/>
      <c r="AH43" s="324"/>
      <c r="AI43" s="325">
        <f>IF($AO$2=1,COUNTIF(Interface!$C$22:$C$27,$A43),0)</f>
        <v>0</v>
      </c>
      <c r="AJ43" s="325">
        <f>IF($AO$2=2,COUNTIF(Interface!$C$30:$C$35,$A43),0)</f>
        <v>0</v>
      </c>
      <c r="AK43" s="325"/>
      <c r="AL43" s="325"/>
      <c r="AM43" s="326">
        <f>COUNTIF(Interface!$O$18:$O$23,$A43)</f>
        <v>0</v>
      </c>
      <c r="AN43" s="322" t="e">
        <f ca="1">_xludf.Image("https://ddragon.leagueoflegends.com/cdn/12.22.1/img/item/1056.png")</f>
        <v>#NAME?</v>
      </c>
      <c r="AO43" s="322" t="b">
        <f t="shared" si="16"/>
        <v>0</v>
      </c>
      <c r="AP43" s="343">
        <f t="shared" si="1"/>
        <v>1.282875</v>
      </c>
    </row>
    <row r="44" spans="1:42" ht="13.2">
      <c r="A44" s="316" t="s">
        <v>576</v>
      </c>
      <c r="B44" s="324">
        <f>450</f>
        <v>450</v>
      </c>
      <c r="C44" s="324">
        <f>80</f>
        <v>80</v>
      </c>
      <c r="D44" s="324"/>
      <c r="E44" s="324"/>
      <c r="F44" s="324"/>
      <c r="G44" s="324"/>
      <c r="H44" s="324"/>
      <c r="I44" s="324"/>
      <c r="J44" s="324"/>
      <c r="K44" s="324"/>
      <c r="L44" s="324"/>
      <c r="M44" s="324"/>
      <c r="N44" s="324"/>
      <c r="O44" s="324"/>
      <c r="P44" s="324"/>
      <c r="Q44" s="324"/>
      <c r="R44" s="324"/>
      <c r="S44" s="324"/>
      <c r="T44" s="324"/>
      <c r="U44" s="324"/>
      <c r="V44" s="324"/>
      <c r="W44" s="324"/>
      <c r="X44" s="324"/>
      <c r="Y44" s="324"/>
      <c r="Z44" s="324"/>
      <c r="AA44" s="324"/>
      <c r="AB44" s="324"/>
      <c r="AC44" s="324"/>
      <c r="AD44" s="324"/>
      <c r="AE44" s="324"/>
      <c r="AF44" s="324"/>
      <c r="AG44" s="324"/>
      <c r="AH44" s="324"/>
      <c r="AI44" s="325">
        <f>IF($AO$2=1,COUNTIF(Interface!$C$22:$C$27,$A44),0)</f>
        <v>0</v>
      </c>
      <c r="AJ44" s="325">
        <f>IF($AO$2=2,COUNTIF(Interface!$C$30:$C$35,$A44),0)</f>
        <v>0</v>
      </c>
      <c r="AK44" s="325"/>
      <c r="AL44" s="325"/>
      <c r="AM44" s="326">
        <f>COUNTIF(Interface!$O$18:$O$23,$A44)</f>
        <v>0</v>
      </c>
      <c r="AN44" s="322" t="e">
        <f ca="1">_xludf.Image("https://ddragon.leagueoflegends.com/cdn/12.22.1/img/item/1054.png")</f>
        <v>#NAME?</v>
      </c>
      <c r="AO44" s="322" t="b">
        <f t="shared" si="16"/>
        <v>0</v>
      </c>
      <c r="AP44" s="329">
        <f t="shared" si="1"/>
        <v>0.47466666666666668</v>
      </c>
    </row>
    <row r="45" spans="1:42" ht="13.2">
      <c r="A45" s="316" t="s">
        <v>577</v>
      </c>
      <c r="B45" s="324">
        <f t="shared" ref="B45:B46" si="17">2900</f>
        <v>2900</v>
      </c>
      <c r="C45" s="324">
        <f>325</f>
        <v>325</v>
      </c>
      <c r="D45" s="324"/>
      <c r="E45" s="324"/>
      <c r="F45" s="324"/>
      <c r="G45" s="324">
        <f>50</f>
        <v>50</v>
      </c>
      <c r="H45" s="324"/>
      <c r="I45" s="324"/>
      <c r="J45" s="324"/>
      <c r="K45" s="324"/>
      <c r="L45" s="324"/>
      <c r="M45" s="324"/>
      <c r="N45" s="324"/>
      <c r="O45" s="324">
        <f>10</f>
        <v>10</v>
      </c>
      <c r="P45" s="324"/>
      <c r="Q45" s="324"/>
      <c r="R45" s="324"/>
      <c r="S45" s="324"/>
      <c r="T45" s="324"/>
      <c r="U45" s="324"/>
      <c r="V45" s="324"/>
      <c r="W45" s="324"/>
      <c r="X45" s="324"/>
      <c r="Y45" s="324"/>
      <c r="Z45" s="324"/>
      <c r="AA45" s="324"/>
      <c r="AB45" s="324"/>
      <c r="AC45" s="324"/>
      <c r="AD45" s="324"/>
      <c r="AE45" s="324"/>
      <c r="AF45" s="324"/>
      <c r="AG45" s="324"/>
      <c r="AH45" s="324"/>
      <c r="AI45" s="325">
        <f>IF($AO$2=1,COUNTIF(Interface!$C$22:$C$27,$A45),0)</f>
        <v>0</v>
      </c>
      <c r="AJ45" s="325">
        <f>IF($AO$2=2,COUNTIF(Interface!$C$30:$C$35,$A45),0)</f>
        <v>0</v>
      </c>
      <c r="AK45" s="325"/>
      <c r="AL45" s="325"/>
      <c r="AM45" s="326">
        <f>COUNTIF(Interface!$O$18:$O$23,$A45)</f>
        <v>0</v>
      </c>
      <c r="AN45" s="322" t="e">
        <f ca="1">_xludf.Image("https://ddragon.leagueoflegends.com/cdn/12.22.1/img/item/3814.png")</f>
        <v>#NAME?</v>
      </c>
      <c r="AO45" s="322" t="b">
        <f t="shared" ref="AO45:AO46" si="18">TRUE</f>
        <v>1</v>
      </c>
      <c r="AP45" s="339">
        <f t="shared" si="1"/>
        <v>0.91991379310344823</v>
      </c>
    </row>
    <row r="46" spans="1:42" ht="13.2">
      <c r="A46" s="316" t="s">
        <v>578</v>
      </c>
      <c r="B46" s="324">
        <f t="shared" si="17"/>
        <v>2900</v>
      </c>
      <c r="C46" s="324"/>
      <c r="D46" s="324"/>
      <c r="E46" s="324"/>
      <c r="F46" s="324"/>
      <c r="G46" s="324">
        <f>55</f>
        <v>55</v>
      </c>
      <c r="H46" s="324"/>
      <c r="I46" s="324"/>
      <c r="J46" s="324"/>
      <c r="K46" s="324"/>
      <c r="L46" s="324">
        <f t="shared" ref="L46:M46" si="19">20</f>
        <v>20</v>
      </c>
      <c r="M46" s="324">
        <f t="shared" si="19"/>
        <v>20</v>
      </c>
      <c r="N46" s="324"/>
      <c r="O46" s="324"/>
      <c r="P46" s="324"/>
      <c r="Q46" s="324"/>
      <c r="R46" s="324"/>
      <c r="S46" s="324"/>
      <c r="T46" s="324"/>
      <c r="U46" s="324"/>
      <c r="V46" s="324"/>
      <c r="W46" s="324"/>
      <c r="X46" s="324" t="e">
        <f ca="1">(Self_BaAD+0.4*Self_BoAD)*MOD_Phys</f>
        <v>#NAME?</v>
      </c>
      <c r="Y46" s="324"/>
      <c r="Z46" s="324"/>
      <c r="AA46" s="324"/>
      <c r="AB46" s="324"/>
      <c r="AC46" s="324"/>
      <c r="AD46" s="324"/>
      <c r="AE46" s="324"/>
      <c r="AF46" s="324"/>
      <c r="AG46" s="324"/>
      <c r="AH46" s="324"/>
      <c r="AI46" s="325">
        <f>IF($AO$2=1,COUNTIF(Interface!$C$22:$C$27,$A46),0)</f>
        <v>0</v>
      </c>
      <c r="AJ46" s="325">
        <f>IF($AO$2=2,COUNTIF(Interface!$C$30:$C$35,$A46),0)</f>
        <v>0</v>
      </c>
      <c r="AK46" s="325"/>
      <c r="AL46" s="325"/>
      <c r="AM46" s="326">
        <f>COUNTIF(Interface!$O$18:$O$23,$A46)</f>
        <v>0</v>
      </c>
      <c r="AN46" s="322" t="e">
        <f ca="1">_xludf.Image("https://ddragon.leagueoflegends.com/cdn/12.22.1/img/item/3508.png")</f>
        <v>#NAME?</v>
      </c>
      <c r="AO46" s="322" t="b">
        <f t="shared" si="18"/>
        <v>1</v>
      </c>
      <c r="AP46" s="329">
        <f t="shared" si="1"/>
        <v>1.1235862068965519</v>
      </c>
    </row>
    <row r="47" spans="1:42" ht="13.2">
      <c r="A47" s="316" t="s">
        <v>579</v>
      </c>
      <c r="B47" s="324">
        <f>800</f>
        <v>800</v>
      </c>
      <c r="C47" s="324"/>
      <c r="D47" s="324"/>
      <c r="E47" s="324"/>
      <c r="F47" s="324"/>
      <c r="G47" s="324">
        <f>15</f>
        <v>15</v>
      </c>
      <c r="H47" s="324"/>
      <c r="I47" s="324"/>
      <c r="J47" s="324"/>
      <c r="K47" s="324"/>
      <c r="L47" s="324"/>
      <c r="M47" s="324"/>
      <c r="N47" s="324"/>
      <c r="O47" s="324"/>
      <c r="P47" s="324"/>
      <c r="Q47" s="324"/>
      <c r="R47" s="324"/>
      <c r="S47" s="324"/>
      <c r="T47" s="324"/>
      <c r="U47" s="324"/>
      <c r="V47" s="324"/>
      <c r="W47" s="324"/>
      <c r="X47" s="324"/>
      <c r="Y47" s="324"/>
      <c r="Z47" s="324"/>
      <c r="AA47" s="324"/>
      <c r="AB47" s="324"/>
      <c r="AC47" s="324"/>
      <c r="AD47" s="324"/>
      <c r="AE47" s="324"/>
      <c r="AF47" s="324"/>
      <c r="AG47" s="324"/>
      <c r="AH47" s="324"/>
      <c r="AI47" s="325">
        <f>IF($AO$2=1,COUNTIF(Interface!$C$22:$C$27,$A47),0)</f>
        <v>0</v>
      </c>
      <c r="AJ47" s="325">
        <f>IF($AO$2=2,COUNTIF(Interface!$C$30:$C$35,$A47),0)</f>
        <v>0</v>
      </c>
      <c r="AK47" s="325"/>
      <c r="AL47" s="325"/>
      <c r="AM47" s="326">
        <f>COUNTIF(Interface!$O$18:$O$23,$A47)</f>
        <v>0</v>
      </c>
      <c r="AN47" s="322" t="e">
        <f ca="1">_xludf.Image("https://ddragon.leagueoflegends.com/cdn/12.22.1/img/item/3123.png")</f>
        <v>#NAME?</v>
      </c>
      <c r="AO47" s="322" t="b">
        <f t="shared" ref="AO47:AO49" si="20">FALSE</f>
        <v>0</v>
      </c>
      <c r="AP47" s="329">
        <f t="shared" si="1"/>
        <v>0.65625</v>
      </c>
    </row>
    <row r="48" spans="1:42" ht="13.2">
      <c r="A48" s="316" t="s">
        <v>580</v>
      </c>
      <c r="B48" s="324">
        <f>250</f>
        <v>250</v>
      </c>
      <c r="C48" s="324"/>
      <c r="D48" s="324"/>
      <c r="E48" s="324"/>
      <c r="F48" s="324">
        <f>0.5</f>
        <v>0.5</v>
      </c>
      <c r="G48" s="324"/>
      <c r="H48" s="324"/>
      <c r="I48" s="324"/>
      <c r="J48" s="324"/>
      <c r="K48" s="324"/>
      <c r="L48" s="324"/>
      <c r="M48" s="324"/>
      <c r="N48" s="324"/>
      <c r="O48" s="324"/>
      <c r="P48" s="324"/>
      <c r="Q48" s="324"/>
      <c r="R48" s="324"/>
      <c r="S48" s="324"/>
      <c r="T48" s="324"/>
      <c r="U48" s="324"/>
      <c r="V48" s="324"/>
      <c r="W48" s="324"/>
      <c r="X48" s="324"/>
      <c r="Y48" s="324"/>
      <c r="Z48" s="324"/>
      <c r="AA48" s="324"/>
      <c r="AB48" s="324"/>
      <c r="AC48" s="324"/>
      <c r="AD48" s="324"/>
      <c r="AE48" s="324"/>
      <c r="AF48" s="324"/>
      <c r="AG48" s="324"/>
      <c r="AH48" s="324"/>
      <c r="AI48" s="325">
        <f>IF($AO$2=1,COUNTIF(Interface!$C$22:$C$27,$A48),0)</f>
        <v>0</v>
      </c>
      <c r="AJ48" s="325">
        <f>IF($AO$2=2,COUNTIF(Interface!$C$30:$C$35,$A48),0)</f>
        <v>0</v>
      </c>
      <c r="AK48" s="325"/>
      <c r="AL48" s="325"/>
      <c r="AM48" s="326">
        <f>COUNTIF(Interface!$O$18:$O$23,$A48)</f>
        <v>0</v>
      </c>
      <c r="AN48" s="322" t="e">
        <f ca="1">_xludf.Image("https://ddragon.leagueoflegends.com/cdn/12.22.1/img/item/1004.png")</f>
        <v>#NAME?</v>
      </c>
      <c r="AO48" s="322" t="b">
        <f t="shared" si="20"/>
        <v>0</v>
      </c>
      <c r="AP48" s="329">
        <f t="shared" si="1"/>
        <v>1</v>
      </c>
    </row>
    <row r="49" spans="1:42" ht="13.2">
      <c r="A49" s="316" t="s">
        <v>581</v>
      </c>
      <c r="B49" s="324">
        <f>900</f>
        <v>900</v>
      </c>
      <c r="C49" s="324"/>
      <c r="D49" s="324"/>
      <c r="E49" s="324"/>
      <c r="F49" s="324"/>
      <c r="G49" s="324"/>
      <c r="H49" s="324">
        <f>35</f>
        <v>35</v>
      </c>
      <c r="I49" s="324"/>
      <c r="J49" s="324"/>
      <c r="K49" s="324"/>
      <c r="L49" s="324"/>
      <c r="M49" s="324">
        <f>10</f>
        <v>10</v>
      </c>
      <c r="N49" s="324"/>
      <c r="O49" s="324"/>
      <c r="P49" s="324"/>
      <c r="Q49" s="324"/>
      <c r="R49" s="324"/>
      <c r="S49" s="324"/>
      <c r="T49" s="324"/>
      <c r="U49" s="324"/>
      <c r="V49" s="324"/>
      <c r="W49" s="324"/>
      <c r="X49" s="324"/>
      <c r="Y49" s="324"/>
      <c r="Z49" s="324"/>
      <c r="AA49" s="324"/>
      <c r="AB49" s="324"/>
      <c r="AC49" s="324"/>
      <c r="AD49" s="324"/>
      <c r="AE49" s="324"/>
      <c r="AF49" s="324"/>
      <c r="AG49" s="324"/>
      <c r="AH49" s="324"/>
      <c r="AI49" s="325">
        <f>IF($AO$2=1,COUNTIF(Interface!$C$22:$C$27,$A49),0)</f>
        <v>0</v>
      </c>
      <c r="AJ49" s="325">
        <f>IF($AO$2=2,COUNTIF(Interface!$C$30:$C$35,$A49),0)</f>
        <v>0</v>
      </c>
      <c r="AK49" s="325"/>
      <c r="AL49" s="325"/>
      <c r="AM49" s="326">
        <f>COUNTIF(Interface!$O$18:$O$23,$A49)</f>
        <v>0</v>
      </c>
      <c r="AN49" s="322" t="e">
        <f ca="1">_xludf.Image("https://ddragon.leagueoflegends.com/cdn/12.22.1/img/item/3108.png")</f>
        <v>#NAME?</v>
      </c>
      <c r="AO49" s="322" t="b">
        <f t="shared" si="20"/>
        <v>0</v>
      </c>
      <c r="AP49" s="329">
        <f t="shared" si="1"/>
        <v>1.1421666666666668</v>
      </c>
    </row>
    <row r="50" spans="1:42" ht="13.2">
      <c r="A50" s="316" t="s">
        <v>582</v>
      </c>
      <c r="B50" s="324">
        <f>2600</f>
        <v>2600</v>
      </c>
      <c r="C50" s="324">
        <f>400</f>
        <v>400</v>
      </c>
      <c r="D50" s="324"/>
      <c r="E50" s="324">
        <f>860</f>
        <v>860</v>
      </c>
      <c r="F50" s="324"/>
      <c r="G50" s="324"/>
      <c r="H50" s="324"/>
      <c r="I50" s="324"/>
      <c r="J50" s="324"/>
      <c r="K50" s="324"/>
      <c r="L50" s="324"/>
      <c r="M50" s="324">
        <f>15</f>
        <v>15</v>
      </c>
      <c r="N50" s="324"/>
      <c r="O50" s="324"/>
      <c r="P50" s="324"/>
      <c r="Q50" s="324"/>
      <c r="R50" s="324"/>
      <c r="S50" s="324"/>
      <c r="T50" s="324"/>
      <c r="U50" s="324"/>
      <c r="V50" s="324"/>
      <c r="W50" s="324"/>
      <c r="X50" s="324"/>
      <c r="Y50" s="324"/>
      <c r="Z50" s="324"/>
      <c r="AA50" s="324"/>
      <c r="AB50" s="324"/>
      <c r="AC50" s="324"/>
      <c r="AD50" s="324"/>
      <c r="AE50" s="324"/>
      <c r="AF50" s="324"/>
      <c r="AG50" s="324"/>
      <c r="AH50" s="324">
        <f>100 + 80 * Sc_Lin + 0.045 * Self_MP * 0.5</f>
        <v>100</v>
      </c>
      <c r="AI50" s="325">
        <f>IF($AO$2=1,COUNTIF(Interface!$C$22:$C$27,$A50),0)</f>
        <v>0</v>
      </c>
      <c r="AJ50" s="325">
        <f>IF($AO$2=2,COUNTIF(Interface!$C$30:$C$35,$A50),0)</f>
        <v>0</v>
      </c>
      <c r="AK50" s="325"/>
      <c r="AL50" s="325"/>
      <c r="AM50" s="326">
        <f>COUNTIF(Interface!$O$18:$O$23,$A50)</f>
        <v>0</v>
      </c>
      <c r="AN50" s="322" t="e">
        <f ca="1">_xludf.Image("https://ddragon.leagueoflegends.com/cdn/12.22.1/img/item/3121.png")</f>
        <v>#NAME?</v>
      </c>
      <c r="AO50" s="322" t="b">
        <f>TRUE</f>
        <v>1</v>
      </c>
      <c r="AP50" s="344">
        <f t="shared" si="1"/>
        <v>1.0277115384615385</v>
      </c>
    </row>
    <row r="51" spans="1:42" ht="13.2">
      <c r="A51" s="316" t="s">
        <v>583</v>
      </c>
      <c r="B51" s="324">
        <f>800</f>
        <v>800</v>
      </c>
      <c r="C51" s="324"/>
      <c r="D51" s="324"/>
      <c r="E51" s="324"/>
      <c r="F51" s="324">
        <f>0.5</f>
        <v>0.5</v>
      </c>
      <c r="G51" s="324"/>
      <c r="H51" s="324"/>
      <c r="I51" s="324"/>
      <c r="J51" s="324"/>
      <c r="K51" s="324"/>
      <c r="L51" s="324"/>
      <c r="M51" s="324"/>
      <c r="N51" s="324"/>
      <c r="O51" s="324"/>
      <c r="P51" s="324"/>
      <c r="Q51" s="324"/>
      <c r="R51" s="324"/>
      <c r="S51" s="324">
        <f>8</f>
        <v>8</v>
      </c>
      <c r="T51" s="324"/>
      <c r="U51" s="324"/>
      <c r="V51" s="324"/>
      <c r="W51" s="324"/>
      <c r="X51" s="324"/>
      <c r="Y51" s="324"/>
      <c r="Z51" s="324"/>
      <c r="AA51" s="324"/>
      <c r="AB51" s="324"/>
      <c r="AC51" s="324"/>
      <c r="AD51" s="324"/>
      <c r="AE51" s="324"/>
      <c r="AF51" s="324"/>
      <c r="AG51" s="324"/>
      <c r="AH51" s="324"/>
      <c r="AI51" s="325">
        <f>IF($AO$2=1,COUNTIF(Interface!$C$22:$C$27,$A51),0)</f>
        <v>0</v>
      </c>
      <c r="AJ51" s="325">
        <f>IF($AO$2=2,COUNTIF(Interface!$C$30:$C$35,$A51),0)</f>
        <v>0</v>
      </c>
      <c r="AK51" s="325"/>
      <c r="AL51" s="325"/>
      <c r="AM51" s="326">
        <f>COUNTIF(Interface!$O$18:$O$23,$A51)</f>
        <v>0</v>
      </c>
      <c r="AN51" s="322" t="e">
        <f ca="1">_xludf.Image("https://ddragon.leagueoflegends.com/cdn/12.22.1/img/item/3114.png")</f>
        <v>#NAME?</v>
      </c>
      <c r="AO51" s="322" t="b">
        <f>FALSE</f>
        <v>0</v>
      </c>
      <c r="AP51" s="329">
        <f t="shared" si="1"/>
        <v>0.87919999999999998</v>
      </c>
    </row>
    <row r="52" spans="1:42" ht="13.2">
      <c r="A52" s="316" t="s">
        <v>584</v>
      </c>
      <c r="B52" s="324">
        <f>2800</f>
        <v>2800</v>
      </c>
      <c r="C52" s="324">
        <f>400</f>
        <v>400</v>
      </c>
      <c r="D52" s="324"/>
      <c r="E52" s="324"/>
      <c r="F52" s="324"/>
      <c r="G52" s="324"/>
      <c r="H52" s="324"/>
      <c r="I52" s="324"/>
      <c r="J52" s="324">
        <f>60 + IF(Steroid_Items, 30)</f>
        <v>60</v>
      </c>
      <c r="K52" s="324"/>
      <c r="L52" s="324"/>
      <c r="M52" s="324"/>
      <c r="N52" s="324"/>
      <c r="O52" s="324"/>
      <c r="P52" s="324"/>
      <c r="Q52" s="324"/>
      <c r="R52" s="324">
        <f>5 + IF(Steroid_Items, 10, 0)</f>
        <v>5</v>
      </c>
      <c r="S52" s="324"/>
      <c r="T52" s="324"/>
      <c r="U52" s="324"/>
      <c r="V52" s="324"/>
      <c r="W52" s="324"/>
      <c r="X52" s="324"/>
      <c r="Y52" s="324"/>
      <c r="Z52" s="324"/>
      <c r="AA52" s="324"/>
      <c r="AB52" s="324"/>
      <c r="AC52" s="324"/>
      <c r="AD52" s="324"/>
      <c r="AE52" s="324"/>
      <c r="AF52" s="324"/>
      <c r="AG52" s="324"/>
      <c r="AH52" s="324"/>
      <c r="AI52" s="325">
        <f>IF($AO$2=1,COUNTIF(Interface!$C$22:$C$27,$A52),0)</f>
        <v>0</v>
      </c>
      <c r="AJ52" s="325">
        <f>IF($AO$2=2,COUNTIF(Interface!$C$30:$C$35,$A52),0)</f>
        <v>0</v>
      </c>
      <c r="AK52" s="325"/>
      <c r="AL52" s="325"/>
      <c r="AM52" s="326">
        <f>COUNTIF(Interface!$O$18:$O$23,$A52)</f>
        <v>0</v>
      </c>
      <c r="AN52" s="322" t="e">
        <f ca="1">_xludf.Image("https://ddragon.leagueoflegends.com/cdn/12.22.1/img/item/4401.png")</f>
        <v>#NAME?</v>
      </c>
      <c r="AO52" s="322" t="b">
        <f>TRUE</f>
        <v>1</v>
      </c>
      <c r="AP52" s="329">
        <f t="shared" si="1"/>
        <v>0.83767857142857138</v>
      </c>
    </row>
    <row r="53" spans="1:42" ht="13.2">
      <c r="A53" s="316" t="s">
        <v>585</v>
      </c>
      <c r="B53" s="324">
        <f>400</f>
        <v>400</v>
      </c>
      <c r="C53" s="324">
        <f>70</f>
        <v>70</v>
      </c>
      <c r="D53" s="324"/>
      <c r="E53" s="324"/>
      <c r="F53" s="324">
        <f>0.5</f>
        <v>0.5</v>
      </c>
      <c r="G53" s="324"/>
      <c r="H53" s="324">
        <f>15</f>
        <v>15</v>
      </c>
      <c r="I53" s="324"/>
      <c r="J53" s="324"/>
      <c r="K53" s="324"/>
      <c r="L53" s="324"/>
      <c r="M53" s="324"/>
      <c r="N53" s="324"/>
      <c r="O53" s="324"/>
      <c r="P53" s="324"/>
      <c r="Q53" s="324"/>
      <c r="R53" s="324"/>
      <c r="S53" s="324"/>
      <c r="T53" s="324"/>
      <c r="U53" s="324"/>
      <c r="V53" s="324"/>
      <c r="W53" s="324"/>
      <c r="X53" s="324"/>
      <c r="Y53" s="324"/>
      <c r="Z53" s="324"/>
      <c r="AA53" s="324"/>
      <c r="AB53" s="324"/>
      <c r="AC53" s="324"/>
      <c r="AD53" s="324"/>
      <c r="AE53" s="324"/>
      <c r="AF53" s="324"/>
      <c r="AG53" s="324"/>
      <c r="AH53" s="324"/>
      <c r="AI53" s="325">
        <f>IF($AO$2=1,COUNTIF(Interface!$C$22:$C$27,$A53),0)</f>
        <v>0</v>
      </c>
      <c r="AJ53" s="325">
        <f>IF($AO$2=2,COUNTIF(Interface!$C$30:$C$35,$A53),0)</f>
        <v>0</v>
      </c>
      <c r="AK53" s="325"/>
      <c r="AL53" s="325"/>
      <c r="AM53" s="326">
        <f>COUNTIF(Interface!$O$18:$O$23,$A53)</f>
        <v>0</v>
      </c>
      <c r="AN53" s="322" t="e">
        <f ca="1">_xludf.Image("https://ddragon.leagueoflegends.com/cdn/12.22.1/img/item/3851.png")</f>
        <v>#NAME?</v>
      </c>
      <c r="AO53" s="322" t="b">
        <f>FALSE</f>
        <v>0</v>
      </c>
      <c r="AP53" s="341">
        <f t="shared" si="1"/>
        <v>1.907875</v>
      </c>
    </row>
    <row r="54" spans="1:42" ht="13.2">
      <c r="A54" s="316" t="s">
        <v>586</v>
      </c>
      <c r="B54" s="324">
        <f>2700</f>
        <v>2700</v>
      </c>
      <c r="C54" s="324"/>
      <c r="D54" s="324"/>
      <c r="E54" s="324">
        <f>400</f>
        <v>400</v>
      </c>
      <c r="F54" s="324"/>
      <c r="G54" s="324"/>
      <c r="H54" s="324"/>
      <c r="I54" s="324">
        <f>90</f>
        <v>90</v>
      </c>
      <c r="J54" s="324"/>
      <c r="K54" s="324"/>
      <c r="L54" s="324"/>
      <c r="M54" s="324">
        <f>20</f>
        <v>20</v>
      </c>
      <c r="N54" s="324"/>
      <c r="O54" s="324"/>
      <c r="P54" s="324"/>
      <c r="Q54" s="324"/>
      <c r="R54" s="324"/>
      <c r="S54" s="324"/>
      <c r="T54" s="324"/>
      <c r="U54" s="324"/>
      <c r="V54" s="324"/>
      <c r="W54" s="324"/>
      <c r="X54" s="324"/>
      <c r="Y54" s="324"/>
      <c r="Z54" s="324"/>
      <c r="AA54" s="324"/>
      <c r="AB54" s="324"/>
      <c r="AC54" s="324"/>
      <c r="AD54" s="324"/>
      <c r="AE54" s="324"/>
      <c r="AF54" s="324"/>
      <c r="AG54" s="324"/>
      <c r="AH54" s="324"/>
      <c r="AI54" s="325">
        <f>IF($AO$2=1,COUNTIF(Interface!$C$22:$C$27,$A54),0)</f>
        <v>0</v>
      </c>
      <c r="AJ54" s="325">
        <f>IF($AO$2=2,COUNTIF(Interface!$C$30:$C$35,$A54),0)</f>
        <v>0</v>
      </c>
      <c r="AK54" s="325"/>
      <c r="AL54" s="325"/>
      <c r="AM54" s="326">
        <f>COUNTIF(Interface!$O$18:$O$23,$A54)</f>
        <v>0</v>
      </c>
      <c r="AN54" s="322" t="e">
        <f ca="1">_xludf.Image("https://ddragon.leagueoflegends.com/cdn/12.22.1/img/item/3110.png")</f>
        <v>#NAME?</v>
      </c>
      <c r="AO54" s="322" t="b">
        <f t="shared" ref="AO54:AO55" si="21">TRUE</f>
        <v>1</v>
      </c>
      <c r="AP54" s="329">
        <f t="shared" si="1"/>
        <v>1.0716296296296297</v>
      </c>
    </row>
    <row r="55" spans="1:42" ht="13.2">
      <c r="A55" s="316" t="s">
        <v>587</v>
      </c>
      <c r="B55" s="324">
        <f>3200</f>
        <v>3200</v>
      </c>
      <c r="C55" s="324"/>
      <c r="D55" s="324"/>
      <c r="E55" s="324"/>
      <c r="F55" s="324"/>
      <c r="G55" s="324"/>
      <c r="H55" s="324"/>
      <c r="I55" s="324">
        <f t="shared" ref="I55:J55" si="22">60</f>
        <v>60</v>
      </c>
      <c r="J55" s="324">
        <f t="shared" si="22"/>
        <v>60</v>
      </c>
      <c r="K55" s="324"/>
      <c r="L55" s="324"/>
      <c r="M55" s="324">
        <f>15</f>
        <v>15</v>
      </c>
      <c r="N55" s="324"/>
      <c r="O55" s="324"/>
      <c r="P55" s="324"/>
      <c r="Q55" s="324"/>
      <c r="R55" s="324"/>
      <c r="S55" s="324"/>
      <c r="T55" s="324"/>
      <c r="U55" s="324"/>
      <c r="V55" s="324"/>
      <c r="W55" s="324"/>
      <c r="X55" s="324"/>
      <c r="Y55" s="324"/>
      <c r="Z55" s="324"/>
      <c r="AA55" s="324"/>
      <c r="AB55" s="324"/>
      <c r="AC55" s="324"/>
      <c r="AD55" s="324"/>
      <c r="AE55" s="324"/>
      <c r="AF55" s="324"/>
      <c r="AG55" s="324"/>
      <c r="AH55" s="324">
        <f>(100 + Self_BoHP * 0.9)*MOD_SelfHeal</f>
        <v>100</v>
      </c>
      <c r="AI55" s="325">
        <f>IF($AO$2=1,COUNTIF(Interface!$C$22:$C$27,$A55),0)</f>
        <v>0</v>
      </c>
      <c r="AJ55" s="325">
        <f>IF($AO$2=2,COUNTIF(Interface!$C$30:$C$35,$A55),0)</f>
        <v>0</v>
      </c>
      <c r="AK55" s="325"/>
      <c r="AL55" s="325"/>
      <c r="AM55" s="326">
        <f>COUNTIF(Interface!$O$18:$O$23,$A55)</f>
        <v>0</v>
      </c>
      <c r="AN55" s="322" t="e">
        <f ca="1">_xludf.Image("https://ddragon.leagueoflegends.com/cdn/12.22.1/img/item/3193.png")</f>
        <v>#NAME?</v>
      </c>
      <c r="AO55" s="322" t="b">
        <f t="shared" si="21"/>
        <v>1</v>
      </c>
      <c r="AP55" s="345">
        <f t="shared" si="1"/>
        <v>0.8375156250000001</v>
      </c>
    </row>
    <row r="56" spans="1:42" ht="13.2">
      <c r="A56" s="316" t="s">
        <v>588</v>
      </c>
      <c r="B56" s="324">
        <f t="shared" ref="B56:B57" si="23">900</f>
        <v>900</v>
      </c>
      <c r="C56" s="324">
        <f>350</f>
        <v>350</v>
      </c>
      <c r="D56" s="324"/>
      <c r="E56" s="324"/>
      <c r="F56" s="324"/>
      <c r="G56" s="324"/>
      <c r="H56" s="324"/>
      <c r="I56" s="324"/>
      <c r="J56" s="324"/>
      <c r="K56" s="324"/>
      <c r="L56" s="324"/>
      <c r="M56" s="324"/>
      <c r="N56" s="324"/>
      <c r="O56" s="324"/>
      <c r="P56" s="324"/>
      <c r="Q56" s="324"/>
      <c r="R56" s="324"/>
      <c r="S56" s="324"/>
      <c r="T56" s="324"/>
      <c r="U56" s="324"/>
      <c r="V56" s="324"/>
      <c r="W56" s="324"/>
      <c r="X56" s="324"/>
      <c r="Y56" s="324"/>
      <c r="Z56" s="324"/>
      <c r="AA56" s="324"/>
      <c r="AB56" s="324"/>
      <c r="AC56" s="324"/>
      <c r="AD56" s="324"/>
      <c r="AE56" s="324"/>
      <c r="AF56" s="324"/>
      <c r="AG56" s="324"/>
      <c r="AH56" s="324"/>
      <c r="AI56" s="325">
        <f>IF($AO$2=1,COUNTIF(Interface!$C$22:$C$27,$A56),0)</f>
        <v>0</v>
      </c>
      <c r="AJ56" s="325">
        <f>IF($AO$2=2,COUNTIF(Interface!$C$30:$C$35,$A56),0)</f>
        <v>0</v>
      </c>
      <c r="AK56" s="325"/>
      <c r="AL56" s="325"/>
      <c r="AM56" s="326">
        <f>COUNTIF(Interface!$O$18:$O$23,$A56)</f>
        <v>0</v>
      </c>
      <c r="AN56" s="322" t="e">
        <f ca="1">_xludf.Image("https://ddragon.leagueoflegends.com/cdn/12.22.1/img/item/1011.png")</f>
        <v>#NAME?</v>
      </c>
      <c r="AO56" s="322" t="b">
        <f t="shared" ref="AO56:AO57" si="24">FALSE</f>
        <v>0</v>
      </c>
      <c r="AP56" s="346">
        <f t="shared" si="1"/>
        <v>1.0383333333333333</v>
      </c>
    </row>
    <row r="57" spans="1:42" ht="13.2">
      <c r="A57" s="316" t="s">
        <v>589</v>
      </c>
      <c r="B57" s="324">
        <f t="shared" si="23"/>
        <v>900</v>
      </c>
      <c r="C57" s="324"/>
      <c r="D57" s="324"/>
      <c r="E57" s="324">
        <f>250</f>
        <v>250</v>
      </c>
      <c r="F57" s="324"/>
      <c r="G57" s="324"/>
      <c r="H57" s="324"/>
      <c r="I57" s="324">
        <f>20</f>
        <v>20</v>
      </c>
      <c r="J57" s="324"/>
      <c r="K57" s="324"/>
      <c r="L57" s="324"/>
      <c r="M57" s="324">
        <f>10</f>
        <v>10</v>
      </c>
      <c r="N57" s="324"/>
      <c r="O57" s="324"/>
      <c r="P57" s="324"/>
      <c r="Q57" s="324"/>
      <c r="R57" s="324"/>
      <c r="S57" s="324"/>
      <c r="T57" s="324"/>
      <c r="U57" s="324"/>
      <c r="V57" s="324"/>
      <c r="W57" s="324"/>
      <c r="X57" s="324"/>
      <c r="Y57" s="324"/>
      <c r="Z57" s="324"/>
      <c r="AA57" s="324"/>
      <c r="AB57" s="324"/>
      <c r="AC57" s="324"/>
      <c r="AD57" s="324"/>
      <c r="AE57" s="324"/>
      <c r="AF57" s="324"/>
      <c r="AG57" s="324"/>
      <c r="AH57" s="324"/>
      <c r="AI57" s="325">
        <f>IF($AO$2=1,COUNTIF(Interface!$C$22:$C$27,$A57),0)</f>
        <v>0</v>
      </c>
      <c r="AJ57" s="325">
        <f>IF($AO$2=2,COUNTIF(Interface!$C$30:$C$35,$A57),0)</f>
        <v>0</v>
      </c>
      <c r="AK57" s="325"/>
      <c r="AL57" s="325"/>
      <c r="AM57" s="326">
        <f>COUNTIF(Interface!$O$18:$O$23,$A57)</f>
        <v>0</v>
      </c>
      <c r="AN57" s="322" t="e">
        <f ca="1">_xludf.Image("https://ddragon.leagueoflegends.com/cdn/12.22.1/img/item/3024.png")</f>
        <v>#NAME?</v>
      </c>
      <c r="AO57" s="322" t="b">
        <f t="shared" si="24"/>
        <v>0</v>
      </c>
      <c r="AP57" s="347">
        <f t="shared" si="1"/>
        <v>1.1296666666666668</v>
      </c>
    </row>
    <row r="58" spans="1:42" ht="13.2">
      <c r="A58" s="316" t="s">
        <v>590</v>
      </c>
      <c r="B58" s="324">
        <f>3000</f>
        <v>3000</v>
      </c>
      <c r="C58" s="324"/>
      <c r="D58" s="324"/>
      <c r="E58" s="324"/>
      <c r="F58" s="324"/>
      <c r="G58" s="324">
        <f>45</f>
        <v>45</v>
      </c>
      <c r="H58" s="324"/>
      <c r="I58" s="324">
        <f>40</f>
        <v>40</v>
      </c>
      <c r="J58" s="324"/>
      <c r="K58" s="324"/>
      <c r="L58" s="324"/>
      <c r="M58" s="324"/>
      <c r="N58" s="324"/>
      <c r="O58" s="324"/>
      <c r="P58" s="324"/>
      <c r="Q58" s="324"/>
      <c r="R58" s="324"/>
      <c r="S58" s="324"/>
      <c r="T58" s="324"/>
      <c r="U58" s="324"/>
      <c r="V58" s="324"/>
      <c r="W58" s="324"/>
      <c r="X58" s="324"/>
      <c r="Y58" s="324"/>
      <c r="Z58" s="324"/>
      <c r="AA58" s="324"/>
      <c r="AB58" s="324"/>
      <c r="AC58" s="324"/>
      <c r="AD58" s="324"/>
      <c r="AE58" s="324"/>
      <c r="AF58" s="324"/>
      <c r="AG58" s="324"/>
      <c r="AH58" s="324"/>
      <c r="AI58" s="325">
        <f>IF($AO$2=1,COUNTIF(Interface!$C$22:$C$27,$A58),0)</f>
        <v>0</v>
      </c>
      <c r="AJ58" s="325">
        <f>IF($AO$2=2,COUNTIF(Interface!$C$30:$C$35,$A58),0)</f>
        <v>0</v>
      </c>
      <c r="AK58" s="325"/>
      <c r="AL58" s="325"/>
      <c r="AM58" s="326">
        <f>COUNTIF(Interface!$O$18:$O$23,$A58)</f>
        <v>0</v>
      </c>
      <c r="AN58" s="322" t="e">
        <f ca="1">_xludf.Image("https://ddragon.leagueoflegends.com/cdn/12.22.1/img/item/3026.png")</f>
        <v>#NAME?</v>
      </c>
      <c r="AO58" s="322" t="b">
        <f>TRUE</f>
        <v>1</v>
      </c>
      <c r="AP58" s="329">
        <f t="shared" si="1"/>
        <v>0.79166666666666663</v>
      </c>
    </row>
    <row r="59" spans="1:42" ht="13.2">
      <c r="A59" s="316" t="s">
        <v>591</v>
      </c>
      <c r="B59" s="324">
        <f>400</f>
        <v>400</v>
      </c>
      <c r="C59" s="324">
        <f>70</f>
        <v>70</v>
      </c>
      <c r="D59" s="324"/>
      <c r="E59" s="324"/>
      <c r="F59" s="324">
        <f>0.5</f>
        <v>0.5</v>
      </c>
      <c r="G59" s="324">
        <f>10</f>
        <v>10</v>
      </c>
      <c r="H59" s="324"/>
      <c r="I59" s="324"/>
      <c r="J59" s="324"/>
      <c r="K59" s="324"/>
      <c r="L59" s="324"/>
      <c r="M59" s="324"/>
      <c r="N59" s="324"/>
      <c r="O59" s="324"/>
      <c r="P59" s="324"/>
      <c r="Q59" s="324"/>
      <c r="R59" s="324"/>
      <c r="S59" s="324"/>
      <c r="T59" s="324"/>
      <c r="U59" s="324"/>
      <c r="V59" s="324"/>
      <c r="W59" s="324"/>
      <c r="X59" s="324"/>
      <c r="Y59" s="324"/>
      <c r="Z59" s="324"/>
      <c r="AA59" s="324"/>
      <c r="AB59" s="324"/>
      <c r="AC59" s="324"/>
      <c r="AD59" s="324"/>
      <c r="AE59" s="324"/>
      <c r="AF59" s="324"/>
      <c r="AG59" s="324"/>
      <c r="AH59" s="324"/>
      <c r="AI59" s="325">
        <f>IF($AO$2=1,COUNTIF(Interface!$C$22:$C$27,$A59),0)</f>
        <v>0</v>
      </c>
      <c r="AJ59" s="325">
        <f>IF($AO$2=2,COUNTIF(Interface!$C$30:$C$35,$A59),0)</f>
        <v>0</v>
      </c>
      <c r="AK59" s="325"/>
      <c r="AL59" s="325"/>
      <c r="AM59" s="326">
        <f>COUNTIF(Interface!$O$18:$O$23,$A59)</f>
        <v>0</v>
      </c>
      <c r="AN59" s="322" t="e">
        <f ca="1">_xludf.Image("https://ddragon.leagueoflegends.com/cdn/12.22.1/img/item/3863.png")</f>
        <v>#NAME?</v>
      </c>
      <c r="AO59" s="322" t="b">
        <f t="shared" ref="AO59:AO62" si="25">FALSE</f>
        <v>0</v>
      </c>
      <c r="AP59" s="344">
        <f t="shared" si="1"/>
        <v>1.9672499999999999</v>
      </c>
    </row>
    <row r="60" spans="1:42" ht="13.2">
      <c r="A60" s="316" t="s">
        <v>592</v>
      </c>
      <c r="B60" s="324">
        <f>1100</f>
        <v>1100</v>
      </c>
      <c r="C60" s="324"/>
      <c r="D60" s="324"/>
      <c r="E60" s="324"/>
      <c r="F60" s="324"/>
      <c r="G60" s="324">
        <f>20</f>
        <v>20</v>
      </c>
      <c r="H60" s="324"/>
      <c r="I60" s="324"/>
      <c r="J60" s="324"/>
      <c r="K60" s="324">
        <f>15</f>
        <v>15</v>
      </c>
      <c r="L60" s="324"/>
      <c r="M60" s="324"/>
      <c r="N60" s="324"/>
      <c r="O60" s="324"/>
      <c r="P60" s="324"/>
      <c r="Q60" s="324"/>
      <c r="R60" s="324"/>
      <c r="S60" s="324"/>
      <c r="T60" s="324"/>
      <c r="U60" s="324"/>
      <c r="V60" s="324"/>
      <c r="W60" s="324"/>
      <c r="X60" s="324"/>
      <c r="Y60" s="324"/>
      <c r="Z60" s="324"/>
      <c r="AA60" s="324"/>
      <c r="AB60" s="324"/>
      <c r="AC60" s="324"/>
      <c r="AD60" s="324"/>
      <c r="AE60" s="324"/>
      <c r="AF60" s="324"/>
      <c r="AG60" s="324"/>
      <c r="AH60" s="324"/>
      <c r="AI60" s="325">
        <f>IF($AO$2=1,COUNTIF(Interface!$C$22:$C$27,$A60),0)</f>
        <v>0</v>
      </c>
      <c r="AJ60" s="325">
        <f>IF($AO$2=2,COUNTIF(Interface!$C$30:$C$35,$A60),0)</f>
        <v>0</v>
      </c>
      <c r="AK60" s="325"/>
      <c r="AL60" s="325"/>
      <c r="AM60" s="326">
        <f>COUNTIF(Interface!$O$18:$O$23,$A60)</f>
        <v>0</v>
      </c>
      <c r="AN60" s="322" t="e">
        <f ca="1">_xludf.Image("https://ddragon.leagueoflegends.com/cdn/12.22.1/img/item/3051.png")</f>
        <v>#NAME?</v>
      </c>
      <c r="AO60" s="322" t="b">
        <f t="shared" si="25"/>
        <v>0</v>
      </c>
      <c r="AP60" s="329">
        <f t="shared" si="1"/>
        <v>0.97727272727272729</v>
      </c>
    </row>
    <row r="61" spans="1:42" ht="13.2">
      <c r="A61" s="316" t="s">
        <v>593</v>
      </c>
      <c r="B61" s="324">
        <f>1300</f>
        <v>1300</v>
      </c>
      <c r="C61" s="324"/>
      <c r="D61" s="324"/>
      <c r="E61" s="324"/>
      <c r="F61" s="324"/>
      <c r="G61" s="324">
        <f>25</f>
        <v>25</v>
      </c>
      <c r="H61" s="324"/>
      <c r="I61" s="324"/>
      <c r="J61" s="324">
        <f>35</f>
        <v>35</v>
      </c>
      <c r="K61" s="324"/>
      <c r="L61" s="324"/>
      <c r="M61" s="324"/>
      <c r="N61" s="324"/>
      <c r="O61" s="324"/>
      <c r="P61" s="324"/>
      <c r="Q61" s="324"/>
      <c r="R61" s="324"/>
      <c r="S61" s="324"/>
      <c r="T61" s="324"/>
      <c r="U61" s="324"/>
      <c r="V61" s="324"/>
      <c r="W61" s="324"/>
      <c r="X61" s="324"/>
      <c r="Y61" s="324"/>
      <c r="Z61" s="324"/>
      <c r="AA61" s="324"/>
      <c r="AB61" s="324"/>
      <c r="AC61" s="324"/>
      <c r="AD61" s="324"/>
      <c r="AE61" s="324"/>
      <c r="AF61" s="324"/>
      <c r="AG61" s="324"/>
      <c r="AH61" s="324"/>
      <c r="AI61" s="325">
        <f>IF($AO$2=1,COUNTIF(Interface!$C$22:$C$27,$A61),0)</f>
        <v>0</v>
      </c>
      <c r="AJ61" s="325">
        <f>IF($AO$2=2,COUNTIF(Interface!$C$30:$C$35,$A61),0)</f>
        <v>0</v>
      </c>
      <c r="AK61" s="325"/>
      <c r="AL61" s="325"/>
      <c r="AM61" s="326">
        <f>COUNTIF(Interface!$O$18:$O$23,$A61)</f>
        <v>0</v>
      </c>
      <c r="AN61" s="322" t="e">
        <f ca="1">_xludf.Image("https://ddragon.leagueoflegends.com/cdn/12.22.1/img/item/3155.png")</f>
        <v>#NAME?</v>
      </c>
      <c r="AO61" s="322" t="b">
        <f t="shared" si="25"/>
        <v>0</v>
      </c>
      <c r="AP61" s="348">
        <f t="shared" si="1"/>
        <v>1.1576923076923078</v>
      </c>
    </row>
    <row r="62" spans="1:42" ht="13.2">
      <c r="A62" s="316" t="s">
        <v>594</v>
      </c>
      <c r="B62" s="324">
        <f>1050</f>
        <v>1050</v>
      </c>
      <c r="C62" s="324">
        <f t="shared" ref="C62:C63" si="26">150</f>
        <v>150</v>
      </c>
      <c r="D62" s="324"/>
      <c r="E62" s="324"/>
      <c r="F62" s="324"/>
      <c r="G62" s="324"/>
      <c r="H62" s="324">
        <f>25</f>
        <v>25</v>
      </c>
      <c r="I62" s="324"/>
      <c r="J62" s="324"/>
      <c r="K62" s="324"/>
      <c r="L62" s="324"/>
      <c r="M62" s="324"/>
      <c r="N62" s="324"/>
      <c r="O62" s="324"/>
      <c r="P62" s="324"/>
      <c r="Q62" s="324"/>
      <c r="R62" s="324"/>
      <c r="S62" s="324"/>
      <c r="T62" s="324"/>
      <c r="U62" s="324"/>
      <c r="V62" s="324"/>
      <c r="W62" s="324">
        <f>50+75*Sc_Lin</f>
        <v>50</v>
      </c>
      <c r="X62" s="324"/>
      <c r="Y62" s="324"/>
      <c r="Z62" s="324"/>
      <c r="AA62" s="324"/>
      <c r="AB62" s="324"/>
      <c r="AC62" s="324"/>
      <c r="AD62" s="324"/>
      <c r="AE62" s="324"/>
      <c r="AF62" s="324"/>
      <c r="AG62" s="324"/>
      <c r="AH62" s="324"/>
      <c r="AI62" s="325">
        <f>IF($AO$2=1,COUNTIF(Interface!$C$22:$C$27,$A62),0)</f>
        <v>0</v>
      </c>
      <c r="AJ62" s="325">
        <f>IF($AO$2=2,COUNTIF(Interface!$C$30:$C$35,$A62),0)</f>
        <v>0</v>
      </c>
      <c r="AK62" s="325"/>
      <c r="AL62" s="325"/>
      <c r="AM62" s="326">
        <f>COUNTIF(Interface!$O$18:$O$23,$A62)</f>
        <v>0</v>
      </c>
      <c r="AN62" s="322" t="e">
        <f ca="1">_xludf.Image("https://ddragon.leagueoflegends.com/cdn/12.22.1/img/item/3145.png")</f>
        <v>#NAME?</v>
      </c>
      <c r="AO62" s="322" t="b">
        <f t="shared" si="25"/>
        <v>0</v>
      </c>
      <c r="AP62" s="331">
        <f t="shared" si="1"/>
        <v>0.89928571428571424</v>
      </c>
    </row>
    <row r="63" spans="1:42" ht="13.2">
      <c r="A63" s="316" t="s">
        <v>595</v>
      </c>
      <c r="B63" s="324">
        <f t="shared" ref="B63:B65" si="27">3000</f>
        <v>3000</v>
      </c>
      <c r="C63" s="324">
        <f t="shared" si="26"/>
        <v>150</v>
      </c>
      <c r="D63" s="324"/>
      <c r="E63" s="324"/>
      <c r="F63" s="324"/>
      <c r="G63" s="324"/>
      <c r="H63" s="324">
        <f>100</f>
        <v>100</v>
      </c>
      <c r="I63" s="324"/>
      <c r="J63" s="324"/>
      <c r="K63" s="324"/>
      <c r="L63" s="324"/>
      <c r="M63" s="324">
        <f>15</f>
        <v>15</v>
      </c>
      <c r="N63" s="324"/>
      <c r="O63" s="324"/>
      <c r="P63" s="324"/>
      <c r="Q63" s="324"/>
      <c r="R63" s="324"/>
      <c r="S63" s="324"/>
      <c r="T63" s="324"/>
      <c r="U63" s="324"/>
      <c r="V63" s="324"/>
      <c r="W63" s="324"/>
      <c r="X63" s="324"/>
      <c r="Y63" s="324"/>
      <c r="Z63" s="324"/>
      <c r="AA63" s="324"/>
      <c r="AB63" s="324"/>
      <c r="AC63" s="324">
        <f>IF(Steroid_Items, 10, 0)</f>
        <v>0</v>
      </c>
      <c r="AD63" s="324">
        <f>IF(Steroid_Items, 10, 0)</f>
        <v>0</v>
      </c>
      <c r="AE63" s="324"/>
      <c r="AF63" s="324"/>
      <c r="AG63" s="324"/>
      <c r="AH63" s="324"/>
      <c r="AI63" s="325">
        <f>IF($AO$2=1,COUNTIF(Interface!$C$22:$C$27,$A63),0)</f>
        <v>0</v>
      </c>
      <c r="AJ63" s="325">
        <f>IF($AO$2=2,COUNTIF(Interface!$C$30:$C$35,$A63),0)</f>
        <v>0</v>
      </c>
      <c r="AK63" s="325"/>
      <c r="AL63" s="325"/>
      <c r="AM63" s="326">
        <f>COUNTIF(Interface!$O$18:$O$23,$A63)</f>
        <v>0</v>
      </c>
      <c r="AN63" s="322" t="e">
        <f ca="1">_xludf.Image("https://ddragon.leagueoflegends.com/cdn/12.22.1/img/item/4628.png")</f>
        <v>#NAME?</v>
      </c>
      <c r="AO63" s="322" t="b">
        <f t="shared" ref="AO63:AO66" si="28">TRUE</f>
        <v>1</v>
      </c>
      <c r="AP63" s="329">
        <f t="shared" si="1"/>
        <v>0.99185000000000001</v>
      </c>
    </row>
    <row r="64" spans="1:42" ht="13.2">
      <c r="A64" s="316" t="s">
        <v>596</v>
      </c>
      <c r="B64" s="324">
        <f t="shared" si="27"/>
        <v>3000</v>
      </c>
      <c r="C64" s="324">
        <f>400</f>
        <v>400</v>
      </c>
      <c r="D64" s="324">
        <f>1.5</f>
        <v>1.5</v>
      </c>
      <c r="E64" s="324"/>
      <c r="F64" s="324"/>
      <c r="G64" s="324">
        <f>60</f>
        <v>60</v>
      </c>
      <c r="H64" s="324"/>
      <c r="I64" s="324">
        <f>IF(Steroid_Items, 10 + 8 * IF(Self_Level &gt; 11, Self_Level - 11, 0) + IF(Self_Level &gt; 11, 2, 0) + IF(Self_Level &gt; 12, 7, 0), 0) / IF(VLOOKUP(Name,Champs!A2:AE200,31,FALSE), 1, 2)</f>
        <v>0</v>
      </c>
      <c r="J64" s="324">
        <f>IF(Steroid_Items, 10 + 8 * IF(Self_Level &gt; 11, Self_Level - 11, 0) + IF(Self_Level &gt; 11, 2, 0) + IF(Self_Level &gt; 12, 7, 0), 0) / IF(VLOOKUP(Name,Champs!A2:AE200,31,FALSE), 1, 2)</f>
        <v>0</v>
      </c>
      <c r="K64" s="324"/>
      <c r="L64" s="324"/>
      <c r="M64" s="324"/>
      <c r="N64" s="324"/>
      <c r="O64" s="324"/>
      <c r="P64" s="324"/>
      <c r="Q64" s="324"/>
      <c r="R64" s="324">
        <f>5</f>
        <v>5</v>
      </c>
      <c r="S64" s="324"/>
      <c r="T64" s="324"/>
      <c r="U64" s="324"/>
      <c r="V64" s="324"/>
      <c r="W64" s="324"/>
      <c r="X64" s="324"/>
      <c r="Y64" s="324"/>
      <c r="Z64" s="324"/>
      <c r="AA64" s="324"/>
      <c r="AB64" s="324"/>
      <c r="AC64" s="324"/>
      <c r="AD64" s="324"/>
      <c r="AE64" s="324"/>
      <c r="AF64" s="324"/>
      <c r="AG64" s="324"/>
      <c r="AH64" s="324"/>
      <c r="AI64" s="325">
        <f>IF($AO$2=1,COUNTIF(Interface!$C$22:$C$27,$A64),0)</f>
        <v>0</v>
      </c>
      <c r="AJ64" s="325">
        <f>IF($AO$2=2,COUNTIF(Interface!$C$30:$C$35,$A64),0)</f>
        <v>0</v>
      </c>
      <c r="AK64" s="325"/>
      <c r="AL64" s="325"/>
      <c r="AM64" s="326">
        <f>COUNTIF(Interface!$O$18:$O$23,$A64)</f>
        <v>0</v>
      </c>
      <c r="AN64" s="322" t="e">
        <f ca="1">_xludf.Image("https://ddragon.leagueoflegends.com/cdn/12.22.1/img/item/3181.png")</f>
        <v>#NAME?</v>
      </c>
      <c r="AO64" s="322" t="b">
        <f t="shared" si="28"/>
        <v>1</v>
      </c>
      <c r="AP64" s="340">
        <f t="shared" si="1"/>
        <v>1.2718333333333334</v>
      </c>
    </row>
    <row r="65" spans="1:42" ht="13.2">
      <c r="A65" s="316" t="s">
        <v>597</v>
      </c>
      <c r="B65" s="324">
        <f t="shared" si="27"/>
        <v>3000</v>
      </c>
      <c r="C65" s="324"/>
      <c r="D65" s="324"/>
      <c r="E65" s="324"/>
      <c r="F65" s="324"/>
      <c r="G65" s="324">
        <f>50</f>
        <v>50</v>
      </c>
      <c r="H65" s="324"/>
      <c r="I65" s="324"/>
      <c r="J65" s="324"/>
      <c r="K65" s="324">
        <f>IF(Steroid_Items,30,0)</f>
        <v>0</v>
      </c>
      <c r="L65" s="324">
        <f>20</f>
        <v>20</v>
      </c>
      <c r="M65" s="324"/>
      <c r="N65" s="324">
        <f>10</f>
        <v>10</v>
      </c>
      <c r="O65" s="324"/>
      <c r="P65" s="324"/>
      <c r="Q65" s="324"/>
      <c r="R65" s="324"/>
      <c r="S65" s="324"/>
      <c r="T65" s="324"/>
      <c r="U65" s="324"/>
      <c r="V65" s="324"/>
      <c r="W65" s="324"/>
      <c r="X65" s="324"/>
      <c r="Y65" s="324"/>
      <c r="Z65" s="324"/>
      <c r="AA65" s="324"/>
      <c r="AB65" s="324"/>
      <c r="AC65" s="324"/>
      <c r="AD65" s="324"/>
      <c r="AE65" s="324"/>
      <c r="AF65" s="324"/>
      <c r="AG65" s="324"/>
      <c r="AH65" s="324">
        <f>(215 + IF(Self_Level &gt; 10, (285 / 8) * (Self_Level - 10), 0)) * MOD_SelfHeal</f>
        <v>215</v>
      </c>
      <c r="AI65" s="325">
        <f>IF($AO$2=1,COUNTIF(Interface!$C$22:$C$27,$A65),0)</f>
        <v>0</v>
      </c>
      <c r="AJ65" s="325">
        <f>IF($AO$2=2,COUNTIF(Interface!$C$30:$C$35,$A65),0)</f>
        <v>0</v>
      </c>
      <c r="AK65" s="325"/>
      <c r="AL65" s="325"/>
      <c r="AM65" s="326">
        <f>COUNTIF(Interface!$O$18:$O$23,$A65)</f>
        <v>0</v>
      </c>
      <c r="AN65" s="322" t="e">
        <f ca="1">_xludf.Image("https://ddragon.leagueoflegends.com/cdn/12.22.1/img/item/6673.png")</f>
        <v>#NAME?</v>
      </c>
      <c r="AO65" s="322" t="b">
        <f t="shared" si="28"/>
        <v>1</v>
      </c>
      <c r="AP65" s="329">
        <f t="shared" si="1"/>
        <v>0.97499999999999998</v>
      </c>
    </row>
    <row r="66" spans="1:42" ht="13.2">
      <c r="A66" s="316" t="s">
        <v>598</v>
      </c>
      <c r="B66" s="324">
        <f>2300</f>
        <v>2300</v>
      </c>
      <c r="C66" s="324"/>
      <c r="D66" s="324"/>
      <c r="E66" s="324"/>
      <c r="F66" s="324">
        <f>1</f>
        <v>1</v>
      </c>
      <c r="G66" s="324"/>
      <c r="H66" s="324">
        <f>55</f>
        <v>55</v>
      </c>
      <c r="I66" s="324"/>
      <c r="J66" s="324"/>
      <c r="K66" s="324"/>
      <c r="L66" s="324"/>
      <c r="M66" s="324">
        <f t="shared" ref="M66:M67" si="29">20</f>
        <v>20</v>
      </c>
      <c r="N66" s="324"/>
      <c r="O66" s="324"/>
      <c r="P66" s="324"/>
      <c r="Q66" s="324"/>
      <c r="R66" s="324"/>
      <c r="S66" s="324"/>
      <c r="T66" s="324"/>
      <c r="U66" s="324"/>
      <c r="V66" s="324"/>
      <c r="W66" s="324">
        <f>120 + 60 * Sc_Lin</f>
        <v>120</v>
      </c>
      <c r="X66" s="324"/>
      <c r="Y66" s="324"/>
      <c r="Z66" s="324"/>
      <c r="AA66" s="324"/>
      <c r="AB66" s="324"/>
      <c r="AC66" s="324"/>
      <c r="AD66" s="324"/>
      <c r="AE66" s="324"/>
      <c r="AF66" s="324"/>
      <c r="AG66" s="324"/>
      <c r="AH66" s="324"/>
      <c r="AI66" s="325">
        <f>IF($AO$2=1,COUNTIF(Interface!$C$22:$C$27,$A66),0)</f>
        <v>0</v>
      </c>
      <c r="AJ66" s="325">
        <f>IF($AO$2=2,COUNTIF(Interface!$C$30:$C$35,$A66),0)</f>
        <v>0</v>
      </c>
      <c r="AK66" s="325"/>
      <c r="AL66" s="325"/>
      <c r="AM66" s="326">
        <f>COUNTIF(Interface!$O$18:$O$23,$A66)</f>
        <v>0</v>
      </c>
      <c r="AN66" s="322" t="e">
        <f ca="1">_xludf.Image("https://ddragon.leagueoflegends.com/cdn/12.22.1/img/item/4005.png")</f>
        <v>#NAME?</v>
      </c>
      <c r="AO66" s="322" t="b">
        <f t="shared" si="28"/>
        <v>1</v>
      </c>
      <c r="AP66" s="340">
        <f t="shared" si="1"/>
        <v>0.96941304347826096</v>
      </c>
    </row>
    <row r="67" spans="1:42" ht="13.2">
      <c r="A67" s="316" t="s">
        <v>599</v>
      </c>
      <c r="B67" s="324">
        <f>950</f>
        <v>950</v>
      </c>
      <c r="C67" s="324"/>
      <c r="D67" s="324"/>
      <c r="E67" s="324"/>
      <c r="F67" s="324"/>
      <c r="G67" s="324"/>
      <c r="H67" s="324"/>
      <c r="I67" s="324"/>
      <c r="J67" s="324"/>
      <c r="K67" s="324"/>
      <c r="L67" s="324"/>
      <c r="M67" s="324">
        <f t="shared" si="29"/>
        <v>20</v>
      </c>
      <c r="N67" s="324"/>
      <c r="O67" s="324"/>
      <c r="P67" s="324"/>
      <c r="Q67" s="324">
        <f>45</f>
        <v>45</v>
      </c>
      <c r="R67" s="324"/>
      <c r="S67" s="324"/>
      <c r="T67" s="324"/>
      <c r="U67" s="324"/>
      <c r="V67" s="324"/>
      <c r="W67" s="324"/>
      <c r="X67" s="324"/>
      <c r="Y67" s="324"/>
      <c r="Z67" s="324"/>
      <c r="AA67" s="324"/>
      <c r="AB67" s="324"/>
      <c r="AC67" s="324"/>
      <c r="AD67" s="324"/>
      <c r="AE67" s="324"/>
      <c r="AF67" s="324"/>
      <c r="AG67" s="324"/>
      <c r="AH67" s="324"/>
      <c r="AI67" s="325">
        <f>IF($AO$2=1,COUNTIF(Interface!$C$22:$C$27,$A67),0)</f>
        <v>0</v>
      </c>
      <c r="AJ67" s="325">
        <f>IF($AO$2=2,COUNTIF(Interface!$C$30:$C$35,$A67),0)</f>
        <v>0</v>
      </c>
      <c r="AK67" s="325"/>
      <c r="AL67" s="325"/>
      <c r="AM67" s="326">
        <f>COUNTIF(Interface!$O$18:$O$23,$A67)</f>
        <v>0</v>
      </c>
      <c r="AN67" s="322" t="e">
        <f ca="1">_xludf.Image("https://ddragon.leagueoflegends.com/cdn/12.22.1/img/item/3158.png")</f>
        <v>#NAME?</v>
      </c>
      <c r="AO67" s="322" t="b">
        <f t="shared" ref="AO67:AO70" si="30">FALSE</f>
        <v>0</v>
      </c>
      <c r="AP67" s="329">
        <f t="shared" si="1"/>
        <v>1.1298947368421053</v>
      </c>
    </row>
    <row r="68" spans="1:42" ht="13.2">
      <c r="A68" s="316" t="s">
        <v>600</v>
      </c>
      <c r="B68" s="324">
        <f>1100</f>
        <v>1100</v>
      </c>
      <c r="C68" s="324"/>
      <c r="D68" s="324"/>
      <c r="E68" s="324"/>
      <c r="F68" s="324"/>
      <c r="G68" s="324">
        <f>30</f>
        <v>30</v>
      </c>
      <c r="H68" s="324"/>
      <c r="I68" s="324"/>
      <c r="J68" s="324"/>
      <c r="K68" s="324"/>
      <c r="L68" s="324"/>
      <c r="M68" s="324"/>
      <c r="N68" s="324"/>
      <c r="O68" s="324"/>
      <c r="P68" s="324"/>
      <c r="Q68" s="324"/>
      <c r="R68" s="324"/>
      <c r="S68" s="324"/>
      <c r="T68" s="324"/>
      <c r="U68" s="324"/>
      <c r="V68" s="324"/>
      <c r="W68" s="324"/>
      <c r="X68" s="324"/>
      <c r="Y68" s="324"/>
      <c r="Z68" s="324"/>
      <c r="AA68" s="324"/>
      <c r="AB68" s="324"/>
      <c r="AC68" s="324"/>
      <c r="AD68" s="324"/>
      <c r="AE68" s="324">
        <f>Self_BaAD</f>
        <v>0</v>
      </c>
      <c r="AF68" s="324"/>
      <c r="AG68" s="324"/>
      <c r="AH68" s="324"/>
      <c r="AI68" s="325">
        <f>IF($AO$2=1,COUNTIF(Interface!$C$22:$C$27,$A68),0)</f>
        <v>0</v>
      </c>
      <c r="AJ68" s="325">
        <f>IF($AO$2=2,COUNTIF(Interface!$C$30:$C$35,$A68),0)</f>
        <v>0</v>
      </c>
      <c r="AK68" s="325"/>
      <c r="AL68" s="325"/>
      <c r="AM68" s="326">
        <f>COUNTIF(Interface!$O$18:$O$23,$A68)</f>
        <v>0</v>
      </c>
      <c r="AN68" s="322" t="e">
        <f ca="1">_xludf.Image("https://ddragon.leagueoflegends.com/cdn/12.22.1/img/item/6029.png")</f>
        <v>#NAME?</v>
      </c>
      <c r="AO68" s="322" t="b">
        <f t="shared" si="30"/>
        <v>0</v>
      </c>
      <c r="AP68" s="349">
        <f t="shared" si="1"/>
        <v>0.95454545454545459</v>
      </c>
    </row>
    <row r="69" spans="1:42" ht="13.2">
      <c r="A69" s="316" t="s">
        <v>601</v>
      </c>
      <c r="B69" s="324">
        <f>800</f>
        <v>800</v>
      </c>
      <c r="C69" s="324">
        <f>200</f>
        <v>200</v>
      </c>
      <c r="D69" s="324"/>
      <c r="E69" s="324"/>
      <c r="F69" s="324"/>
      <c r="G69" s="324"/>
      <c r="H69" s="324"/>
      <c r="I69" s="324"/>
      <c r="J69" s="324"/>
      <c r="K69" s="324"/>
      <c r="L69" s="324"/>
      <c r="M69" s="324">
        <f>10</f>
        <v>10</v>
      </c>
      <c r="N69" s="324"/>
      <c r="O69" s="324"/>
      <c r="P69" s="324"/>
      <c r="Q69" s="324"/>
      <c r="R69" s="324"/>
      <c r="S69" s="324"/>
      <c r="T69" s="324"/>
      <c r="U69" s="324"/>
      <c r="V69" s="324"/>
      <c r="W69" s="324"/>
      <c r="X69" s="324"/>
      <c r="Y69" s="324"/>
      <c r="Z69" s="324"/>
      <c r="AA69" s="324"/>
      <c r="AB69" s="324"/>
      <c r="AC69" s="324"/>
      <c r="AD69" s="324"/>
      <c r="AE69" s="324"/>
      <c r="AF69" s="324"/>
      <c r="AG69" s="324"/>
      <c r="AH69" s="324"/>
      <c r="AI69" s="325">
        <f>IF($AO$2=1,COUNTIF(Interface!$C$22:$C$27,$A69),0)</f>
        <v>0</v>
      </c>
      <c r="AJ69" s="325">
        <f>IF($AO$2=2,COUNTIF(Interface!$C$30:$C$35,$A69),0)</f>
        <v>0</v>
      </c>
      <c r="AK69" s="325"/>
      <c r="AL69" s="325"/>
      <c r="AM69" s="326">
        <f>COUNTIF(Interface!$O$18:$O$23,$A69)</f>
        <v>0</v>
      </c>
      <c r="AN69" s="322" t="e">
        <f ca="1">_xludf.Image("https://ddragon.leagueoflegends.com/cdn/12.22.1/img/item/3067.png")</f>
        <v>#NAME?</v>
      </c>
      <c r="AO69" s="322" t="b">
        <f t="shared" si="30"/>
        <v>0</v>
      </c>
      <c r="AP69" s="350">
        <f t="shared" si="1"/>
        <v>1.000875</v>
      </c>
    </row>
    <row r="70" spans="1:42" ht="13.2">
      <c r="A70" s="316" t="s">
        <v>602</v>
      </c>
      <c r="B70" s="324">
        <f>700</f>
        <v>700</v>
      </c>
      <c r="C70" s="324"/>
      <c r="D70" s="324"/>
      <c r="E70" s="324"/>
      <c r="F70" s="324"/>
      <c r="G70" s="324">
        <f>15</f>
        <v>15</v>
      </c>
      <c r="H70" s="324"/>
      <c r="I70" s="324"/>
      <c r="J70" s="324"/>
      <c r="K70" s="324"/>
      <c r="L70" s="324"/>
      <c r="M70" s="324"/>
      <c r="N70" s="324"/>
      <c r="O70" s="324"/>
      <c r="P70" s="324"/>
      <c r="Q70" s="324"/>
      <c r="R70" s="324"/>
      <c r="S70" s="324"/>
      <c r="T70" s="324"/>
      <c r="U70" s="324"/>
      <c r="V70" s="324">
        <f>60</f>
        <v>60</v>
      </c>
      <c r="W70" s="324"/>
      <c r="X70" s="324"/>
      <c r="Y70" s="324"/>
      <c r="Z70" s="324"/>
      <c r="AA70" s="324"/>
      <c r="AB70" s="324"/>
      <c r="AC70" s="324"/>
      <c r="AD70" s="324"/>
      <c r="AE70" s="324"/>
      <c r="AF70" s="324"/>
      <c r="AG70" s="324"/>
      <c r="AH70" s="324"/>
      <c r="AI70" s="325">
        <f>IF($AO$2=1,COUNTIF(Interface!$C$22:$C$27,$A70),0)</f>
        <v>0</v>
      </c>
      <c r="AJ70" s="325">
        <f>IF($AO$2=2,COUNTIF(Interface!$C$30:$C$35,$A70),0)</f>
        <v>0</v>
      </c>
      <c r="AK70" s="325"/>
      <c r="AL70" s="325"/>
      <c r="AM70" s="326">
        <f>COUNTIF(Interface!$O$18:$O$23,$A70)</f>
        <v>0</v>
      </c>
      <c r="AN70" s="322" t="e">
        <f ca="1">_xludf.Image("https://ddragon.leagueoflegends.com/cdn/12.22.1/img/item/2015.png")</f>
        <v>#NAME?</v>
      </c>
      <c r="AO70" s="322" t="b">
        <f t="shared" si="30"/>
        <v>0</v>
      </c>
      <c r="AP70" s="351">
        <f t="shared" si="1"/>
        <v>0.75</v>
      </c>
    </row>
    <row r="71" spans="1:42" ht="13.2">
      <c r="A71" s="316" t="s">
        <v>603</v>
      </c>
      <c r="B71" s="324">
        <f>2200</f>
        <v>2200</v>
      </c>
      <c r="C71" s="324">
        <f>350</f>
        <v>350</v>
      </c>
      <c r="D71" s="324">
        <f>1.25</f>
        <v>1.25</v>
      </c>
      <c r="E71" s="324"/>
      <c r="F71" s="324"/>
      <c r="G71" s="324"/>
      <c r="H71" s="324"/>
      <c r="I71" s="324">
        <f>25</f>
        <v>25</v>
      </c>
      <c r="J71" s="324"/>
      <c r="K71" s="324"/>
      <c r="L71" s="324"/>
      <c r="M71" s="324">
        <f>15</f>
        <v>15</v>
      </c>
      <c r="N71" s="324"/>
      <c r="O71" s="324"/>
      <c r="P71" s="324"/>
      <c r="Q71" s="324"/>
      <c r="R71" s="324"/>
      <c r="S71" s="324"/>
      <c r="T71" s="324"/>
      <c r="U71" s="324"/>
      <c r="V71" s="324"/>
      <c r="W71" s="324"/>
      <c r="X71" s="324"/>
      <c r="Y71" s="324"/>
      <c r="Z71" s="324"/>
      <c r="AA71" s="324"/>
      <c r="AB71" s="324"/>
      <c r="AC71" s="324"/>
      <c r="AD71" s="324"/>
      <c r="AE71" s="324"/>
      <c r="AF71" s="324"/>
      <c r="AG71" s="324"/>
      <c r="AH71" s="324"/>
      <c r="AI71" s="325">
        <f>IF($AO$2=1,COUNTIF(Interface!$C$22:$C$27,$A71),0)</f>
        <v>0</v>
      </c>
      <c r="AJ71" s="325">
        <f>IF($AO$2=2,COUNTIF(Interface!$C$30:$C$35,$A71),0)</f>
        <v>0</v>
      </c>
      <c r="AK71" s="325"/>
      <c r="AL71" s="325"/>
      <c r="AM71" s="326">
        <f>COUNTIF(Interface!$O$18:$O$23,$A71)</f>
        <v>0</v>
      </c>
      <c r="AN71" s="322" t="e">
        <f ca="1">_xludf.Image("https://ddragon.leagueoflegends.com/cdn/12.22.1/img/item/3109.png")</f>
        <v>#NAME?</v>
      </c>
      <c r="AO71" s="322" t="b">
        <f t="shared" ref="AO71:AO72" si="31">TRUE</f>
        <v>1</v>
      </c>
      <c r="AP71" s="352">
        <f t="shared" si="1"/>
        <v>1.0043409090909092</v>
      </c>
    </row>
    <row r="72" spans="1:42" ht="13.2">
      <c r="A72" s="316" t="s">
        <v>604</v>
      </c>
      <c r="B72" s="324">
        <f>3000</f>
        <v>3000</v>
      </c>
      <c r="C72" s="324"/>
      <c r="D72" s="324"/>
      <c r="E72" s="324"/>
      <c r="F72" s="324"/>
      <c r="G72" s="324">
        <f>40</f>
        <v>40</v>
      </c>
      <c r="H72" s="324"/>
      <c r="I72" s="324"/>
      <c r="J72" s="324"/>
      <c r="K72" s="324">
        <f>30</f>
        <v>30</v>
      </c>
      <c r="L72" s="324">
        <f>20</f>
        <v>20</v>
      </c>
      <c r="M72" s="324"/>
      <c r="N72" s="324"/>
      <c r="O72" s="324"/>
      <c r="P72" s="324"/>
      <c r="Q72" s="324"/>
      <c r="R72" s="324"/>
      <c r="S72" s="324"/>
      <c r="T72" s="324"/>
      <c r="U72" s="324"/>
      <c r="V72" s="324"/>
      <c r="W72" s="324"/>
      <c r="X72" s="324"/>
      <c r="Y72" s="324"/>
      <c r="Z72" s="324"/>
      <c r="AA72" s="324"/>
      <c r="AB72" s="324"/>
      <c r="AC72" s="324"/>
      <c r="AD72" s="324"/>
      <c r="AE72" s="324"/>
      <c r="AF72" s="324"/>
      <c r="AG72" s="324"/>
      <c r="AH72" s="324"/>
      <c r="AI72" s="325">
        <f>IF($AO$2=1,COUNTIF(Interface!$C$22:$C$27,$A72),0)</f>
        <v>0</v>
      </c>
      <c r="AJ72" s="325">
        <f>IF($AO$2=2,COUNTIF(Interface!$C$30:$C$35,$A72),0)</f>
        <v>0</v>
      </c>
      <c r="AK72" s="325"/>
      <c r="AL72" s="325"/>
      <c r="AM72" s="326">
        <f>COUNTIF(Interface!$O$18:$O$23,$A72)</f>
        <v>0</v>
      </c>
      <c r="AN72" s="322" t="e">
        <f ca="1">_xludf.Image("https://ddragon.leagueoflegends.com/cdn/12.22.1/img/item/6672.png")</f>
        <v>#NAME?</v>
      </c>
      <c r="AO72" s="322" t="b">
        <f t="shared" si="31"/>
        <v>1</v>
      </c>
      <c r="AP72" s="353">
        <f t="shared" si="1"/>
        <v>0.98333333333333328</v>
      </c>
    </row>
    <row r="73" spans="1:42" ht="13.2">
      <c r="A73" s="316" t="s">
        <v>605</v>
      </c>
      <c r="B73" s="324">
        <f>1450</f>
        <v>1450</v>
      </c>
      <c r="C73" s="324"/>
      <c r="D73" s="324"/>
      <c r="E73" s="324"/>
      <c r="F73" s="324"/>
      <c r="G73" s="324">
        <f>20</f>
        <v>20</v>
      </c>
      <c r="H73" s="324"/>
      <c r="I73" s="324"/>
      <c r="J73" s="324"/>
      <c r="K73" s="324"/>
      <c r="L73" s="324"/>
      <c r="M73" s="324"/>
      <c r="N73" s="324"/>
      <c r="O73" s="324"/>
      <c r="P73" s="324"/>
      <c r="Q73" s="324"/>
      <c r="R73" s="324"/>
      <c r="S73" s="324"/>
      <c r="T73" s="324"/>
      <c r="U73" s="324"/>
      <c r="V73" s="324"/>
      <c r="W73" s="324"/>
      <c r="X73" s="324"/>
      <c r="Y73" s="324">
        <f>18</f>
        <v>18</v>
      </c>
      <c r="Z73" s="324"/>
      <c r="AA73" s="324"/>
      <c r="AB73" s="324"/>
      <c r="AC73" s="324"/>
      <c r="AD73" s="324"/>
      <c r="AE73" s="324"/>
      <c r="AF73" s="324"/>
      <c r="AG73" s="324"/>
      <c r="AH73" s="324"/>
      <c r="AI73" s="325">
        <f>IF($AO$2=1,COUNTIF(Interface!$C$22:$C$27,$A73),0)</f>
        <v>0</v>
      </c>
      <c r="AJ73" s="325">
        <f>IF($AO$2=2,COUNTIF(Interface!$C$30:$C$35,$A73),0)</f>
        <v>0</v>
      </c>
      <c r="AK73" s="325"/>
      <c r="AL73" s="325"/>
      <c r="AM73" s="326">
        <f>COUNTIF(Interface!$O$18:$O$23,$A73)</f>
        <v>0</v>
      </c>
      <c r="AN73" s="322" t="e">
        <f ca="1">_xludf.Image("https://ddragon.leagueoflegends.com/cdn/12.22.1/img/item/3035.png")</f>
        <v>#NAME?</v>
      </c>
      <c r="AO73" s="322" t="b">
        <f t="shared" ref="AO73:AO74" si="32">FALSE</f>
        <v>0</v>
      </c>
      <c r="AP73" s="329">
        <f t="shared" si="1"/>
        <v>0.48275862068965519</v>
      </c>
    </row>
    <row r="74" spans="1:42" ht="13.2">
      <c r="A74" s="316" t="s">
        <v>606</v>
      </c>
      <c r="B74" s="324">
        <f>1300</f>
        <v>1300</v>
      </c>
      <c r="C74" s="324">
        <f>250</f>
        <v>250</v>
      </c>
      <c r="D74" s="324"/>
      <c r="E74" s="324"/>
      <c r="F74" s="324"/>
      <c r="G74" s="324"/>
      <c r="H74" s="324">
        <f>20</f>
        <v>20</v>
      </c>
      <c r="I74" s="324"/>
      <c r="J74" s="324"/>
      <c r="K74" s="324"/>
      <c r="L74" s="324"/>
      <c r="M74" s="324"/>
      <c r="N74" s="324">
        <f>5</f>
        <v>5</v>
      </c>
      <c r="O74" s="324"/>
      <c r="P74" s="324"/>
      <c r="Q74" s="324"/>
      <c r="R74" s="324"/>
      <c r="S74" s="324"/>
      <c r="T74" s="324"/>
      <c r="U74" s="324"/>
      <c r="V74" s="324"/>
      <c r="W74" s="324"/>
      <c r="X74" s="324"/>
      <c r="Y74" s="324"/>
      <c r="Z74" s="324"/>
      <c r="AA74" s="324"/>
      <c r="AB74" s="324">
        <f>5</f>
        <v>5</v>
      </c>
      <c r="AC74" s="324"/>
      <c r="AD74" s="324"/>
      <c r="AE74" s="324"/>
      <c r="AF74" s="324"/>
      <c r="AG74" s="324"/>
      <c r="AH74" s="324"/>
      <c r="AI74" s="325">
        <f>IF($AO$2=1,COUNTIF(Interface!$C$22:$C$27,$A74),0)</f>
        <v>0</v>
      </c>
      <c r="AJ74" s="325">
        <f>IF($AO$2=2,COUNTIF(Interface!$C$30:$C$35,$A74),0)</f>
        <v>0</v>
      </c>
      <c r="AK74" s="325"/>
      <c r="AL74" s="325"/>
      <c r="AM74" s="326">
        <f>COUNTIF(Interface!$O$18:$O$23,$A74)</f>
        <v>0</v>
      </c>
      <c r="AN74" s="322" t="e">
        <f ca="1">_xludf.Image("https://ddragon.leagueoflegends.com/cdn/12.22.1/img/item/4635.png")</f>
        <v>#NAME?</v>
      </c>
      <c r="AO74" s="322" t="b">
        <f t="shared" si="32"/>
        <v>0</v>
      </c>
      <c r="AP74" s="354">
        <f t="shared" si="1"/>
        <v>0.99230769230769234</v>
      </c>
    </row>
    <row r="75" spans="1:42" ht="13.2">
      <c r="A75" s="316" t="s">
        <v>607</v>
      </c>
      <c r="B75" s="324">
        <f>3000</f>
        <v>3000</v>
      </c>
      <c r="C75" s="324"/>
      <c r="D75" s="324"/>
      <c r="E75" s="324"/>
      <c r="F75" s="324"/>
      <c r="G75" s="324"/>
      <c r="H75" s="324">
        <f>85</f>
        <v>85</v>
      </c>
      <c r="I75" s="324"/>
      <c r="J75" s="324"/>
      <c r="K75" s="324"/>
      <c r="L75" s="324"/>
      <c r="M75" s="324">
        <f>15</f>
        <v>15</v>
      </c>
      <c r="N75" s="324"/>
      <c r="O75" s="324"/>
      <c r="P75" s="324"/>
      <c r="Q75" s="324"/>
      <c r="R75" s="324">
        <f>8</f>
        <v>8</v>
      </c>
      <c r="S75" s="324"/>
      <c r="T75" s="324"/>
      <c r="U75" s="324"/>
      <c r="V75" s="324"/>
      <c r="W75" s="324"/>
      <c r="X75" s="324" t="e">
        <f ca="1">(0.5 * Self_AP + 0.75 * Self_BaAD) * MOD_Magic</f>
        <v>#NAME?</v>
      </c>
      <c r="Y75" s="324"/>
      <c r="Z75" s="324"/>
      <c r="AA75" s="324"/>
      <c r="AB75" s="324"/>
      <c r="AC75" s="324"/>
      <c r="AD75" s="324"/>
      <c r="AE75" s="324"/>
      <c r="AF75" s="324"/>
      <c r="AG75" s="324"/>
      <c r="AH75" s="324"/>
      <c r="AI75" s="325">
        <f>IF($AO$2=1,COUNTIF(Interface!$C$22:$C$27,$A75),0)</f>
        <v>0</v>
      </c>
      <c r="AJ75" s="325">
        <f>IF($AO$2=2,COUNTIF(Interface!$C$30:$C$35,$A75),0)</f>
        <v>0</v>
      </c>
      <c r="AK75" s="325"/>
      <c r="AL75" s="325"/>
      <c r="AM75" s="326">
        <f>COUNTIF(Interface!$O$18:$O$23,$A75)</f>
        <v>0</v>
      </c>
      <c r="AN75" s="322" t="e">
        <f ca="1">_xludf.Image("https://ddragon.leagueoflegends.com/cdn/12.22.1/img/item/3100.png")</f>
        <v>#NAME?</v>
      </c>
      <c r="AO75" s="322" t="b">
        <f>TRUE</f>
        <v>1</v>
      </c>
      <c r="AP75" s="352">
        <f t="shared" si="1"/>
        <v>0.85493333333333343</v>
      </c>
    </row>
    <row r="76" spans="1:42" ht="13.2">
      <c r="A76" s="316" t="s">
        <v>608</v>
      </c>
      <c r="B76" s="324">
        <f>1050</f>
        <v>1050</v>
      </c>
      <c r="C76" s="324">
        <f>150</f>
        <v>150</v>
      </c>
      <c r="D76" s="324"/>
      <c r="E76" s="324"/>
      <c r="F76" s="324"/>
      <c r="G76" s="324"/>
      <c r="H76" s="324"/>
      <c r="I76" s="324">
        <f>25</f>
        <v>25</v>
      </c>
      <c r="J76" s="324"/>
      <c r="K76" s="324"/>
      <c r="L76" s="324"/>
      <c r="M76" s="324">
        <f>5</f>
        <v>5</v>
      </c>
      <c r="N76" s="324"/>
      <c r="O76" s="324"/>
      <c r="P76" s="324"/>
      <c r="Q76" s="324"/>
      <c r="R76" s="324"/>
      <c r="S76" s="324"/>
      <c r="T76" s="324"/>
      <c r="U76" s="324"/>
      <c r="V76" s="324"/>
      <c r="W76" s="324"/>
      <c r="X76" s="324"/>
      <c r="Y76" s="324"/>
      <c r="Z76" s="324"/>
      <c r="AA76" s="324"/>
      <c r="AB76" s="324"/>
      <c r="AC76" s="324"/>
      <c r="AD76" s="324"/>
      <c r="AE76" s="324"/>
      <c r="AF76" s="324"/>
      <c r="AG76" s="324"/>
      <c r="AH76" s="324"/>
      <c r="AI76" s="325">
        <f>IF($AO$2=1,COUNTIF(Interface!$C$22:$C$27,$A76),0)</f>
        <v>0</v>
      </c>
      <c r="AJ76" s="325">
        <f>IF($AO$2=2,COUNTIF(Interface!$C$30:$C$35,$A76),0)</f>
        <v>0</v>
      </c>
      <c r="AK76" s="325"/>
      <c r="AL76" s="325"/>
      <c r="AM76" s="326">
        <f>COUNTIF(Interface!$O$18:$O$23,$A76)</f>
        <v>0</v>
      </c>
      <c r="AN76" s="322"/>
      <c r="AO76" s="322" t="b">
        <f t="shared" ref="AO76:AO77" si="33">FALSE</f>
        <v>0</v>
      </c>
      <c r="AP76" s="345">
        <f t="shared" si="1"/>
        <v>0.9846190476190475</v>
      </c>
    </row>
    <row r="77" spans="1:42" ht="13.2">
      <c r="A77" s="316" t="s">
        <v>609</v>
      </c>
      <c r="B77" s="324">
        <f>350</f>
        <v>350</v>
      </c>
      <c r="C77" s="324"/>
      <c r="D77" s="324"/>
      <c r="E77" s="324"/>
      <c r="F77" s="324"/>
      <c r="G77" s="324">
        <f>10</f>
        <v>10</v>
      </c>
      <c r="H77" s="324"/>
      <c r="I77" s="324"/>
      <c r="J77" s="324"/>
      <c r="K77" s="324"/>
      <c r="L77" s="324"/>
      <c r="M77" s="324"/>
      <c r="N77" s="324"/>
      <c r="O77" s="324"/>
      <c r="P77" s="324"/>
      <c r="Q77" s="324"/>
      <c r="R77" s="324"/>
      <c r="S77" s="324"/>
      <c r="T77" s="324"/>
      <c r="U77" s="324"/>
      <c r="V77" s="324"/>
      <c r="W77" s="324"/>
      <c r="X77" s="324"/>
      <c r="Y77" s="324"/>
      <c r="Z77" s="324"/>
      <c r="AA77" s="324"/>
      <c r="AB77" s="324"/>
      <c r="AC77" s="324"/>
      <c r="AD77" s="324"/>
      <c r="AE77" s="324"/>
      <c r="AF77" s="324"/>
      <c r="AG77" s="324"/>
      <c r="AH77" s="324"/>
      <c r="AI77" s="325">
        <f>IF($AO$2=1,COUNTIF(Interface!$C$22:$C$27,$A77),0)</f>
        <v>0</v>
      </c>
      <c r="AJ77" s="325">
        <f>IF($AO$2=2,COUNTIF(Interface!$C$30:$C$35,$A77),0)</f>
        <v>0</v>
      </c>
      <c r="AK77" s="325"/>
      <c r="AL77" s="325"/>
      <c r="AM77" s="326">
        <f>COUNTIF(Interface!$O$18:$O$23,$A77)</f>
        <v>0</v>
      </c>
      <c r="AN77" s="322" t="e">
        <f ca="1">_xludf.Image("https://ddragon.leagueoflegends.com/cdn/12.22.1/img/item/1036.png")</f>
        <v>#NAME?</v>
      </c>
      <c r="AO77" s="322" t="b">
        <f t="shared" si="33"/>
        <v>0</v>
      </c>
      <c r="AP77" s="329">
        <f t="shared" si="1"/>
        <v>1</v>
      </c>
    </row>
    <row r="78" spans="1:42" ht="13.2">
      <c r="A78" s="316" t="s">
        <v>610</v>
      </c>
      <c r="B78" s="324">
        <f>3000</f>
        <v>3000</v>
      </c>
      <c r="C78" s="324"/>
      <c r="D78" s="324"/>
      <c r="E78" s="324"/>
      <c r="F78" s="324"/>
      <c r="G78" s="324">
        <f>35</f>
        <v>35</v>
      </c>
      <c r="H78" s="324"/>
      <c r="I78" s="324"/>
      <c r="J78" s="324"/>
      <c r="K78" s="324"/>
      <c r="L78" s="324">
        <f>20</f>
        <v>20</v>
      </c>
      <c r="M78" s="324"/>
      <c r="N78" s="324"/>
      <c r="O78" s="324"/>
      <c r="P78" s="324"/>
      <c r="Q78" s="324"/>
      <c r="R78" s="324"/>
      <c r="S78" s="324"/>
      <c r="T78" s="324"/>
      <c r="U78" s="324"/>
      <c r="V78" s="324"/>
      <c r="W78" s="324"/>
      <c r="X78" s="324"/>
      <c r="Y78" s="324">
        <f>30</f>
        <v>30</v>
      </c>
      <c r="Z78" s="324"/>
      <c r="AA78" s="324"/>
      <c r="AB78" s="324"/>
      <c r="AC78" s="324">
        <f>MIN(25,IF(E_MHP &gt; Self_MHP, 25 * ((E_MHP - Self_MHP) / 2500), 0))</f>
        <v>0</v>
      </c>
      <c r="AD78" s="324">
        <f>MIN(25,IF(E_MHP &gt; Self_MHP, 25 * ((E_MHP - Self_MHP) / 2500), 0))</f>
        <v>0</v>
      </c>
      <c r="AE78" s="324"/>
      <c r="AF78" s="324"/>
      <c r="AG78" s="324"/>
      <c r="AH78" s="324"/>
      <c r="AI78" s="325">
        <f>IF($AO$2=1,COUNTIF(Interface!$C$22:$C$27,$A78),0)</f>
        <v>0</v>
      </c>
      <c r="AJ78" s="325">
        <f>IF($AO$2=2,COUNTIF(Interface!$C$30:$C$35,$A78),0)</f>
        <v>0</v>
      </c>
      <c r="AK78" s="325"/>
      <c r="AL78" s="325"/>
      <c r="AM78" s="326">
        <f>COUNTIF(Interface!$O$18:$O$23,$A78)</f>
        <v>0</v>
      </c>
      <c r="AN78" s="322" t="e">
        <f ca="1">_xludf.Image("https://ddragon.leagueoflegends.com/cdn/12.22.1/img/item/3036.png")</f>
        <v>#NAME?</v>
      </c>
      <c r="AO78" s="322" t="b">
        <f>TRUE</f>
        <v>1</v>
      </c>
      <c r="AP78" s="334">
        <f t="shared" si="1"/>
        <v>0.67500000000000004</v>
      </c>
    </row>
    <row r="79" spans="1:42" ht="13.2">
      <c r="A79" s="316" t="s">
        <v>611</v>
      </c>
      <c r="B79" s="324">
        <f>1100</f>
        <v>1100</v>
      </c>
      <c r="C79" s="324"/>
      <c r="D79" s="324"/>
      <c r="E79" s="324">
        <f>300</f>
        <v>300</v>
      </c>
      <c r="F79" s="324"/>
      <c r="G79" s="324"/>
      <c r="H79" s="324">
        <f>40</f>
        <v>40</v>
      </c>
      <c r="I79" s="324"/>
      <c r="J79" s="324"/>
      <c r="K79" s="324"/>
      <c r="L79" s="324"/>
      <c r="M79" s="324">
        <f>10</f>
        <v>10</v>
      </c>
      <c r="N79" s="324"/>
      <c r="O79" s="324"/>
      <c r="P79" s="324"/>
      <c r="Q79" s="324"/>
      <c r="R79" s="324"/>
      <c r="S79" s="324"/>
      <c r="T79" s="324"/>
      <c r="U79" s="324"/>
      <c r="V79" s="324"/>
      <c r="W79" s="324"/>
      <c r="X79" s="324"/>
      <c r="Y79" s="324"/>
      <c r="Z79" s="324"/>
      <c r="AA79" s="324"/>
      <c r="AB79" s="324"/>
      <c r="AC79" s="324"/>
      <c r="AD79" s="324"/>
      <c r="AE79" s="324"/>
      <c r="AF79" s="324"/>
      <c r="AG79" s="324"/>
      <c r="AH79" s="324"/>
      <c r="AI79" s="325">
        <f>IF($AO$2=1,COUNTIF(Interface!$C$22:$C$27,$A79),0)</f>
        <v>0</v>
      </c>
      <c r="AJ79" s="325">
        <f>IF($AO$2=2,COUNTIF(Interface!$C$30:$C$35,$A79),0)</f>
        <v>0</v>
      </c>
      <c r="AK79" s="325"/>
      <c r="AL79" s="325"/>
      <c r="AM79" s="326">
        <f>COUNTIF(Interface!$O$18:$O$23,$A79)</f>
        <v>0</v>
      </c>
      <c r="AN79" s="322" t="e">
        <f ca="1">_xludf.Image("https://ddragon.leagueoflegends.com/cdn/12.22.1/img/item/3802.png")</f>
        <v>#NAME?</v>
      </c>
      <c r="AO79" s="322" t="b">
        <f>FALSE</f>
        <v>0</v>
      </c>
      <c r="AP79" s="343">
        <f t="shared" si="1"/>
        <v>1.4151818181818183</v>
      </c>
    </row>
    <row r="80" spans="1:42" ht="13.2">
      <c r="A80" s="316" t="s">
        <v>612</v>
      </c>
      <c r="B80" s="324">
        <f>2900</f>
        <v>2900</v>
      </c>
      <c r="C80" s="324"/>
      <c r="D80" s="324"/>
      <c r="E80" s="324">
        <f>500</f>
        <v>500</v>
      </c>
      <c r="F80" s="324"/>
      <c r="G80" s="324">
        <f>35</f>
        <v>35</v>
      </c>
      <c r="H80" s="324"/>
      <c r="I80" s="324"/>
      <c r="J80" s="324"/>
      <c r="K80" s="324"/>
      <c r="L80" s="324"/>
      <c r="M80" s="324">
        <f>15</f>
        <v>15</v>
      </c>
      <c r="N80" s="324"/>
      <c r="O80" s="324"/>
      <c r="P80" s="324"/>
      <c r="Q80" s="324"/>
      <c r="R80" s="324"/>
      <c r="S80" s="324"/>
      <c r="T80" s="324"/>
      <c r="U80" s="324"/>
      <c r="V80" s="324"/>
      <c r="W80" s="324"/>
      <c r="X80" s="324"/>
      <c r="Y80" s="324"/>
      <c r="Z80" s="324"/>
      <c r="AA80" s="324"/>
      <c r="AB80" s="324"/>
      <c r="AC80" s="324"/>
      <c r="AD80" s="324"/>
      <c r="AE80" s="324"/>
      <c r="AF80" s="324"/>
      <c r="AG80" s="324"/>
      <c r="AH80" s="324"/>
      <c r="AI80" s="325">
        <f>IF($AO$2=1,COUNTIF(Interface!$C$22:$C$27,$A80),0)</f>
        <v>0</v>
      </c>
      <c r="AJ80" s="325">
        <f>IF($AO$2=2,COUNTIF(Interface!$C$30:$C$35,$A80),0)</f>
        <v>0</v>
      </c>
      <c r="AK80" s="325"/>
      <c r="AL80" s="325"/>
      <c r="AM80" s="326">
        <f>COUNTIF(Interface!$O$18:$O$23,$A80)</f>
        <v>0</v>
      </c>
      <c r="AN80" s="322" t="e">
        <f ca="1">_xludf.Image("https://ddragon.leagueoflegends.com/cdn/12.22.1/img/item/3004.png")</f>
        <v>#NAME?</v>
      </c>
      <c r="AO80" s="322" t="b">
        <f t="shared" ref="AO80:AO83" si="34">TRUE</f>
        <v>1</v>
      </c>
      <c r="AP80" s="348">
        <f t="shared" si="1"/>
        <v>0.80174137931034484</v>
      </c>
    </row>
    <row r="81" spans="1:42" ht="13.2">
      <c r="A81" s="316" t="s">
        <v>613</v>
      </c>
      <c r="B81" s="324">
        <f>2800</f>
        <v>2800</v>
      </c>
      <c r="C81" s="324"/>
      <c r="D81" s="324"/>
      <c r="E81" s="324"/>
      <c r="F81" s="324"/>
      <c r="G81" s="324">
        <f>65</f>
        <v>65</v>
      </c>
      <c r="H81" s="324"/>
      <c r="I81" s="324"/>
      <c r="J81" s="324">
        <f>50</f>
        <v>50</v>
      </c>
      <c r="K81" s="324"/>
      <c r="L81" s="324"/>
      <c r="M81" s="324"/>
      <c r="N81" s="324">
        <f>IF(Steroid_Items, 12, 0)</f>
        <v>0</v>
      </c>
      <c r="O81" s="324"/>
      <c r="P81" s="324"/>
      <c r="Q81" s="324"/>
      <c r="R81" s="324"/>
      <c r="S81" s="324"/>
      <c r="T81" s="324"/>
      <c r="U81" s="324"/>
      <c r="V81" s="324"/>
      <c r="W81" s="324"/>
      <c r="X81" s="324"/>
      <c r="Y81" s="324"/>
      <c r="Z81" s="324"/>
      <c r="AA81" s="324"/>
      <c r="AB81" s="324"/>
      <c r="AC81" s="324"/>
      <c r="AD81" s="324"/>
      <c r="AE81" s="324"/>
      <c r="AF81" s="324"/>
      <c r="AG81" s="324"/>
      <c r="AH81" s="324"/>
      <c r="AI81" s="325">
        <f>IF($AO$2=1,COUNTIF(Interface!$C$22:$C$27,$A81),0)</f>
        <v>0</v>
      </c>
      <c r="AJ81" s="325">
        <f>IF($AO$2=2,COUNTIF(Interface!$C$30:$C$35,$A81),0)</f>
        <v>0</v>
      </c>
      <c r="AK81" s="325"/>
      <c r="AL81" s="325"/>
      <c r="AM81" s="326">
        <f>COUNTIF(Interface!$O$18:$O$23,$A81)</f>
        <v>0</v>
      </c>
      <c r="AN81" s="322" t="e">
        <f ca="1">_xludf.Image("https://ddragon.leagueoflegends.com/cdn/12.22.1/img/item/3156.png")</f>
        <v>#NAME?</v>
      </c>
      <c r="AO81" s="322" t="b">
        <f t="shared" si="34"/>
        <v>1</v>
      </c>
      <c r="AP81" s="329">
        <f t="shared" si="1"/>
        <v>1.1339285714285714</v>
      </c>
    </row>
    <row r="82" spans="1:42" ht="13.2">
      <c r="A82" s="316" t="s">
        <v>614</v>
      </c>
      <c r="B82" s="324">
        <f>1600</f>
        <v>1600</v>
      </c>
      <c r="C82" s="324">
        <f>100</f>
        <v>100</v>
      </c>
      <c r="D82" s="324"/>
      <c r="E82" s="324"/>
      <c r="F82" s="324"/>
      <c r="G82" s="324"/>
      <c r="H82" s="324">
        <f>20</f>
        <v>20</v>
      </c>
      <c r="I82" s="324"/>
      <c r="J82" s="324"/>
      <c r="K82" s="324"/>
      <c r="L82" s="324"/>
      <c r="M82" s="324"/>
      <c r="N82" s="324"/>
      <c r="O82" s="324"/>
      <c r="P82" s="324"/>
      <c r="Q82" s="324"/>
      <c r="R82" s="324"/>
      <c r="S82" s="324"/>
      <c r="T82" s="324"/>
      <c r="U82" s="324"/>
      <c r="V82" s="324"/>
      <c r="W82" s="324"/>
      <c r="X82" s="324"/>
      <c r="Y82" s="324"/>
      <c r="Z82" s="324"/>
      <c r="AA82" s="324"/>
      <c r="AB82" s="324"/>
      <c r="AC82" s="324"/>
      <c r="AD82" s="324"/>
      <c r="AE82" s="324"/>
      <c r="AF82" s="324"/>
      <c r="AG82" s="324"/>
      <c r="AH82" s="324"/>
      <c r="AI82" s="325">
        <f>IF($AO$2=1,COUNTIF(Interface!$C$22:$C$27,$A82),0)</f>
        <v>0</v>
      </c>
      <c r="AJ82" s="325">
        <f>IF($AO$2=2,COUNTIF(Interface!$C$30:$C$35,$A82),0)</f>
        <v>0</v>
      </c>
      <c r="AK82" s="325"/>
      <c r="AL82" s="325"/>
      <c r="AM82" s="326">
        <f>COUNTIF(Interface!$O$18:$O$23,$A82)</f>
        <v>0</v>
      </c>
      <c r="AN82" s="322" t="e">
        <f ca="1">_xludf.Image("https://ddragon.leagueoflegends.com/cdn/12.22.1/img/item/3041.png")</f>
        <v>#NAME?</v>
      </c>
      <c r="AO82" s="322" t="b">
        <f t="shared" si="34"/>
        <v>1</v>
      </c>
      <c r="AP82" s="329">
        <f t="shared" si="1"/>
        <v>0.43874999999999997</v>
      </c>
    </row>
    <row r="83" spans="1:42" ht="13.2">
      <c r="A83" s="316" t="s">
        <v>615</v>
      </c>
      <c r="B83" s="324">
        <f>3000</f>
        <v>3000</v>
      </c>
      <c r="C83" s="324"/>
      <c r="D83" s="324"/>
      <c r="E83" s="324"/>
      <c r="F83" s="324"/>
      <c r="G83" s="324">
        <f>40</f>
        <v>40</v>
      </c>
      <c r="H83" s="324"/>
      <c r="I83" s="324"/>
      <c r="J83" s="324">
        <f>50</f>
        <v>50</v>
      </c>
      <c r="K83" s="324"/>
      <c r="L83" s="324">
        <f>20</f>
        <v>20</v>
      </c>
      <c r="M83" s="324"/>
      <c r="N83" s="324"/>
      <c r="O83" s="324"/>
      <c r="P83" s="324"/>
      <c r="Q83" s="324"/>
      <c r="R83" s="324"/>
      <c r="S83" s="324"/>
      <c r="T83" s="324"/>
      <c r="U83" s="324"/>
      <c r="V83" s="324"/>
      <c r="W83" s="324"/>
      <c r="X83" s="324"/>
      <c r="Y83" s="324"/>
      <c r="Z83" s="324"/>
      <c r="AA83" s="324"/>
      <c r="AB83" s="324"/>
      <c r="AC83" s="324"/>
      <c r="AD83" s="324"/>
      <c r="AE83" s="324"/>
      <c r="AF83" s="324"/>
      <c r="AG83" s="324"/>
      <c r="AH83" s="324"/>
      <c r="AI83" s="325">
        <f>IF($AO$2=1,COUNTIF(Interface!$C$22:$C$27,$A83),0)</f>
        <v>0</v>
      </c>
      <c r="AJ83" s="325">
        <f>IF($AO$2=2,COUNTIF(Interface!$C$30:$C$35,$A83),0)</f>
        <v>0</v>
      </c>
      <c r="AK83" s="325"/>
      <c r="AL83" s="325"/>
      <c r="AM83" s="326">
        <f>COUNTIF(Interface!$O$18:$O$23,$A83)</f>
        <v>0</v>
      </c>
      <c r="AN83" s="322" t="e">
        <f ca="1">_xludf.Image("https://ddragon.leagueoflegends.com/cdn/12.22.1/img/item/3139.png")</f>
        <v>#NAME?</v>
      </c>
      <c r="AO83" s="322" t="b">
        <f t="shared" si="34"/>
        <v>1</v>
      </c>
      <c r="AP83" s="355">
        <f t="shared" si="1"/>
        <v>1.0333333333333334</v>
      </c>
    </row>
    <row r="84" spans="1:42" ht="13.2">
      <c r="A84" s="316" t="s">
        <v>616</v>
      </c>
      <c r="B84" s="324">
        <f>1100</f>
        <v>1100</v>
      </c>
      <c r="C84" s="324"/>
      <c r="D84" s="324"/>
      <c r="E84" s="324"/>
      <c r="F84" s="324"/>
      <c r="G84" s="324"/>
      <c r="H84" s="324"/>
      <c r="I84" s="324"/>
      <c r="J84" s="324">
        <f>25</f>
        <v>25</v>
      </c>
      <c r="K84" s="324"/>
      <c r="L84" s="324"/>
      <c r="M84" s="324"/>
      <c r="N84" s="324"/>
      <c r="O84" s="324"/>
      <c r="P84" s="324"/>
      <c r="Q84" s="324">
        <f>45</f>
        <v>45</v>
      </c>
      <c r="R84" s="324"/>
      <c r="S84" s="324"/>
      <c r="T84" s="324"/>
      <c r="U84" s="324"/>
      <c r="V84" s="324"/>
      <c r="W84" s="324"/>
      <c r="X84" s="324"/>
      <c r="Y84" s="324"/>
      <c r="Z84" s="324"/>
      <c r="AA84" s="324"/>
      <c r="AB84" s="324"/>
      <c r="AC84" s="324"/>
      <c r="AD84" s="324"/>
      <c r="AE84" s="324"/>
      <c r="AF84" s="324">
        <f>30</f>
        <v>30</v>
      </c>
      <c r="AG84" s="324"/>
      <c r="AH84" s="324"/>
      <c r="AI84" s="325">
        <f>IF($AO$2=1,COUNTIF(Interface!$C$22:$C$27,$A84),0)</f>
        <v>0</v>
      </c>
      <c r="AJ84" s="325">
        <f>IF($AO$2=2,COUNTIF(Interface!$C$30:$C$35,$A84),0)</f>
        <v>0</v>
      </c>
      <c r="AK84" s="325"/>
      <c r="AL84" s="325"/>
      <c r="AM84" s="326">
        <f>COUNTIF(Interface!$O$18:$O$23,$A84)</f>
        <v>0</v>
      </c>
      <c r="AN84" s="322" t="e">
        <f ca="1">_xludf.Image("https://ddragon.leagueoflegends.com/cdn/12.22.1/img/item/3111.png")</f>
        <v>#NAME?</v>
      </c>
      <c r="AO84" s="322" t="b">
        <f>FALSE</f>
        <v>0</v>
      </c>
      <c r="AP84" s="329">
        <f t="shared" si="1"/>
        <v>0.9</v>
      </c>
    </row>
    <row r="85" spans="1:42" ht="13.2">
      <c r="A85" s="316" t="s">
        <v>617</v>
      </c>
      <c r="B85" s="324">
        <f>2300</f>
        <v>2300</v>
      </c>
      <c r="C85" s="324">
        <f>250</f>
        <v>250</v>
      </c>
      <c r="D85" s="324">
        <f>IT_MPR</f>
        <v>0</v>
      </c>
      <c r="E85" s="324"/>
      <c r="F85" s="324">
        <f>1</f>
        <v>1</v>
      </c>
      <c r="G85" s="324"/>
      <c r="H85" s="324"/>
      <c r="I85" s="324"/>
      <c r="J85" s="324"/>
      <c r="K85" s="324"/>
      <c r="L85" s="324"/>
      <c r="M85" s="324">
        <f>15</f>
        <v>15</v>
      </c>
      <c r="N85" s="324"/>
      <c r="O85" s="324"/>
      <c r="P85" s="324"/>
      <c r="Q85" s="324"/>
      <c r="R85" s="324"/>
      <c r="S85" s="324">
        <f>15</f>
        <v>15</v>
      </c>
      <c r="T85" s="324"/>
      <c r="U85" s="324"/>
      <c r="V85" s="324"/>
      <c r="W85" s="324"/>
      <c r="X85" s="324"/>
      <c r="Y85" s="324"/>
      <c r="Z85" s="324"/>
      <c r="AA85" s="324"/>
      <c r="AB85" s="324"/>
      <c r="AC85" s="324"/>
      <c r="AD85" s="324"/>
      <c r="AE85" s="324"/>
      <c r="AF85" s="324"/>
      <c r="AG85" s="324"/>
      <c r="AH85" s="324"/>
      <c r="AI85" s="325">
        <f>IF($AO$2=1,COUNTIF(Interface!$C$22:$C$27,$A85),0)</f>
        <v>0</v>
      </c>
      <c r="AJ85" s="325">
        <f>IF($AO$2=2,COUNTIF(Interface!$C$30:$C$35,$A85),0)</f>
        <v>0</v>
      </c>
      <c r="AK85" s="325"/>
      <c r="AL85" s="325"/>
      <c r="AM85" s="326">
        <f>COUNTIF(Interface!$O$18:$O$23,$A85)</f>
        <v>0</v>
      </c>
      <c r="AN85" s="322" t="e">
        <f ca="1">_xludf.Image("https://ddragon.leagueoflegends.com/cdn/12.22.1/img/item/3222.png")</f>
        <v>#NAME?</v>
      </c>
      <c r="AO85" s="322" t="b">
        <f>TRUE</f>
        <v>1</v>
      </c>
      <c r="AP85" s="329">
        <f t="shared" si="1"/>
        <v>1.0511304347826087</v>
      </c>
    </row>
    <row r="86" spans="1:42" ht="13.2">
      <c r="A86" s="316" t="s">
        <v>618</v>
      </c>
      <c r="B86" s="324">
        <f>1000</f>
        <v>1000</v>
      </c>
      <c r="C86" s="324"/>
      <c r="D86" s="324"/>
      <c r="E86" s="324"/>
      <c r="F86" s="324"/>
      <c r="G86" s="324"/>
      <c r="H86" s="324"/>
      <c r="I86" s="324"/>
      <c r="J86" s="324"/>
      <c r="K86" s="324"/>
      <c r="L86" s="324"/>
      <c r="M86" s="324"/>
      <c r="N86" s="324"/>
      <c r="O86" s="324"/>
      <c r="P86" s="324"/>
      <c r="Q86" s="324">
        <f>115</f>
        <v>115</v>
      </c>
      <c r="R86" s="324"/>
      <c r="S86" s="324"/>
      <c r="T86" s="324"/>
      <c r="U86" s="324"/>
      <c r="V86" s="324"/>
      <c r="W86" s="324"/>
      <c r="X86" s="324"/>
      <c r="Y86" s="324"/>
      <c r="Z86" s="324"/>
      <c r="AA86" s="324"/>
      <c r="AB86" s="324"/>
      <c r="AC86" s="324"/>
      <c r="AD86" s="324"/>
      <c r="AE86" s="324"/>
      <c r="AF86" s="324"/>
      <c r="AG86" s="324"/>
      <c r="AH86" s="324"/>
      <c r="AI86" s="325">
        <f>IF($AO$2=1,COUNTIF(Interface!$C$22:$C$27,$A86),0)</f>
        <v>0</v>
      </c>
      <c r="AJ86" s="325">
        <f>IF($AO$2=2,COUNTIF(Interface!$C$30:$C$35,$A86),0)</f>
        <v>0</v>
      </c>
      <c r="AK86" s="325"/>
      <c r="AL86" s="325"/>
      <c r="AM86" s="326">
        <f>COUNTIF(Interface!$O$18:$O$23,$A86)</f>
        <v>0</v>
      </c>
      <c r="AN86" s="322" t="e">
        <f ca="1">_xludf.Image("https://ddragon.leagueoflegends.com/cdn/12.22.1/img/item/3117.png")</f>
        <v>#NAME?</v>
      </c>
      <c r="AO86" s="322" t="b">
        <f>FALSE</f>
        <v>0</v>
      </c>
      <c r="AP86" s="329">
        <f t="shared" si="1"/>
        <v>1.38</v>
      </c>
    </row>
    <row r="87" spans="1:42" ht="13.2">
      <c r="A87" s="316" t="s">
        <v>619</v>
      </c>
      <c r="B87" s="324">
        <f>2500</f>
        <v>2500</v>
      </c>
      <c r="C87" s="324">
        <f>200</f>
        <v>200</v>
      </c>
      <c r="D87" s="324"/>
      <c r="E87" s="324"/>
      <c r="F87" s="324"/>
      <c r="G87" s="324"/>
      <c r="H87" s="324">
        <f>90</f>
        <v>90</v>
      </c>
      <c r="I87" s="324"/>
      <c r="J87" s="324"/>
      <c r="K87" s="324"/>
      <c r="L87" s="324"/>
      <c r="M87" s="324"/>
      <c r="N87" s="324"/>
      <c r="O87" s="324"/>
      <c r="P87" s="324">
        <f>10</f>
        <v>10</v>
      </c>
      <c r="Q87" s="324"/>
      <c r="R87" s="324"/>
      <c r="S87" s="324"/>
      <c r="T87" s="324"/>
      <c r="U87" s="324"/>
      <c r="V87" s="324"/>
      <c r="W87" s="324"/>
      <c r="X87" s="324"/>
      <c r="Y87" s="324"/>
      <c r="Z87" s="324"/>
      <c r="AA87" s="324"/>
      <c r="AB87" s="324"/>
      <c r="AC87" s="324"/>
      <c r="AD87" s="324"/>
      <c r="AE87" s="324"/>
      <c r="AF87" s="324"/>
      <c r="AG87" s="324"/>
      <c r="AH87" s="324"/>
      <c r="AI87" s="325">
        <f>IF($AO$2=1,COUNTIF(Interface!$C$22:$C$27,$A87),0)</f>
        <v>0</v>
      </c>
      <c r="AJ87" s="325">
        <f>IF($AO$2=2,COUNTIF(Interface!$C$30:$C$35,$A87),0)</f>
        <v>0</v>
      </c>
      <c r="AK87" s="325"/>
      <c r="AL87" s="325"/>
      <c r="AM87" s="326">
        <f>COUNTIF(Interface!$O$18:$O$23,$A87)</f>
        <v>0</v>
      </c>
      <c r="AN87" s="322" t="e">
        <f ca="1">_xludf.Image("https://ddragon.leagueoflegends.com/cdn/12.22.1/img/item/3165.png")</f>
        <v>#NAME?</v>
      </c>
      <c r="AO87" s="322" t="b">
        <f t="shared" ref="AO87:AO90" si="35">TRUE</f>
        <v>1</v>
      </c>
      <c r="AP87" s="329">
        <f t="shared" si="1"/>
        <v>1.12104</v>
      </c>
    </row>
    <row r="88" spans="1:42" ht="13.2">
      <c r="A88" s="316" t="s">
        <v>620</v>
      </c>
      <c r="B88" s="324">
        <f>2600</f>
        <v>2600</v>
      </c>
      <c r="C88" s="324"/>
      <c r="D88" s="324"/>
      <c r="E88" s="324"/>
      <c r="F88" s="324"/>
      <c r="G88" s="324">
        <f>40</f>
        <v>40</v>
      </c>
      <c r="H88" s="324"/>
      <c r="I88" s="324"/>
      <c r="J88" s="324"/>
      <c r="K88" s="324"/>
      <c r="L88" s="324">
        <f>20</f>
        <v>20</v>
      </c>
      <c r="M88" s="324"/>
      <c r="N88" s="324"/>
      <c r="O88" s="324"/>
      <c r="P88" s="324"/>
      <c r="Q88" s="324"/>
      <c r="R88" s="324"/>
      <c r="S88" s="324"/>
      <c r="T88" s="324"/>
      <c r="U88" s="324"/>
      <c r="V88" s="324"/>
      <c r="W88" s="324"/>
      <c r="X88" s="324"/>
      <c r="Y88" s="324">
        <f>30</f>
        <v>30</v>
      </c>
      <c r="Z88" s="324"/>
      <c r="AA88" s="324"/>
      <c r="AB88" s="324"/>
      <c r="AC88" s="324"/>
      <c r="AD88" s="324"/>
      <c r="AE88" s="324"/>
      <c r="AF88" s="324"/>
      <c r="AG88" s="324"/>
      <c r="AH88" s="324"/>
      <c r="AI88" s="325">
        <f>IF($AO$2=1,COUNTIF(Interface!$C$22:$C$27,$A88),0)</f>
        <v>0</v>
      </c>
      <c r="AJ88" s="325">
        <f>IF($AO$2=2,COUNTIF(Interface!$C$30:$C$35,$A88),0)</f>
        <v>0</v>
      </c>
      <c r="AK88" s="325"/>
      <c r="AL88" s="325"/>
      <c r="AM88" s="326">
        <f>COUNTIF(Interface!$O$18:$O$23,$A88)</f>
        <v>0</v>
      </c>
      <c r="AN88" s="322" t="e">
        <f ca="1">_xludf.Image("https://ddragon.leagueoflegends.com/cdn/12.22.1/img/item/3033.png")</f>
        <v>#NAME?</v>
      </c>
      <c r="AO88" s="322" t="b">
        <f t="shared" si="35"/>
        <v>1</v>
      </c>
      <c r="AP88" s="329">
        <f t="shared" si="1"/>
        <v>0.84615384615384615</v>
      </c>
    </row>
    <row r="89" spans="1:42" ht="13.2">
      <c r="A89" s="316" t="s">
        <v>621</v>
      </c>
      <c r="B89" s="324">
        <f>2900</f>
        <v>2900</v>
      </c>
      <c r="C89" s="324"/>
      <c r="D89" s="324"/>
      <c r="E89" s="324">
        <f>860</f>
        <v>860</v>
      </c>
      <c r="F89" s="324"/>
      <c r="G89" s="324">
        <f>35</f>
        <v>35</v>
      </c>
      <c r="H89" s="324"/>
      <c r="I89" s="324"/>
      <c r="J89" s="324"/>
      <c r="K89" s="324"/>
      <c r="L89" s="324"/>
      <c r="M89" s="324">
        <f t="shared" ref="M89:M90" si="36">15</f>
        <v>15</v>
      </c>
      <c r="N89" s="324"/>
      <c r="O89" s="324"/>
      <c r="P89" s="324"/>
      <c r="Q89" s="324"/>
      <c r="R89" s="324"/>
      <c r="S89" s="324"/>
      <c r="T89" s="324">
        <f>0.015*Self_MP</f>
        <v>0</v>
      </c>
      <c r="U89" s="324"/>
      <c r="V89" s="324"/>
      <c r="W89" s="324"/>
      <c r="X89" s="324"/>
      <c r="Y89" s="324"/>
      <c r="Z89" s="324"/>
      <c r="AA89" s="324"/>
      <c r="AB89" s="324"/>
      <c r="AC89" s="324"/>
      <c r="AD89" s="324"/>
      <c r="AE89" s="324"/>
      <c r="AF89" s="324"/>
      <c r="AG89" s="324"/>
      <c r="AH89" s="324"/>
      <c r="AI89" s="325">
        <f>IF($AO$2=1,COUNTIF(Interface!$C$22:$C$27,$A89),0)</f>
        <v>0</v>
      </c>
      <c r="AJ89" s="325">
        <f>IF($AO$2=2,COUNTIF(Interface!$C$30:$C$35,$A89),0)</f>
        <v>0</v>
      </c>
      <c r="AK89" s="325"/>
      <c r="AL89" s="325"/>
      <c r="AM89" s="326">
        <f>COUNTIF(Interface!$O$18:$O$23,$A89)</f>
        <v>0</v>
      </c>
      <c r="AN89" s="322" t="e">
        <f ca="1">_xludf.Image("https://ddragon.leagueoflegends.com/cdn/12.22.1/img/item/3042.png")</f>
        <v>#NAME?</v>
      </c>
      <c r="AO89" s="322" t="b">
        <f t="shared" si="35"/>
        <v>1</v>
      </c>
      <c r="AP89" s="329">
        <f t="shared" si="1"/>
        <v>0.97553448275862076</v>
      </c>
    </row>
    <row r="90" spans="1:42" ht="13.2">
      <c r="A90" s="316" t="s">
        <v>622</v>
      </c>
      <c r="B90" s="324">
        <f>3200</f>
        <v>3200</v>
      </c>
      <c r="C90" s="324"/>
      <c r="D90" s="324"/>
      <c r="E90" s="324"/>
      <c r="F90" s="324"/>
      <c r="G90" s="324"/>
      <c r="H90" s="324">
        <f>100</f>
        <v>100</v>
      </c>
      <c r="I90" s="324"/>
      <c r="J90" s="324"/>
      <c r="K90" s="324">
        <f>50</f>
        <v>50</v>
      </c>
      <c r="L90" s="324"/>
      <c r="M90" s="324">
        <f t="shared" si="36"/>
        <v>15</v>
      </c>
      <c r="N90" s="324"/>
      <c r="O90" s="324"/>
      <c r="P90" s="324"/>
      <c r="Q90" s="324"/>
      <c r="R90" s="324"/>
      <c r="S90" s="324"/>
      <c r="T90" s="324"/>
      <c r="U90" s="324">
        <f>15+0.2*Self_AP</f>
        <v>15</v>
      </c>
      <c r="V90" s="324"/>
      <c r="W90" s="324"/>
      <c r="X90" s="324"/>
      <c r="Y90" s="324"/>
      <c r="Z90" s="324"/>
      <c r="AA90" s="324"/>
      <c r="AB90" s="324"/>
      <c r="AC90" s="324"/>
      <c r="AD90" s="324"/>
      <c r="AE90" s="324"/>
      <c r="AF90" s="324"/>
      <c r="AG90" s="324"/>
      <c r="AH90" s="324"/>
      <c r="AI90" s="325">
        <f>IF($AO$2=1,COUNTIF(Interface!$C$22:$C$27,$A90),0)</f>
        <v>0</v>
      </c>
      <c r="AJ90" s="325">
        <f>IF($AO$2=2,COUNTIF(Interface!$C$30:$C$35,$A90),0)</f>
        <v>0</v>
      </c>
      <c r="AK90" s="325"/>
      <c r="AL90" s="325"/>
      <c r="AM90" s="326">
        <f>COUNTIF(Interface!$O$18:$O$23,$A90)</f>
        <v>0</v>
      </c>
      <c r="AN90" s="322" t="e">
        <f ca="1">_xludf.Image("https://ddragon.leagueoflegends.com/cdn/12.22.1/img/item/3115.png")</f>
        <v>#NAME?</v>
      </c>
      <c r="AO90" s="322" t="b">
        <f t="shared" si="35"/>
        <v>1</v>
      </c>
      <c r="AP90" s="329">
        <f t="shared" si="1"/>
        <v>1.3125156250000001</v>
      </c>
    </row>
    <row r="91" spans="1:42" ht="13.2">
      <c r="A91" s="316" t="s">
        <v>623</v>
      </c>
      <c r="B91" s="324">
        <f>1250</f>
        <v>1250</v>
      </c>
      <c r="C91" s="324"/>
      <c r="D91" s="324"/>
      <c r="E91" s="324"/>
      <c r="F91" s="324"/>
      <c r="G91" s="324"/>
      <c r="H91" s="324">
        <f>60</f>
        <v>60</v>
      </c>
      <c r="I91" s="324"/>
      <c r="J91" s="324"/>
      <c r="K91" s="324"/>
      <c r="L91" s="324"/>
      <c r="M91" s="324"/>
      <c r="N91" s="324"/>
      <c r="O91" s="324"/>
      <c r="P91" s="324"/>
      <c r="Q91" s="324"/>
      <c r="R91" s="324"/>
      <c r="S91" s="324"/>
      <c r="T91" s="324"/>
      <c r="U91" s="324"/>
      <c r="V91" s="324"/>
      <c r="W91" s="324"/>
      <c r="X91" s="324"/>
      <c r="Y91" s="324"/>
      <c r="Z91" s="324"/>
      <c r="AA91" s="324"/>
      <c r="AB91" s="324"/>
      <c r="AC91" s="324"/>
      <c r="AD91" s="324"/>
      <c r="AE91" s="324"/>
      <c r="AF91" s="324"/>
      <c r="AG91" s="324"/>
      <c r="AH91" s="324"/>
      <c r="AI91" s="325">
        <f>IF($AO$2=1,COUNTIF(Interface!$C$22:$C$27,$A91),0)</f>
        <v>0</v>
      </c>
      <c r="AJ91" s="325">
        <f>IF($AO$2=2,COUNTIF(Interface!$C$30:$C$35,$A91),0)</f>
        <v>0</v>
      </c>
      <c r="AK91" s="325"/>
      <c r="AL91" s="325"/>
      <c r="AM91" s="326">
        <f>COUNTIF(Interface!$O$18:$O$23,$A91)</f>
        <v>0</v>
      </c>
      <c r="AN91" s="322" t="e">
        <f ca="1">_xludf.Image("https://ddragon.leagueoflegends.com/cdn/12.22.1/img/item/1058.png")</f>
        <v>#NAME?</v>
      </c>
      <c r="AO91" s="322" t="b">
        <f t="shared" ref="AO91:AO95" si="37">FALSE</f>
        <v>0</v>
      </c>
      <c r="AP91" s="329">
        <f t="shared" si="1"/>
        <v>1.044</v>
      </c>
    </row>
    <row r="92" spans="1:42" ht="13.2">
      <c r="A92" s="316" t="s">
        <v>624</v>
      </c>
      <c r="B92" s="324">
        <f>900</f>
        <v>900</v>
      </c>
      <c r="C92" s="324"/>
      <c r="D92" s="324"/>
      <c r="E92" s="324"/>
      <c r="F92" s="324"/>
      <c r="G92" s="324"/>
      <c r="H92" s="324"/>
      <c r="I92" s="324"/>
      <c r="J92" s="324">
        <f>50</f>
        <v>50</v>
      </c>
      <c r="K92" s="324"/>
      <c r="L92" s="324"/>
      <c r="M92" s="324"/>
      <c r="N92" s="324"/>
      <c r="O92" s="324"/>
      <c r="P92" s="324"/>
      <c r="Q92" s="324"/>
      <c r="R92" s="324"/>
      <c r="S92" s="324"/>
      <c r="T92" s="324"/>
      <c r="U92" s="324"/>
      <c r="V92" s="324"/>
      <c r="W92" s="324"/>
      <c r="X92" s="324"/>
      <c r="Y92" s="324"/>
      <c r="Z92" s="324"/>
      <c r="AA92" s="324"/>
      <c r="AB92" s="324"/>
      <c r="AC92" s="324"/>
      <c r="AD92" s="324"/>
      <c r="AE92" s="324"/>
      <c r="AF92" s="324"/>
      <c r="AG92" s="324"/>
      <c r="AH92" s="324"/>
      <c r="AI92" s="325">
        <f>IF($AO$2=1,COUNTIF(Interface!$C$22:$C$27,$A92),0)</f>
        <v>0</v>
      </c>
      <c r="AJ92" s="325">
        <f>IF($AO$2=2,COUNTIF(Interface!$C$30:$C$35,$A92),0)</f>
        <v>0</v>
      </c>
      <c r="AK92" s="325"/>
      <c r="AL92" s="325"/>
      <c r="AM92" s="326">
        <f>COUNTIF(Interface!$O$18:$O$23,$A92)</f>
        <v>0</v>
      </c>
      <c r="AN92" s="322" t="e">
        <f ca="1">_xludf.Image("https://ddragon.leagueoflegends.com/cdn/12.22.1/img/item/1057.png")</f>
        <v>#NAME?</v>
      </c>
      <c r="AO92" s="322" t="b">
        <f t="shared" si="37"/>
        <v>0</v>
      </c>
      <c r="AP92" s="356">
        <f t="shared" si="1"/>
        <v>1</v>
      </c>
    </row>
    <row r="93" spans="1:42" ht="13.2">
      <c r="A93" s="316" t="s">
        <v>625</v>
      </c>
      <c r="B93" s="324">
        <f>1300</f>
        <v>1300</v>
      </c>
      <c r="C93" s="324"/>
      <c r="D93" s="324"/>
      <c r="E93" s="324"/>
      <c r="F93" s="324"/>
      <c r="G93" s="324">
        <f>30</f>
        <v>30</v>
      </c>
      <c r="H93" s="324"/>
      <c r="I93" s="324"/>
      <c r="J93" s="324"/>
      <c r="K93" s="324">
        <f>15</f>
        <v>15</v>
      </c>
      <c r="L93" s="324"/>
      <c r="M93" s="324"/>
      <c r="N93" s="324"/>
      <c r="O93" s="324"/>
      <c r="P93" s="324"/>
      <c r="Q93" s="324"/>
      <c r="R93" s="324"/>
      <c r="S93" s="324"/>
      <c r="T93" s="324"/>
      <c r="U93" s="324"/>
      <c r="V93" s="324"/>
      <c r="W93" s="324"/>
      <c r="X93" s="324"/>
      <c r="Y93" s="324"/>
      <c r="Z93" s="324"/>
      <c r="AA93" s="324"/>
      <c r="AB93" s="324"/>
      <c r="AC93" s="324"/>
      <c r="AD93" s="324"/>
      <c r="AE93" s="324"/>
      <c r="AF93" s="324"/>
      <c r="AG93" s="324"/>
      <c r="AH93" s="324"/>
      <c r="AI93" s="325">
        <f>IF($AO$2=1,COUNTIF(Interface!$C$22:$C$27,$A93),0)</f>
        <v>0</v>
      </c>
      <c r="AJ93" s="325">
        <f>IF($AO$2=2,COUNTIF(Interface!$C$30:$C$35,$A93),0)</f>
        <v>0</v>
      </c>
      <c r="AK93" s="325"/>
      <c r="AL93" s="325"/>
      <c r="AM93" s="326">
        <f>COUNTIF(Interface!$O$18:$O$23,$A93)</f>
        <v>0</v>
      </c>
      <c r="AN93" s="322" t="e">
        <f ca="1">_xludf.Image("https://ddragon.leagueoflegends.com/cdn/12.22.1/img/item/6670.png")</f>
        <v>#NAME?</v>
      </c>
      <c r="AO93" s="322" t="b">
        <f t="shared" si="37"/>
        <v>0</v>
      </c>
      <c r="AP93" s="329">
        <f t="shared" si="1"/>
        <v>1.0961538461538463</v>
      </c>
    </row>
    <row r="94" spans="1:42" ht="13.2">
      <c r="A94" s="316" t="s">
        <v>626</v>
      </c>
      <c r="B94" s="324">
        <f>450</f>
        <v>450</v>
      </c>
      <c r="C94" s="324"/>
      <c r="D94" s="324"/>
      <c r="E94" s="324"/>
      <c r="F94" s="324"/>
      <c r="G94" s="324"/>
      <c r="H94" s="324"/>
      <c r="I94" s="324"/>
      <c r="J94" s="324">
        <f>25</f>
        <v>25</v>
      </c>
      <c r="K94" s="324"/>
      <c r="L94" s="324"/>
      <c r="M94" s="324"/>
      <c r="N94" s="324"/>
      <c r="O94" s="324"/>
      <c r="P94" s="324"/>
      <c r="Q94" s="324"/>
      <c r="R94" s="324"/>
      <c r="S94" s="324"/>
      <c r="T94" s="324"/>
      <c r="U94" s="324"/>
      <c r="V94" s="324"/>
      <c r="W94" s="324"/>
      <c r="X94" s="324"/>
      <c r="Y94" s="324"/>
      <c r="Z94" s="324"/>
      <c r="AA94" s="324"/>
      <c r="AB94" s="324"/>
      <c r="AC94" s="324"/>
      <c r="AD94" s="324"/>
      <c r="AE94" s="324"/>
      <c r="AF94" s="324"/>
      <c r="AG94" s="324"/>
      <c r="AH94" s="324"/>
      <c r="AI94" s="325">
        <f>IF($AO$2=1,COUNTIF(Interface!$C$22:$C$27,$A94),0)</f>
        <v>0</v>
      </c>
      <c r="AJ94" s="325">
        <f>IF($AO$2=2,COUNTIF(Interface!$C$30:$C$35,$A94),0)</f>
        <v>0</v>
      </c>
      <c r="AK94" s="325"/>
      <c r="AL94" s="325"/>
      <c r="AM94" s="326">
        <f>COUNTIF(Interface!$O$18:$O$23,$A94)</f>
        <v>0</v>
      </c>
      <c r="AN94" s="322" t="e">
        <f ca="1">_xludf.Image("https://ddragon.leagueoflegends.com/cdn/12.22.1/img/item/1033.png")</f>
        <v>#NAME?</v>
      </c>
      <c r="AO94" s="322" t="b">
        <f t="shared" si="37"/>
        <v>0</v>
      </c>
      <c r="AP94" s="355">
        <f t="shared" si="1"/>
        <v>1</v>
      </c>
    </row>
    <row r="95" spans="1:42" ht="13.2">
      <c r="A95" s="316" t="s">
        <v>627</v>
      </c>
      <c r="B95" s="324">
        <f>800</f>
        <v>800</v>
      </c>
      <c r="C95" s="324"/>
      <c r="D95" s="324"/>
      <c r="E95" s="324"/>
      <c r="F95" s="324"/>
      <c r="G95" s="324"/>
      <c r="H95" s="324">
        <f>30</f>
        <v>30</v>
      </c>
      <c r="I95" s="324"/>
      <c r="J95" s="324"/>
      <c r="K95" s="324"/>
      <c r="L95" s="324"/>
      <c r="M95" s="324"/>
      <c r="N95" s="324"/>
      <c r="O95" s="324"/>
      <c r="P95" s="324"/>
      <c r="Q95" s="324"/>
      <c r="R95" s="324"/>
      <c r="S95" s="324"/>
      <c r="T95" s="324"/>
      <c r="U95" s="324"/>
      <c r="V95" s="324"/>
      <c r="W95" s="324"/>
      <c r="X95" s="324"/>
      <c r="Y95" s="324"/>
      <c r="Z95" s="324"/>
      <c r="AA95" s="324"/>
      <c r="AB95" s="324"/>
      <c r="AC95" s="324"/>
      <c r="AD95" s="324"/>
      <c r="AE95" s="324"/>
      <c r="AF95" s="324"/>
      <c r="AG95" s="324"/>
      <c r="AH95" s="324"/>
      <c r="AI95" s="325">
        <f>IF($AO$2=1,COUNTIF(Interface!$C$22:$C$27,$A95),0)</f>
        <v>0</v>
      </c>
      <c r="AJ95" s="325">
        <f>IF($AO$2=2,COUNTIF(Interface!$C$30:$C$35,$A95),0)</f>
        <v>0</v>
      </c>
      <c r="AK95" s="325"/>
      <c r="AL95" s="325"/>
      <c r="AM95" s="326">
        <f>COUNTIF(Interface!$O$18:$O$23,$A95)</f>
        <v>0</v>
      </c>
      <c r="AN95" s="322" t="e">
        <f ca="1">_xludf.Image("https://ddragon.leagueoflegends.com/cdn/12.22.1/img/item/3916.png")</f>
        <v>#NAME?</v>
      </c>
      <c r="AO95" s="322" t="b">
        <f t="shared" si="37"/>
        <v>0</v>
      </c>
      <c r="AP95" s="357">
        <f t="shared" si="1"/>
        <v>0.81562500000000004</v>
      </c>
    </row>
    <row r="96" spans="1:42" ht="13.2">
      <c r="A96" s="316" t="s">
        <v>628</v>
      </c>
      <c r="B96" s="324">
        <f>400</f>
        <v>400</v>
      </c>
      <c r="C96" s="324">
        <f>25</f>
        <v>25</v>
      </c>
      <c r="D96" s="324">
        <f>1</f>
        <v>1</v>
      </c>
      <c r="E96" s="324"/>
      <c r="F96" s="324"/>
      <c r="G96" s="324">
        <f t="shared" ref="G96:G97" si="38">15</f>
        <v>15</v>
      </c>
      <c r="H96" s="324"/>
      <c r="I96" s="324"/>
      <c r="J96" s="324"/>
      <c r="K96" s="324"/>
      <c r="L96" s="324"/>
      <c r="M96" s="324"/>
      <c r="N96" s="324"/>
      <c r="O96" s="324"/>
      <c r="P96" s="324"/>
      <c r="Q96" s="324"/>
      <c r="R96" s="324"/>
      <c r="S96" s="324"/>
      <c r="T96" s="324"/>
      <c r="U96" s="324"/>
      <c r="V96" s="324"/>
      <c r="W96" s="324"/>
      <c r="X96" s="324"/>
      <c r="Y96" s="324"/>
      <c r="Z96" s="324"/>
      <c r="AA96" s="324"/>
      <c r="AB96" s="324"/>
      <c r="AC96" s="324"/>
      <c r="AD96" s="324"/>
      <c r="AE96" s="324"/>
      <c r="AF96" s="324"/>
      <c r="AG96" s="324"/>
      <c r="AH96" s="324"/>
      <c r="AI96" s="325">
        <f>IF($AO$2=1,COUNTIF(Interface!$C$22:$C$27,$A96),0)</f>
        <v>0</v>
      </c>
      <c r="AJ96" s="325">
        <f>IF($AO$2=2,COUNTIF(Interface!$C$30:$C$35,$A96),0)</f>
        <v>0</v>
      </c>
      <c r="AK96" s="325"/>
      <c r="AL96" s="325"/>
      <c r="AM96" s="326">
        <f>COUNTIF(Interface!$O$18:$O$23,$A96)</f>
        <v>0</v>
      </c>
      <c r="AN96" s="322" t="e">
        <f ca="1">_xludf.Image("https://ddragon.leagueoflegends.com/cdn/12.22.1/img/item/3857.png")</f>
        <v>#NAME?</v>
      </c>
      <c r="AO96" s="322" t="b">
        <f>TRUE</f>
        <v>1</v>
      </c>
      <c r="AP96" s="329">
        <f t="shared" si="1"/>
        <v>2.2293750000000001</v>
      </c>
    </row>
    <row r="97" spans="1:42" ht="13.2">
      <c r="A97" s="316" t="s">
        <v>629</v>
      </c>
      <c r="B97" s="324">
        <f>1100</f>
        <v>1100</v>
      </c>
      <c r="C97" s="324">
        <f>200</f>
        <v>200</v>
      </c>
      <c r="D97" s="324"/>
      <c r="E97" s="324"/>
      <c r="F97" s="324"/>
      <c r="G97" s="324">
        <f t="shared" si="38"/>
        <v>15</v>
      </c>
      <c r="H97" s="324"/>
      <c r="I97" s="324"/>
      <c r="J97" s="324"/>
      <c r="K97" s="324"/>
      <c r="L97" s="324"/>
      <c r="M97" s="324"/>
      <c r="N97" s="324"/>
      <c r="O97" s="324"/>
      <c r="P97" s="324"/>
      <c r="Q97" s="324"/>
      <c r="R97" s="324"/>
      <c r="S97" s="324"/>
      <c r="T97" s="324"/>
      <c r="U97" s="324"/>
      <c r="V97" s="324"/>
      <c r="W97" s="324"/>
      <c r="X97" s="324"/>
      <c r="Y97" s="324"/>
      <c r="Z97" s="324"/>
      <c r="AA97" s="324"/>
      <c r="AB97" s="324"/>
      <c r="AC97" s="324"/>
      <c r="AD97" s="324"/>
      <c r="AE97" s="324"/>
      <c r="AF97" s="324"/>
      <c r="AG97" s="324"/>
      <c r="AH97" s="324"/>
      <c r="AI97" s="325">
        <f>IF($AO$2=1,COUNTIF(Interface!$C$22:$C$27,$A97),0)</f>
        <v>0</v>
      </c>
      <c r="AJ97" s="325">
        <f>IF($AO$2=2,COUNTIF(Interface!$C$30:$C$35,$A97),0)</f>
        <v>0</v>
      </c>
      <c r="AK97" s="325"/>
      <c r="AL97" s="325"/>
      <c r="AM97" s="326">
        <f>COUNTIF(Interface!$O$18:$O$23,$A97)</f>
        <v>0</v>
      </c>
      <c r="AN97" s="322" t="e">
        <f ca="1">_xludf.Image("https://ddragon.leagueoflegends.com/cdn/12.22.1/img/item/3044.png")</f>
        <v>#NAME?</v>
      </c>
      <c r="AO97" s="322" t="b">
        <f>FALSE</f>
        <v>0</v>
      </c>
      <c r="AP97" s="358">
        <f t="shared" si="1"/>
        <v>0.96272727272727276</v>
      </c>
    </row>
    <row r="98" spans="1:42" ht="13.2">
      <c r="A98" s="316" t="s">
        <v>630</v>
      </c>
      <c r="B98" s="324">
        <f>2800</f>
        <v>2800</v>
      </c>
      <c r="C98" s="324"/>
      <c r="D98" s="324"/>
      <c r="E98" s="324"/>
      <c r="F98" s="324"/>
      <c r="G98" s="324">
        <f>20</f>
        <v>20</v>
      </c>
      <c r="H98" s="324"/>
      <c r="I98" s="324"/>
      <c r="J98" s="324"/>
      <c r="K98" s="324">
        <f>IF(Steroid_Items, 65, 35)</f>
        <v>35</v>
      </c>
      <c r="L98" s="324">
        <f>20</f>
        <v>20</v>
      </c>
      <c r="M98" s="324"/>
      <c r="N98" s="324"/>
      <c r="O98" s="324"/>
      <c r="P98" s="324"/>
      <c r="Q98" s="324"/>
      <c r="R98" s="324">
        <f>IF(Steroid_Items, 14, 7)</f>
        <v>7</v>
      </c>
      <c r="S98" s="324"/>
      <c r="T98" s="324"/>
      <c r="U98" s="324"/>
      <c r="V98" s="324"/>
      <c r="W98" s="324"/>
      <c r="X98" s="324"/>
      <c r="Y98" s="324"/>
      <c r="Z98" s="324"/>
      <c r="AA98" s="324"/>
      <c r="AB98" s="324"/>
      <c r="AC98" s="324"/>
      <c r="AD98" s="324"/>
      <c r="AE98" s="324"/>
      <c r="AF98" s="324"/>
      <c r="AG98" s="324"/>
      <c r="AH98" s="324"/>
      <c r="AI98" s="325">
        <f>IF($AO$2=1,COUNTIF(Interface!$C$22:$C$27,$A98),0)</f>
        <v>0</v>
      </c>
      <c r="AJ98" s="325">
        <f>IF($AO$2=2,COUNTIF(Interface!$C$30:$C$35,$A98),0)</f>
        <v>0</v>
      </c>
      <c r="AK98" s="325"/>
      <c r="AL98" s="325"/>
      <c r="AM98" s="326">
        <f>COUNTIF(Interface!$O$18:$O$23,$A98)</f>
        <v>0</v>
      </c>
      <c r="AN98" s="322" t="e">
        <f ca="1">_xludf.Image("https://ddragon.leagueoflegends.com/cdn/12.22.1/img/item/3046.png")</f>
        <v>#NAME?</v>
      </c>
      <c r="AO98" s="322" t="b">
        <f>TRUE</f>
        <v>1</v>
      </c>
      <c r="AP98" s="359">
        <f t="shared" si="1"/>
        <v>0.9469642857142857</v>
      </c>
    </row>
    <row r="99" spans="1:42" ht="13.2">
      <c r="A99" s="316" t="s">
        <v>631</v>
      </c>
      <c r="B99" s="324">
        <f>875</f>
        <v>875</v>
      </c>
      <c r="C99" s="324"/>
      <c r="D99" s="324"/>
      <c r="E99" s="324"/>
      <c r="F99" s="324"/>
      <c r="G99" s="324">
        <f>25</f>
        <v>25</v>
      </c>
      <c r="H99" s="324"/>
      <c r="I99" s="324"/>
      <c r="J99" s="324"/>
      <c r="K99" s="324"/>
      <c r="L99" s="324"/>
      <c r="M99" s="324"/>
      <c r="N99" s="324"/>
      <c r="O99" s="324"/>
      <c r="P99" s="324"/>
      <c r="Q99" s="324"/>
      <c r="R99" s="324"/>
      <c r="S99" s="324"/>
      <c r="T99" s="324"/>
      <c r="U99" s="324"/>
      <c r="V99" s="324"/>
      <c r="W99" s="324"/>
      <c r="X99" s="324"/>
      <c r="Y99" s="324"/>
      <c r="Z99" s="324"/>
      <c r="AA99" s="324"/>
      <c r="AB99" s="324"/>
      <c r="AC99" s="324"/>
      <c r="AD99" s="324"/>
      <c r="AE99" s="324"/>
      <c r="AF99" s="324"/>
      <c r="AG99" s="324"/>
      <c r="AH99" s="324"/>
      <c r="AI99" s="325">
        <f>IF($AO$2=1,COUNTIF(Interface!$C$22:$C$27,$A99),0)</f>
        <v>0</v>
      </c>
      <c r="AJ99" s="325">
        <f>IF($AO$2=2,COUNTIF(Interface!$C$30:$C$35,$A99),0)</f>
        <v>0</v>
      </c>
      <c r="AK99" s="325"/>
      <c r="AL99" s="325"/>
      <c r="AM99" s="326">
        <f>COUNTIF(Interface!$O$18:$O$23,$A99)</f>
        <v>0</v>
      </c>
      <c r="AN99" s="322" t="e">
        <f ca="1">_xludf.Image("https://ddragon.leagueoflegends.com/cdn/12.22.1/img/item/1037.png")</f>
        <v>#NAME?</v>
      </c>
      <c r="AO99" s="322" t="b">
        <f t="shared" ref="AO99:AO100" si="39">FALSE</f>
        <v>0</v>
      </c>
      <c r="AP99" s="332">
        <f t="shared" si="1"/>
        <v>1</v>
      </c>
    </row>
    <row r="100" spans="1:42" ht="13.2">
      <c r="A100" s="316" t="s">
        <v>632</v>
      </c>
      <c r="B100" s="324">
        <f>1100</f>
        <v>1100</v>
      </c>
      <c r="C100" s="324"/>
      <c r="D100" s="324"/>
      <c r="E100" s="324"/>
      <c r="F100" s="324"/>
      <c r="G100" s="324"/>
      <c r="H100" s="324"/>
      <c r="I100" s="324">
        <f>20</f>
        <v>20</v>
      </c>
      <c r="J100" s="324"/>
      <c r="K100" s="324"/>
      <c r="L100" s="324"/>
      <c r="M100" s="324"/>
      <c r="N100" s="324"/>
      <c r="O100" s="324"/>
      <c r="P100" s="324"/>
      <c r="Q100" s="324">
        <f>45</f>
        <v>45</v>
      </c>
      <c r="R100" s="324"/>
      <c r="S100" s="324"/>
      <c r="T100" s="324"/>
      <c r="U100" s="324"/>
      <c r="V100" s="324"/>
      <c r="W100" s="324"/>
      <c r="X100" s="324"/>
      <c r="Y100" s="324"/>
      <c r="Z100" s="324"/>
      <c r="AA100" s="324"/>
      <c r="AB100" s="324"/>
      <c r="AC100" s="324"/>
      <c r="AD100" s="324"/>
      <c r="AE100" s="324"/>
      <c r="AF100" s="324"/>
      <c r="AG100" s="324"/>
      <c r="AH100" s="324"/>
      <c r="AI100" s="325">
        <f>IF($AO$2=1,COUNTIF(Interface!$C$22:$C$27,$A100),0)</f>
        <v>0</v>
      </c>
      <c r="AJ100" s="325">
        <f>IF($AO$2=2,COUNTIF(Interface!$C$30:$C$35,$A100),0)</f>
        <v>0</v>
      </c>
      <c r="AK100" s="325"/>
      <c r="AL100" s="325"/>
      <c r="AM100" s="326">
        <f>COUNTIF(Interface!$O$18:$O$23,$A100)</f>
        <v>0</v>
      </c>
      <c r="AN100" s="322" t="e">
        <f ca="1">_xludf.Image("https://ddragon.leagueoflegends.com/cdn/12.22.1/img/item/3047.png")</f>
        <v>#NAME?</v>
      </c>
      <c r="AO100" s="322" t="b">
        <f t="shared" si="39"/>
        <v>0</v>
      </c>
      <c r="AP100" s="350">
        <f t="shared" si="1"/>
        <v>0.8545454545454545</v>
      </c>
    </row>
    <row r="101" spans="1:42" ht="13.2">
      <c r="A101" s="316" t="s">
        <v>633</v>
      </c>
      <c r="B101" s="324">
        <f>3000</f>
        <v>3000</v>
      </c>
      <c r="C101" s="324"/>
      <c r="D101" s="324"/>
      <c r="E101" s="324"/>
      <c r="F101" s="324"/>
      <c r="G101" s="324">
        <f>55</f>
        <v>55</v>
      </c>
      <c r="H101" s="324"/>
      <c r="I101" s="324"/>
      <c r="J101" s="324"/>
      <c r="K101" s="324"/>
      <c r="L101" s="324"/>
      <c r="M101" s="324">
        <f>15</f>
        <v>15</v>
      </c>
      <c r="N101" s="324"/>
      <c r="O101" s="324">
        <f>15</f>
        <v>15</v>
      </c>
      <c r="P101" s="324"/>
      <c r="Q101" s="324"/>
      <c r="R101" s="324"/>
      <c r="S101" s="324"/>
      <c r="T101" s="324"/>
      <c r="U101" s="324"/>
      <c r="V101" s="324"/>
      <c r="W101" s="324"/>
      <c r="X101" s="324"/>
      <c r="Y101" s="324"/>
      <c r="Z101" s="324"/>
      <c r="AA101" s="324"/>
      <c r="AB101" s="324"/>
      <c r="AC101" s="324"/>
      <c r="AD101" s="324"/>
      <c r="AE101" s="324">
        <f>IF(VLOOKUP(Name,Champs!A2:AE200,31,FALSE), 85 + 0.45 * Self_BoAD, 65 + 0.3 * Self_BoAD)</f>
        <v>85</v>
      </c>
      <c r="AF101" s="324"/>
      <c r="AG101" s="324"/>
      <c r="AH101" s="324"/>
      <c r="AI101" s="325">
        <f>IF($AO$2=1,COUNTIF(Interface!$C$22:$C$27,$A101),0)</f>
        <v>0</v>
      </c>
      <c r="AJ101" s="325">
        <f>IF($AO$2=2,COUNTIF(Interface!$C$30:$C$35,$A101),0)</f>
        <v>0</v>
      </c>
      <c r="AK101" s="325"/>
      <c r="AL101" s="325"/>
      <c r="AM101" s="326">
        <f>COUNTIF(Interface!$O$18:$O$23,$A101)</f>
        <v>0</v>
      </c>
      <c r="AN101" s="322" t="e">
        <f ca="1">_xludf.Image("https://ddragon.leagueoflegends.com/cdn/12.22.1/img/item/6693.png")</f>
        <v>#NAME?</v>
      </c>
      <c r="AO101" s="322" t="b">
        <f>TRUE</f>
        <v>1</v>
      </c>
      <c r="AP101" s="360">
        <f t="shared" si="1"/>
        <v>0.80001666666666671</v>
      </c>
    </row>
    <row r="102" spans="1:42" ht="13.2">
      <c r="A102" s="316" t="s">
        <v>634</v>
      </c>
      <c r="B102" s="324">
        <f>1300</f>
        <v>1300</v>
      </c>
      <c r="C102" s="324"/>
      <c r="D102" s="324"/>
      <c r="E102" s="324"/>
      <c r="F102" s="324"/>
      <c r="G102" s="324"/>
      <c r="H102" s="324"/>
      <c r="I102" s="324"/>
      <c r="J102" s="324">
        <f>30</f>
        <v>30</v>
      </c>
      <c r="K102" s="324"/>
      <c r="L102" s="324"/>
      <c r="M102" s="324"/>
      <c r="N102" s="324"/>
      <c r="O102" s="324"/>
      <c r="P102" s="324"/>
      <c r="Q102" s="324"/>
      <c r="R102" s="324"/>
      <c r="S102" s="324"/>
      <c r="T102" s="324"/>
      <c r="U102" s="324"/>
      <c r="V102" s="324"/>
      <c r="W102" s="324"/>
      <c r="X102" s="324"/>
      <c r="Y102" s="324"/>
      <c r="Z102" s="324"/>
      <c r="AA102" s="324"/>
      <c r="AB102" s="324"/>
      <c r="AC102" s="324"/>
      <c r="AD102" s="324"/>
      <c r="AE102" s="324"/>
      <c r="AF102" s="324"/>
      <c r="AG102" s="324"/>
      <c r="AH102" s="324"/>
      <c r="AI102" s="325">
        <f>IF($AO$2=1,COUNTIF(Interface!$C$22:$C$27,$A102),0)</f>
        <v>0</v>
      </c>
      <c r="AJ102" s="325">
        <f>IF($AO$2=2,COUNTIF(Interface!$C$30:$C$35,$A102),0)</f>
        <v>0</v>
      </c>
      <c r="AK102" s="325"/>
      <c r="AL102" s="325"/>
      <c r="AM102" s="326">
        <f>COUNTIF(Interface!$O$18:$O$23,$A102)</f>
        <v>0</v>
      </c>
      <c r="AN102" s="322" t="e">
        <f ca="1">_xludf.Image("https://ddragon.leagueoflegends.com/cdn/12.22.1/img/item/3140.png")</f>
        <v>#NAME?</v>
      </c>
      <c r="AO102" s="322" t="b">
        <f>FALSE</f>
        <v>0</v>
      </c>
      <c r="AP102" s="350">
        <f t="shared" si="1"/>
        <v>0.41538461538461541</v>
      </c>
    </row>
    <row r="103" spans="1:42" ht="13.2">
      <c r="A103" s="316" t="s">
        <v>635</v>
      </c>
      <c r="B103" s="324">
        <f>3600</f>
        <v>3600</v>
      </c>
      <c r="C103" s="324"/>
      <c r="D103" s="324"/>
      <c r="E103" s="324"/>
      <c r="F103" s="324"/>
      <c r="G103" s="324"/>
      <c r="H103" s="324">
        <f>120</f>
        <v>120</v>
      </c>
      <c r="I103" s="324"/>
      <c r="J103" s="324"/>
      <c r="K103" s="324"/>
      <c r="L103" s="324"/>
      <c r="M103" s="324"/>
      <c r="N103" s="324"/>
      <c r="O103" s="324"/>
      <c r="P103" s="324"/>
      <c r="Q103" s="324"/>
      <c r="R103" s="324"/>
      <c r="S103" s="324"/>
      <c r="T103" s="324"/>
      <c r="U103" s="324"/>
      <c r="V103" s="324"/>
      <c r="W103" s="324"/>
      <c r="X103" s="324"/>
      <c r="Y103" s="324"/>
      <c r="Z103" s="324"/>
      <c r="AA103" s="324"/>
      <c r="AB103" s="324"/>
      <c r="AC103" s="324"/>
      <c r="AD103" s="324"/>
      <c r="AE103" s="324"/>
      <c r="AF103" s="324"/>
      <c r="AG103" s="324"/>
      <c r="AH103" s="324"/>
      <c r="AI103" s="325">
        <f>IF($AO$2=1,COUNTIF(Interface!$C$22:$C$27,$A103),0)</f>
        <v>0</v>
      </c>
      <c r="AJ103" s="325">
        <f>IF($AO$2=2,COUNTIF(Interface!$C$30:$C$35,$A103),0)</f>
        <v>0</v>
      </c>
      <c r="AK103" s="325"/>
      <c r="AL103" s="325"/>
      <c r="AM103" s="326">
        <f>COUNTIF(Interface!$O$18:$O$23,$A103)</f>
        <v>0</v>
      </c>
      <c r="AN103" s="322" t="e">
        <f ca="1">_xludf.Image("https://ddragon.leagueoflegends.com/cdn/12.22.1/img/item/3089.png")</f>
        <v>#NAME?</v>
      </c>
      <c r="AO103" s="322" t="b">
        <f>TRUE</f>
        <v>1</v>
      </c>
      <c r="AP103" s="355">
        <f t="shared" si="1"/>
        <v>0.72499999999999998</v>
      </c>
    </row>
    <row r="104" spans="1:42" ht="13.2">
      <c r="A104" s="316" t="s">
        <v>636</v>
      </c>
      <c r="B104" s="324">
        <f>1200</f>
        <v>1200</v>
      </c>
      <c r="C104" s="324"/>
      <c r="D104" s="324"/>
      <c r="E104" s="324"/>
      <c r="F104" s="324"/>
      <c r="G104" s="324"/>
      <c r="H104" s="324"/>
      <c r="I104" s="324"/>
      <c r="J104" s="324"/>
      <c r="K104" s="324">
        <f>25 + IF(Steroid_Items, 15)</f>
        <v>25</v>
      </c>
      <c r="L104" s="324"/>
      <c r="M104" s="324"/>
      <c r="N104" s="324"/>
      <c r="O104" s="324"/>
      <c r="P104" s="324"/>
      <c r="Q104" s="324"/>
      <c r="R104" s="324"/>
      <c r="S104" s="324"/>
      <c r="T104" s="324"/>
      <c r="U104" s="324">
        <f>20</f>
        <v>20</v>
      </c>
      <c r="V104" s="324"/>
      <c r="W104" s="324"/>
      <c r="X104" s="324"/>
      <c r="Y104" s="324"/>
      <c r="Z104" s="324"/>
      <c r="AA104" s="324"/>
      <c r="AB104" s="324"/>
      <c r="AC104" s="324"/>
      <c r="AD104" s="324"/>
      <c r="AE104" s="324"/>
      <c r="AF104" s="324"/>
      <c r="AG104" s="324"/>
      <c r="AH104" s="324"/>
      <c r="AI104" s="325">
        <f>IF($AO$2=1,COUNTIF(Interface!$C$22:$C$27,$A104),0)</f>
        <v>0</v>
      </c>
      <c r="AJ104" s="325">
        <f>IF($AO$2=2,COUNTIF(Interface!$C$30:$C$35,$A104),0)</f>
        <v>0</v>
      </c>
      <c r="AK104" s="325"/>
      <c r="AL104" s="325"/>
      <c r="AM104" s="326">
        <f>COUNTIF(Interface!$O$18:$O$23,$A104)</f>
        <v>0</v>
      </c>
      <c r="AN104" s="322" t="e">
        <f ca="1">_xludf.Image("https://ddragon.leagueoflegends.com/cdn/12.22.1/img/item/6677.png")</f>
        <v>#NAME?</v>
      </c>
      <c r="AO104" s="322" t="b">
        <f>FALSE</f>
        <v>0</v>
      </c>
      <c r="AP104" s="329">
        <f t="shared" si="1"/>
        <v>0.9375</v>
      </c>
    </row>
    <row r="105" spans="1:42" ht="13.2">
      <c r="A105" s="316" t="s">
        <v>637</v>
      </c>
      <c r="B105" s="324">
        <f t="shared" ref="B105:B106" si="40">3000</f>
        <v>3000</v>
      </c>
      <c r="C105" s="324">
        <f>400</f>
        <v>400</v>
      </c>
      <c r="D105" s="324"/>
      <c r="E105" s="324"/>
      <c r="F105" s="324"/>
      <c r="G105" s="324"/>
      <c r="H105" s="324"/>
      <c r="I105" s="324">
        <f>60</f>
        <v>60</v>
      </c>
      <c r="J105" s="324"/>
      <c r="K105" s="324"/>
      <c r="L105" s="324"/>
      <c r="M105" s="324"/>
      <c r="N105" s="324"/>
      <c r="O105" s="324"/>
      <c r="P105" s="324"/>
      <c r="Q105" s="324"/>
      <c r="R105" s="324"/>
      <c r="S105" s="324"/>
      <c r="T105" s="324"/>
      <c r="U105" s="324"/>
      <c r="V105" s="324"/>
      <c r="W105" s="324"/>
      <c r="X105" s="324"/>
      <c r="Y105" s="324"/>
      <c r="Z105" s="324"/>
      <c r="AA105" s="324"/>
      <c r="AB105" s="324"/>
      <c r="AC105" s="324"/>
      <c r="AD105" s="324"/>
      <c r="AE105" s="324"/>
      <c r="AF105" s="324"/>
      <c r="AG105" s="324"/>
      <c r="AH105" s="324"/>
      <c r="AI105" s="325">
        <f>IF($AO$2=1,COUNTIF(Interface!$C$22:$C$27,$A105),0)</f>
        <v>0</v>
      </c>
      <c r="AJ105" s="325">
        <f>IF($AO$2=2,COUNTIF(Interface!$C$30:$C$35,$A105),0)</f>
        <v>0</v>
      </c>
      <c r="AK105" s="325"/>
      <c r="AL105" s="325"/>
      <c r="AM105" s="326">
        <f>COUNTIF(Interface!$O$18:$O$23,$A105)</f>
        <v>0</v>
      </c>
      <c r="AN105" s="322" t="e">
        <f ca="1">_xludf.Image("https://ddragon.leagueoflegends.com/cdn/12.22.1/img/item/3143.png")</f>
        <v>#NAME?</v>
      </c>
      <c r="AO105" s="322" t="b">
        <f t="shared" ref="AO105:AO107" si="41">TRUE</f>
        <v>1</v>
      </c>
      <c r="AP105" s="329">
        <f t="shared" si="1"/>
        <v>0.75600000000000001</v>
      </c>
    </row>
    <row r="106" spans="1:42" ht="13.2">
      <c r="A106" s="316" t="s">
        <v>638</v>
      </c>
      <c r="B106" s="324">
        <f t="shared" si="40"/>
        <v>3000</v>
      </c>
      <c r="C106" s="324"/>
      <c r="D106" s="324"/>
      <c r="E106" s="324"/>
      <c r="F106" s="324"/>
      <c r="G106" s="324">
        <f>30</f>
        <v>30</v>
      </c>
      <c r="H106" s="324"/>
      <c r="I106" s="324"/>
      <c r="J106" s="324"/>
      <c r="K106" s="324">
        <f>15</f>
        <v>15</v>
      </c>
      <c r="L106" s="324">
        <f>20</f>
        <v>20</v>
      </c>
      <c r="M106" s="324"/>
      <c r="N106" s="324"/>
      <c r="O106" s="324"/>
      <c r="P106" s="324"/>
      <c r="Q106" s="324"/>
      <c r="R106" s="324">
        <f>7</f>
        <v>7</v>
      </c>
      <c r="S106" s="324"/>
      <c r="T106" s="324"/>
      <c r="U106" s="324"/>
      <c r="V106" s="324">
        <f>60</f>
        <v>60</v>
      </c>
      <c r="W106" s="324"/>
      <c r="X106" s="324"/>
      <c r="Y106" s="324"/>
      <c r="Z106" s="324"/>
      <c r="AA106" s="324"/>
      <c r="AB106" s="324"/>
      <c r="AC106" s="324"/>
      <c r="AD106" s="324"/>
      <c r="AE106" s="324"/>
      <c r="AF106" s="324"/>
      <c r="AG106" s="324"/>
      <c r="AH106" s="324"/>
      <c r="AI106" s="325">
        <f>IF($AO$2=1,COUNTIF(Interface!$C$22:$C$27,$A106),0)</f>
        <v>0</v>
      </c>
      <c r="AJ106" s="325">
        <f>IF($AO$2=2,COUNTIF(Interface!$C$30:$C$35,$A106),0)</f>
        <v>0</v>
      </c>
      <c r="AK106" s="325"/>
      <c r="AL106" s="325"/>
      <c r="AM106" s="326">
        <f>COUNTIF(Interface!$O$18:$O$23,$A106)</f>
        <v>0</v>
      </c>
      <c r="AN106" s="322" t="e">
        <f ca="1">_xludf.Image("https://ddragon.leagueoflegends.com/cdn/12.22.1/img/item/3094.png")</f>
        <v>#NAME?</v>
      </c>
      <c r="AO106" s="322" t="b">
        <f t="shared" si="41"/>
        <v>1</v>
      </c>
      <c r="AP106" s="329">
        <f t="shared" si="1"/>
        <v>0.83383333333333332</v>
      </c>
    </row>
    <row r="107" spans="1:42" ht="13.2">
      <c r="A107" s="316" t="s">
        <v>639</v>
      </c>
      <c r="B107" s="324">
        <f>3400</f>
        <v>3400</v>
      </c>
      <c r="C107" s="324"/>
      <c r="D107" s="324"/>
      <c r="E107" s="324"/>
      <c r="F107" s="324"/>
      <c r="G107" s="324">
        <f>65 + IF(Steroid_Items, 20, 0)</f>
        <v>65</v>
      </c>
      <c r="H107" s="324"/>
      <c r="I107" s="324"/>
      <c r="J107" s="324"/>
      <c r="K107" s="324"/>
      <c r="L107" s="324"/>
      <c r="M107" s="324">
        <f>25</f>
        <v>25</v>
      </c>
      <c r="N107" s="324">
        <f>10</f>
        <v>10</v>
      </c>
      <c r="O107" s="324"/>
      <c r="P107" s="324"/>
      <c r="Q107" s="324"/>
      <c r="R107" s="324"/>
      <c r="S107" s="324"/>
      <c r="T107" s="324"/>
      <c r="U107" s="324"/>
      <c r="V107" s="324"/>
      <c r="W107" s="324"/>
      <c r="X107" s="324"/>
      <c r="Y107" s="324"/>
      <c r="Z107" s="324"/>
      <c r="AA107" s="324"/>
      <c r="AB107" s="324"/>
      <c r="AC107" s="324"/>
      <c r="AD107" s="324"/>
      <c r="AE107" s="324"/>
      <c r="AF107" s="324"/>
      <c r="AG107" s="324"/>
      <c r="AH107" s="324"/>
      <c r="AI107" s="325">
        <f>IF($AO$2=1,COUNTIF(Interface!$C$22:$C$27,$A107),0)</f>
        <v>0</v>
      </c>
      <c r="AJ107" s="325">
        <f>IF($AO$2=2,COUNTIF(Interface!$C$30:$C$35,$A107),0)</f>
        <v>0</v>
      </c>
      <c r="AK107" s="325"/>
      <c r="AL107" s="325"/>
      <c r="AM107" s="326">
        <f>COUNTIF(Interface!$O$18:$O$23,$A107)</f>
        <v>0</v>
      </c>
      <c r="AN107" s="322" t="e">
        <f ca="1">_xludf.Image("https://ddragon.leagueoflegends.com/cdn/12.22.1/img/item/3074.png")</f>
        <v>#NAME?</v>
      </c>
      <c r="AO107" s="322" t="b">
        <f t="shared" si="41"/>
        <v>1</v>
      </c>
      <c r="AP107" s="339">
        <f t="shared" si="1"/>
        <v>0.97551470588235289</v>
      </c>
    </row>
    <row r="108" spans="1:42" ht="13.2">
      <c r="A108" s="316" t="s">
        <v>640</v>
      </c>
      <c r="B108" s="324">
        <f>700</f>
        <v>700</v>
      </c>
      <c r="C108" s="324"/>
      <c r="D108" s="324"/>
      <c r="E108" s="324"/>
      <c r="F108" s="324"/>
      <c r="G108" s="324"/>
      <c r="H108" s="324"/>
      <c r="I108" s="324"/>
      <c r="J108" s="324"/>
      <c r="K108" s="324">
        <f>15</f>
        <v>15</v>
      </c>
      <c r="L108" s="324"/>
      <c r="M108" s="324"/>
      <c r="N108" s="324"/>
      <c r="O108" s="324"/>
      <c r="P108" s="324"/>
      <c r="Q108" s="324"/>
      <c r="R108" s="324"/>
      <c r="S108" s="324"/>
      <c r="T108" s="324"/>
      <c r="U108" s="324">
        <f>15</f>
        <v>15</v>
      </c>
      <c r="V108" s="324"/>
      <c r="W108" s="324"/>
      <c r="X108" s="324"/>
      <c r="Y108" s="324"/>
      <c r="Z108" s="324"/>
      <c r="AA108" s="324"/>
      <c r="AB108" s="324"/>
      <c r="AC108" s="324"/>
      <c r="AD108" s="324"/>
      <c r="AE108" s="324"/>
      <c r="AF108" s="324"/>
      <c r="AG108" s="324"/>
      <c r="AH108" s="324"/>
      <c r="AI108" s="325">
        <f>IF($AO$2=1,COUNTIF(Interface!$C$22:$C$27,$A108),0)</f>
        <v>0</v>
      </c>
      <c r="AJ108" s="325">
        <f>IF($AO$2=2,COUNTIF(Interface!$C$30:$C$35,$A108),0)</f>
        <v>0</v>
      </c>
      <c r="AK108" s="325"/>
      <c r="AL108" s="325"/>
      <c r="AM108" s="326">
        <f>COUNTIF(Interface!$O$18:$O$23,$A108)</f>
        <v>0</v>
      </c>
      <c r="AN108" s="322" t="e">
        <f ca="1">_xludf.Image("https://ddragon.leagueoflegends.com/cdn/12.22.1/img/item/1043.png")</f>
        <v>#NAME?</v>
      </c>
      <c r="AO108" s="322" t="b">
        <f>FALSE</f>
        <v>0</v>
      </c>
      <c r="AP108" s="329">
        <f t="shared" si="1"/>
        <v>1.0714285714285714</v>
      </c>
    </row>
    <row r="109" spans="1:42" ht="13.2">
      <c r="A109" s="316" t="s">
        <v>641</v>
      </c>
      <c r="B109" s="324">
        <f>2300</f>
        <v>2300</v>
      </c>
      <c r="C109" s="324">
        <f>250</f>
        <v>250</v>
      </c>
      <c r="D109" s="324">
        <f>IT_MPR</f>
        <v>0</v>
      </c>
      <c r="E109" s="324"/>
      <c r="F109" s="324">
        <f>1</f>
        <v>1</v>
      </c>
      <c r="G109" s="324"/>
      <c r="H109" s="324"/>
      <c r="I109" s="324"/>
      <c r="J109" s="324"/>
      <c r="K109" s="324"/>
      <c r="L109" s="324"/>
      <c r="M109" s="324">
        <f>15</f>
        <v>15</v>
      </c>
      <c r="N109" s="324"/>
      <c r="O109" s="324"/>
      <c r="P109" s="324"/>
      <c r="Q109" s="324"/>
      <c r="R109" s="324"/>
      <c r="S109" s="324">
        <f>15</f>
        <v>15</v>
      </c>
      <c r="T109" s="324"/>
      <c r="U109" s="324"/>
      <c r="V109" s="324"/>
      <c r="W109" s="324"/>
      <c r="X109" s="324"/>
      <c r="Y109" s="324"/>
      <c r="Z109" s="324"/>
      <c r="AA109" s="324"/>
      <c r="AB109" s="324"/>
      <c r="AC109" s="324"/>
      <c r="AD109" s="324"/>
      <c r="AE109" s="324"/>
      <c r="AF109" s="324"/>
      <c r="AG109" s="324"/>
      <c r="AH109" s="324"/>
      <c r="AI109" s="325">
        <f>IF($AO$2=1,COUNTIF(Interface!$C$22:$C$27,$A109),0)</f>
        <v>0</v>
      </c>
      <c r="AJ109" s="325">
        <f>IF($AO$2=2,COUNTIF(Interface!$C$30:$C$35,$A109),0)</f>
        <v>0</v>
      </c>
      <c r="AK109" s="325"/>
      <c r="AL109" s="325"/>
      <c r="AM109" s="326">
        <f>COUNTIF(Interface!$O$18:$O$23,$A109)</f>
        <v>0</v>
      </c>
      <c r="AN109" s="322" t="e">
        <f ca="1">_xludf.Image("https://ddragon.leagueoflegends.com/cdn/12.22.1/img/item/3107.png")</f>
        <v>#NAME?</v>
      </c>
      <c r="AO109" s="322" t="b">
        <f>TRUE</f>
        <v>1</v>
      </c>
      <c r="AP109" s="361">
        <f t="shared" si="1"/>
        <v>1.0511304347826087</v>
      </c>
    </row>
    <row r="110" spans="1:42" ht="13.2">
      <c r="A110" s="316" t="s">
        <v>642</v>
      </c>
      <c r="B110" s="324">
        <f>300</f>
        <v>300</v>
      </c>
      <c r="C110" s="324"/>
      <c r="D110" s="324">
        <f>1</f>
        <v>1</v>
      </c>
      <c r="E110" s="324"/>
      <c r="F110" s="324"/>
      <c r="G110" s="324"/>
      <c r="H110" s="324"/>
      <c r="I110" s="324"/>
      <c r="J110" s="324"/>
      <c r="K110" s="324"/>
      <c r="L110" s="324"/>
      <c r="M110" s="324"/>
      <c r="N110" s="324"/>
      <c r="O110" s="324"/>
      <c r="P110" s="324"/>
      <c r="Q110" s="324"/>
      <c r="R110" s="324"/>
      <c r="S110" s="324"/>
      <c r="T110" s="324"/>
      <c r="U110" s="324"/>
      <c r="V110" s="324"/>
      <c r="W110" s="324"/>
      <c r="X110" s="324"/>
      <c r="Y110" s="324"/>
      <c r="Z110" s="324"/>
      <c r="AA110" s="324"/>
      <c r="AB110" s="324"/>
      <c r="AC110" s="324"/>
      <c r="AD110" s="324"/>
      <c r="AE110" s="324"/>
      <c r="AF110" s="324"/>
      <c r="AG110" s="324"/>
      <c r="AH110" s="324"/>
      <c r="AI110" s="325">
        <f>IF($AO$2=1,COUNTIF(Interface!$C$22:$C$27,$A110),0)</f>
        <v>0</v>
      </c>
      <c r="AJ110" s="325">
        <f>IF($AO$2=2,COUNTIF(Interface!$C$30:$C$35,$A110),0)</f>
        <v>0</v>
      </c>
      <c r="AK110" s="325"/>
      <c r="AL110" s="325"/>
      <c r="AM110" s="326">
        <f>COUNTIF(Interface!$O$18:$O$23,$A110)</f>
        <v>0</v>
      </c>
      <c r="AN110" s="322" t="e">
        <f ca="1">_xludf.Image("https://ddragon.leagueoflegends.com/cdn/12.22.1/img/item/1006.png")</f>
        <v>#NAME?</v>
      </c>
      <c r="AO110" s="322" t="b">
        <f t="shared" ref="AO110:AO112" si="42">FALSE</f>
        <v>0</v>
      </c>
      <c r="AP110" s="329">
        <f t="shared" si="1"/>
        <v>1</v>
      </c>
    </row>
    <row r="111" spans="1:42" ht="13.2">
      <c r="A111" s="316" t="s">
        <v>643</v>
      </c>
      <c r="B111" s="324">
        <f t="shared" ref="B111:B112" si="43">400</f>
        <v>400</v>
      </c>
      <c r="C111" s="324">
        <f>30</f>
        <v>30</v>
      </c>
      <c r="D111" s="324">
        <f>0.5</f>
        <v>0.5</v>
      </c>
      <c r="E111" s="324"/>
      <c r="F111" s="324"/>
      <c r="G111" s="324"/>
      <c r="H111" s="324">
        <f>5</f>
        <v>5</v>
      </c>
      <c r="I111" s="324"/>
      <c r="J111" s="324"/>
      <c r="K111" s="324"/>
      <c r="L111" s="324"/>
      <c r="M111" s="324"/>
      <c r="N111" s="324"/>
      <c r="O111" s="324"/>
      <c r="P111" s="324"/>
      <c r="Q111" s="324"/>
      <c r="R111" s="324"/>
      <c r="S111" s="324"/>
      <c r="T111" s="324"/>
      <c r="U111" s="324"/>
      <c r="V111" s="324"/>
      <c r="W111" s="324"/>
      <c r="X111" s="324"/>
      <c r="Y111" s="324"/>
      <c r="Z111" s="324"/>
      <c r="AA111" s="324"/>
      <c r="AB111" s="324"/>
      <c r="AC111" s="324"/>
      <c r="AD111" s="324"/>
      <c r="AE111" s="324"/>
      <c r="AF111" s="324"/>
      <c r="AG111" s="324"/>
      <c r="AH111" s="324"/>
      <c r="AI111" s="325">
        <f>IF($AO$2=1,COUNTIF(Interface!$C$22:$C$27,$A111),0)</f>
        <v>0</v>
      </c>
      <c r="AJ111" s="325">
        <f>IF($AO$2=2,COUNTIF(Interface!$C$30:$C$35,$A111),0)</f>
        <v>0</v>
      </c>
      <c r="AK111" s="325"/>
      <c r="AL111" s="325"/>
      <c r="AM111" s="326">
        <f>COUNTIF(Interface!$O$18:$O$23,$A111)</f>
        <v>0</v>
      </c>
      <c r="AN111" s="322" t="e">
        <f ca="1">_xludf.Image("https://ddragon.leagueoflegends.com/cdn/12.22.1/img/item/3858.png")</f>
        <v>#NAME?</v>
      </c>
      <c r="AO111" s="322" t="b">
        <f t="shared" si="42"/>
        <v>0</v>
      </c>
      <c r="AP111" s="355">
        <f t="shared" si="1"/>
        <v>0.84712500000000002</v>
      </c>
    </row>
    <row r="112" spans="1:42" ht="13.2">
      <c r="A112" s="316" t="s">
        <v>644</v>
      </c>
      <c r="B112" s="324">
        <f t="shared" si="43"/>
        <v>400</v>
      </c>
      <c r="C112" s="324">
        <f>150</f>
        <v>150</v>
      </c>
      <c r="D112" s="324"/>
      <c r="E112" s="324"/>
      <c r="F112" s="324"/>
      <c r="G112" s="324"/>
      <c r="H112" s="324"/>
      <c r="I112" s="324"/>
      <c r="J112" s="324"/>
      <c r="K112" s="324"/>
      <c r="L112" s="324"/>
      <c r="M112" s="324"/>
      <c r="N112" s="324"/>
      <c r="O112" s="324"/>
      <c r="P112" s="324"/>
      <c r="Q112" s="324"/>
      <c r="R112" s="324"/>
      <c r="S112" s="324"/>
      <c r="T112" s="324"/>
      <c r="U112" s="324"/>
      <c r="V112" s="324"/>
      <c r="W112" s="324"/>
      <c r="X112" s="324"/>
      <c r="Y112" s="324"/>
      <c r="Z112" s="324"/>
      <c r="AA112" s="324"/>
      <c r="AB112" s="324"/>
      <c r="AC112" s="324"/>
      <c r="AD112" s="324"/>
      <c r="AE112" s="324"/>
      <c r="AF112" s="324"/>
      <c r="AG112" s="324"/>
      <c r="AH112" s="324"/>
      <c r="AI112" s="325">
        <f>IF($AO$2=1,COUNTIF(Interface!$C$22:$C$27,$A112),0)</f>
        <v>0</v>
      </c>
      <c r="AJ112" s="325">
        <f>IF($AO$2=2,COUNTIF(Interface!$C$30:$C$35,$A112),0)</f>
        <v>0</v>
      </c>
      <c r="AK112" s="325"/>
      <c r="AL112" s="325"/>
      <c r="AM112" s="326">
        <f>COUNTIF(Interface!$O$18:$O$23,$A112)</f>
        <v>0</v>
      </c>
      <c r="AN112" s="322" t="e">
        <f ca="1">_xludf.Image("https://ddragon.leagueoflegends.com/cdn/12.22.1/img/item/1028.png")</f>
        <v>#NAME?</v>
      </c>
      <c r="AO112" s="322" t="b">
        <f t="shared" si="42"/>
        <v>0</v>
      </c>
      <c r="AP112" s="329">
        <f t="shared" si="1"/>
        <v>1.00125</v>
      </c>
    </row>
    <row r="113" spans="1:42" ht="13.2">
      <c r="A113" s="316" t="s">
        <v>645</v>
      </c>
      <c r="B113" s="324">
        <f>2800</f>
        <v>2800</v>
      </c>
      <c r="C113" s="324"/>
      <c r="D113" s="324"/>
      <c r="E113" s="324"/>
      <c r="F113" s="324"/>
      <c r="G113" s="324"/>
      <c r="H113" s="324"/>
      <c r="I113" s="324"/>
      <c r="J113" s="324"/>
      <c r="K113" s="324">
        <f>40</f>
        <v>40</v>
      </c>
      <c r="L113" s="324">
        <f>20</f>
        <v>20</v>
      </c>
      <c r="M113" s="324"/>
      <c r="N113" s="324"/>
      <c r="O113" s="324"/>
      <c r="P113" s="324"/>
      <c r="Q113" s="324"/>
      <c r="R113" s="324">
        <f>7</f>
        <v>7</v>
      </c>
      <c r="S113" s="324"/>
      <c r="T113" s="324"/>
      <c r="U113" s="324">
        <f>15</f>
        <v>15</v>
      </c>
      <c r="V113" s="324"/>
      <c r="W113" s="324"/>
      <c r="X113" s="324"/>
      <c r="Y113" s="324"/>
      <c r="Z113" s="324"/>
      <c r="AA113" s="324"/>
      <c r="AB113" s="324"/>
      <c r="AC113" s="324"/>
      <c r="AD113" s="324"/>
      <c r="AE113" s="324"/>
      <c r="AF113" s="324"/>
      <c r="AG113" s="324"/>
      <c r="AH113" s="324"/>
      <c r="AI113" s="325">
        <f>IF($AO$2=1,COUNTIF(Interface!$C$22:$C$27,$A113),0)</f>
        <v>0</v>
      </c>
      <c r="AJ113" s="325">
        <f>IF($AO$2=2,COUNTIF(Interface!$C$30:$C$35,$A113),0)</f>
        <v>0</v>
      </c>
      <c r="AK113" s="325"/>
      <c r="AL113" s="325"/>
      <c r="AM113" s="326">
        <f>COUNTIF(Interface!$O$18:$O$23,$A113)</f>
        <v>0</v>
      </c>
      <c r="AN113" s="322" t="e">
        <f ca="1">_xludf.Image("https://ddragon.leagueoflegends.com/cdn/12.22.1/img/item/3085.png")</f>
        <v>#NAME?</v>
      </c>
      <c r="AO113" s="322" t="b">
        <f>TRUE</f>
        <v>1</v>
      </c>
      <c r="AP113" s="329">
        <f t="shared" si="1"/>
        <v>0.87553571428571431</v>
      </c>
    </row>
    <row r="114" spans="1:42" ht="13.2">
      <c r="A114" s="316" t="s">
        <v>646</v>
      </c>
      <c r="B114" s="324">
        <f>400</f>
        <v>400</v>
      </c>
      <c r="C114" s="324">
        <f>100</f>
        <v>100</v>
      </c>
      <c r="D114" s="324">
        <f>0.75</f>
        <v>0.75</v>
      </c>
      <c r="E114" s="324"/>
      <c r="F114" s="324"/>
      <c r="G114" s="324">
        <f>6</f>
        <v>6</v>
      </c>
      <c r="H114" s="324"/>
      <c r="I114" s="324"/>
      <c r="J114" s="324"/>
      <c r="K114" s="324"/>
      <c r="L114" s="324"/>
      <c r="M114" s="324"/>
      <c r="N114" s="324"/>
      <c r="O114" s="324"/>
      <c r="P114" s="324"/>
      <c r="Q114" s="324"/>
      <c r="R114" s="324"/>
      <c r="S114" s="324"/>
      <c r="T114" s="324"/>
      <c r="U114" s="324"/>
      <c r="V114" s="324"/>
      <c r="W114" s="324"/>
      <c r="X114" s="324"/>
      <c r="Y114" s="324"/>
      <c r="Z114" s="324"/>
      <c r="AA114" s="324"/>
      <c r="AB114" s="324"/>
      <c r="AC114" s="324"/>
      <c r="AD114" s="324"/>
      <c r="AE114" s="324"/>
      <c r="AF114" s="324"/>
      <c r="AG114" s="324"/>
      <c r="AH114" s="324"/>
      <c r="AI114" s="325">
        <f>IF($AO$2=1,COUNTIF(Interface!$C$22:$C$27,$A114),0)</f>
        <v>0</v>
      </c>
      <c r="AJ114" s="325">
        <f>IF($AO$2=2,COUNTIF(Interface!$C$30:$C$35,$A114),0)</f>
        <v>0</v>
      </c>
      <c r="AK114" s="325"/>
      <c r="AL114" s="325"/>
      <c r="AM114" s="326">
        <f>COUNTIF(Interface!$O$18:$O$23,$A114)</f>
        <v>0</v>
      </c>
      <c r="AN114" s="322" t="e">
        <f ca="1">_xludf.Image("https://ddragon.leagueoflegends.com/cdn/12.22.1/img/item/3855.png")</f>
        <v>#NAME?</v>
      </c>
      <c r="AO114" s="322" t="b">
        <f>FALSE</f>
        <v>0</v>
      </c>
      <c r="AP114" s="329">
        <f t="shared" si="1"/>
        <v>1.7549999999999999</v>
      </c>
    </row>
    <row r="115" spans="1:42" ht="13.2">
      <c r="A115" s="316" t="s">
        <v>647</v>
      </c>
      <c r="B115" s="324">
        <f>2600</f>
        <v>2600</v>
      </c>
      <c r="C115" s="324">
        <f>400</f>
        <v>400</v>
      </c>
      <c r="D115" s="324"/>
      <c r="E115" s="324"/>
      <c r="F115" s="324"/>
      <c r="G115" s="324"/>
      <c r="H115" s="324">
        <f>75</f>
        <v>75</v>
      </c>
      <c r="I115" s="324"/>
      <c r="J115" s="324"/>
      <c r="K115" s="324"/>
      <c r="L115" s="324"/>
      <c r="M115" s="324"/>
      <c r="N115" s="324"/>
      <c r="O115" s="324"/>
      <c r="P115" s="324"/>
      <c r="Q115" s="324"/>
      <c r="R115" s="324"/>
      <c r="S115" s="324"/>
      <c r="T115" s="324"/>
      <c r="U115" s="324"/>
      <c r="V115" s="324"/>
      <c r="W115" s="324"/>
      <c r="X115" s="324"/>
      <c r="Y115" s="324"/>
      <c r="Z115" s="324"/>
      <c r="AA115" s="324"/>
      <c r="AB115" s="324"/>
      <c r="AC115" s="324"/>
      <c r="AD115" s="324"/>
      <c r="AE115" s="324"/>
      <c r="AF115" s="324"/>
      <c r="AG115" s="324"/>
      <c r="AH115" s="324"/>
      <c r="AI115" s="325">
        <f>IF($AO$2=1,COUNTIF(Interface!$C$22:$C$27,$A115),0)</f>
        <v>0</v>
      </c>
      <c r="AJ115" s="325">
        <f>IF($AO$2=2,COUNTIF(Interface!$C$30:$C$35,$A115),0)</f>
        <v>0</v>
      </c>
      <c r="AK115" s="325"/>
      <c r="AL115" s="325"/>
      <c r="AM115" s="326">
        <f>COUNTIF(Interface!$O$18:$O$23,$A115)</f>
        <v>0</v>
      </c>
      <c r="AN115" s="322" t="e">
        <f ca="1">_xludf.Image("https://ddragon.leagueoflegends.com/cdn/12.22.1/img/item/3116.png")</f>
        <v>#NAME?</v>
      </c>
      <c r="AO115" s="322" t="b">
        <f>TRUE</f>
        <v>1</v>
      </c>
      <c r="AP115" s="362">
        <f t="shared" si="1"/>
        <v>1.038173076923077</v>
      </c>
    </row>
    <row r="116" spans="1:42" ht="13.2">
      <c r="A116" s="316" t="s">
        <v>648</v>
      </c>
      <c r="B116" s="324">
        <f>350</f>
        <v>350</v>
      </c>
      <c r="C116" s="324"/>
      <c r="D116" s="324"/>
      <c r="E116" s="324">
        <f>250</f>
        <v>250</v>
      </c>
      <c r="F116" s="324"/>
      <c r="G116" s="324"/>
      <c r="H116" s="324"/>
      <c r="I116" s="324"/>
      <c r="J116" s="324"/>
      <c r="K116" s="324"/>
      <c r="L116" s="324"/>
      <c r="M116" s="324"/>
      <c r="N116" s="324"/>
      <c r="O116" s="324"/>
      <c r="P116" s="324"/>
      <c r="Q116" s="324"/>
      <c r="R116" s="324"/>
      <c r="S116" s="324"/>
      <c r="T116" s="324"/>
      <c r="U116" s="324"/>
      <c r="V116" s="324"/>
      <c r="W116" s="324"/>
      <c r="X116" s="324"/>
      <c r="Y116" s="324"/>
      <c r="Z116" s="324"/>
      <c r="AA116" s="324"/>
      <c r="AB116" s="324"/>
      <c r="AC116" s="324"/>
      <c r="AD116" s="324"/>
      <c r="AE116" s="324"/>
      <c r="AF116" s="324"/>
      <c r="AG116" s="324"/>
      <c r="AH116" s="324"/>
      <c r="AI116" s="325">
        <f>IF($AO$2=1,COUNTIF(Interface!$C$22:$C$27,$A116),0)</f>
        <v>0</v>
      </c>
      <c r="AJ116" s="325">
        <f>IF($AO$2=2,COUNTIF(Interface!$C$30:$C$35,$A116),0)</f>
        <v>0</v>
      </c>
      <c r="AK116" s="325"/>
      <c r="AL116" s="325"/>
      <c r="AM116" s="326">
        <f>COUNTIF(Interface!$O$18:$O$23,$A116)</f>
        <v>0</v>
      </c>
      <c r="AN116" s="322" t="e">
        <f ca="1">_xludf.Image("https://ddragon.leagueoflegends.com/cdn/12.22.1/img/item/1027.png")</f>
        <v>#NAME?</v>
      </c>
      <c r="AO116" s="322" t="b">
        <f t="shared" ref="AO116:AO117" si="44">FALSE</f>
        <v>0</v>
      </c>
      <c r="AP116" s="329">
        <f t="shared" si="1"/>
        <v>1</v>
      </c>
    </row>
    <row r="117" spans="1:42" ht="13.2">
      <c r="A117" s="316" t="s">
        <v>649</v>
      </c>
      <c r="B117" s="324">
        <f>1000</f>
        <v>1000</v>
      </c>
      <c r="C117" s="324"/>
      <c r="D117" s="324"/>
      <c r="E117" s="324"/>
      <c r="F117" s="324"/>
      <c r="G117" s="324"/>
      <c r="H117" s="324">
        <f t="shared" ref="H117:I117" si="45">30</f>
        <v>30</v>
      </c>
      <c r="I117" s="324">
        <f t="shared" si="45"/>
        <v>30</v>
      </c>
      <c r="J117" s="324"/>
      <c r="K117" s="324"/>
      <c r="L117" s="324"/>
      <c r="M117" s="324"/>
      <c r="N117" s="324"/>
      <c r="O117" s="324"/>
      <c r="P117" s="324"/>
      <c r="Q117" s="324"/>
      <c r="R117" s="324"/>
      <c r="S117" s="324"/>
      <c r="T117" s="324"/>
      <c r="U117" s="324"/>
      <c r="V117" s="324"/>
      <c r="W117" s="324"/>
      <c r="X117" s="324"/>
      <c r="Y117" s="324"/>
      <c r="Z117" s="324"/>
      <c r="AA117" s="324"/>
      <c r="AB117" s="324"/>
      <c r="AC117" s="324"/>
      <c r="AD117" s="324"/>
      <c r="AE117" s="324"/>
      <c r="AF117" s="324"/>
      <c r="AG117" s="324"/>
      <c r="AH117" s="324"/>
      <c r="AI117" s="325">
        <f>IF($AO$2=1,COUNTIF(Interface!$C$22:$C$27,$A117),0)</f>
        <v>0</v>
      </c>
      <c r="AJ117" s="325">
        <f>IF($AO$2=2,COUNTIF(Interface!$C$30:$C$35,$A117),0)</f>
        <v>0</v>
      </c>
      <c r="AK117" s="325"/>
      <c r="AL117" s="325"/>
      <c r="AM117" s="326">
        <f>COUNTIF(Interface!$O$18:$O$23,$A117)</f>
        <v>0</v>
      </c>
      <c r="AN117" s="322" t="e">
        <f ca="1">_xludf.Image("https://ddragon.leagueoflegends.com/cdn/12.22.1/img/item/3191.png")</f>
        <v>#NAME?</v>
      </c>
      <c r="AO117" s="322" t="b">
        <f t="shared" si="44"/>
        <v>0</v>
      </c>
      <c r="AP117" s="339">
        <f t="shared" si="1"/>
        <v>1.2524999999999999</v>
      </c>
    </row>
    <row r="118" spans="1:42" ht="13.2">
      <c r="A118" s="316" t="s">
        <v>650</v>
      </c>
      <c r="B118" s="324">
        <f>3000</f>
        <v>3000</v>
      </c>
      <c r="C118" s="324">
        <f>200</f>
        <v>200</v>
      </c>
      <c r="D118" s="324"/>
      <c r="E118" s="324">
        <f>860</f>
        <v>860</v>
      </c>
      <c r="F118" s="324"/>
      <c r="G118" s="324"/>
      <c r="H118" s="324">
        <f>70</f>
        <v>70</v>
      </c>
      <c r="I118" s="324"/>
      <c r="J118" s="324"/>
      <c r="K118" s="324"/>
      <c r="L118" s="324"/>
      <c r="M118" s="324">
        <f>10</f>
        <v>10</v>
      </c>
      <c r="N118" s="324"/>
      <c r="O118" s="324"/>
      <c r="P118" s="324"/>
      <c r="Q118" s="324"/>
      <c r="R118" s="324"/>
      <c r="S118" s="324"/>
      <c r="T118" s="324"/>
      <c r="U118" s="324"/>
      <c r="V118" s="324"/>
      <c r="W118" s="324"/>
      <c r="X118" s="324"/>
      <c r="Y118" s="324"/>
      <c r="Z118" s="324"/>
      <c r="AA118" s="324"/>
      <c r="AB118" s="324"/>
      <c r="AC118" s="324"/>
      <c r="AD118" s="324"/>
      <c r="AE118" s="324"/>
      <c r="AF118" s="324"/>
      <c r="AG118" s="324"/>
      <c r="AH118" s="324">
        <f>250 + 0.1 * Self_MP</f>
        <v>250</v>
      </c>
      <c r="AI118" s="325">
        <f>IF($AO$2=1,COUNTIF(Interface!$C$22:$C$27,$A118),0)</f>
        <v>0</v>
      </c>
      <c r="AJ118" s="325">
        <f>IF($AO$2=2,COUNTIF(Interface!$C$30:$C$35,$A118),0)</f>
        <v>0</v>
      </c>
      <c r="AK118" s="325"/>
      <c r="AL118" s="325"/>
      <c r="AM118" s="326">
        <f>COUNTIF(Interface!$O$18:$O$23,$A118)</f>
        <v>0</v>
      </c>
      <c r="AN118" s="322" t="e">
        <f ca="1">_xludf.Image("https://ddragon.leagueoflegends.com/cdn/12.22.1/img/item/3040.png")</f>
        <v>#NAME?</v>
      </c>
      <c r="AO118" s="322" t="b">
        <f t="shared" ref="AO118:AO119" si="46">TRUE</f>
        <v>1</v>
      </c>
      <c r="AP118" s="329">
        <f t="shared" si="1"/>
        <v>1.1757333333333333</v>
      </c>
    </row>
    <row r="119" spans="1:42" ht="13.2">
      <c r="A119" s="316" t="s">
        <v>651</v>
      </c>
      <c r="B119" s="324">
        <f>2600</f>
        <v>2600</v>
      </c>
      <c r="C119" s="324"/>
      <c r="D119" s="324"/>
      <c r="E119" s="324"/>
      <c r="F119" s="324"/>
      <c r="G119" s="324">
        <f>55</f>
        <v>55</v>
      </c>
      <c r="H119" s="324"/>
      <c r="I119" s="324"/>
      <c r="J119" s="324"/>
      <c r="K119" s="324"/>
      <c r="L119" s="324"/>
      <c r="M119" s="324"/>
      <c r="N119" s="324"/>
      <c r="O119" s="324">
        <f>12</f>
        <v>12</v>
      </c>
      <c r="P119" s="324"/>
      <c r="Q119" s="324"/>
      <c r="R119" s="324"/>
      <c r="S119" s="324"/>
      <c r="T119" s="324"/>
      <c r="U119" s="324"/>
      <c r="V119" s="324"/>
      <c r="W119" s="324"/>
      <c r="X119" s="324"/>
      <c r="Y119" s="324"/>
      <c r="Z119" s="324"/>
      <c r="AA119" s="324"/>
      <c r="AB119" s="324"/>
      <c r="AC119" s="324"/>
      <c r="AD119" s="324"/>
      <c r="AE119" s="324"/>
      <c r="AF119" s="324"/>
      <c r="AG119" s="324"/>
      <c r="AH119" s="324"/>
      <c r="AI119" s="325">
        <f>IF($AO$2=1,COUNTIF(Interface!$C$22:$C$27,$A119),0)</f>
        <v>0</v>
      </c>
      <c r="AJ119" s="325">
        <f>IF($AO$2=2,COUNTIF(Interface!$C$30:$C$35,$A119),0)</f>
        <v>0</v>
      </c>
      <c r="AK119" s="325"/>
      <c r="AL119" s="325"/>
      <c r="AM119" s="326">
        <f>COUNTIF(Interface!$O$18:$O$23,$A119)</f>
        <v>0</v>
      </c>
      <c r="AN119" s="322" t="e">
        <f ca="1">_xludf.Image("https://ddragon.leagueoflegends.com/cdn/12.22.1/img/item/6695.png")</f>
        <v>#NAME?</v>
      </c>
      <c r="AO119" s="322" t="b">
        <f t="shared" si="46"/>
        <v>1</v>
      </c>
      <c r="AP119" s="329">
        <f t="shared" si="1"/>
        <v>0.76346153846153841</v>
      </c>
    </row>
    <row r="120" spans="1:42" ht="13.2">
      <c r="A120" s="316" t="s">
        <v>652</v>
      </c>
      <c r="B120" s="324">
        <f>1100</f>
        <v>1100</v>
      </c>
      <c r="C120" s="324"/>
      <c r="D120" s="324"/>
      <c r="E120" s="324"/>
      <c r="F120" s="324"/>
      <c r="G120" s="324">
        <f>30</f>
        <v>30</v>
      </c>
      <c r="H120" s="324"/>
      <c r="I120" s="324"/>
      <c r="J120" s="324"/>
      <c r="K120" s="324"/>
      <c r="L120" s="324"/>
      <c r="M120" s="324"/>
      <c r="N120" s="324"/>
      <c r="O120" s="324">
        <f>10</f>
        <v>10</v>
      </c>
      <c r="P120" s="324"/>
      <c r="Q120" s="324"/>
      <c r="R120" s="324"/>
      <c r="S120" s="324"/>
      <c r="T120" s="324"/>
      <c r="U120" s="324"/>
      <c r="V120" s="324"/>
      <c r="W120" s="324"/>
      <c r="X120" s="324"/>
      <c r="Y120" s="324"/>
      <c r="Z120" s="324"/>
      <c r="AA120" s="324"/>
      <c r="AB120" s="324"/>
      <c r="AC120" s="324"/>
      <c r="AD120" s="324"/>
      <c r="AE120" s="324"/>
      <c r="AF120" s="324"/>
      <c r="AG120" s="324"/>
      <c r="AH120" s="324"/>
      <c r="AI120" s="325">
        <f>IF($AO$2=1,COUNTIF(Interface!$C$22:$C$27,$A120),0)</f>
        <v>0</v>
      </c>
      <c r="AJ120" s="325">
        <f>IF($AO$2=2,COUNTIF(Interface!$C$30:$C$35,$A120),0)</f>
        <v>0</v>
      </c>
      <c r="AK120" s="325"/>
      <c r="AL120" s="325"/>
      <c r="AM120" s="326">
        <f>COUNTIF(Interface!$O$18:$O$23,$A120)</f>
        <v>0</v>
      </c>
      <c r="AN120" s="322" t="e">
        <f ca="1">_xludf.Image("https://ddragon.leagueoflegends.com/cdn/12.22.1/img/item/3134.png")</f>
        <v>#NAME?</v>
      </c>
      <c r="AO120" s="322" t="b">
        <f>FALSE</f>
        <v>0</v>
      </c>
      <c r="AP120" s="363">
        <f t="shared" si="1"/>
        <v>1</v>
      </c>
    </row>
    <row r="121" spans="1:42" ht="13.2">
      <c r="A121" s="316" t="s">
        <v>653</v>
      </c>
      <c r="B121" s="324">
        <f>3200</f>
        <v>3200</v>
      </c>
      <c r="C121" s="324"/>
      <c r="D121" s="324"/>
      <c r="E121" s="324"/>
      <c r="F121" s="324"/>
      <c r="G121" s="324">
        <f>45</f>
        <v>45</v>
      </c>
      <c r="H121" s="324"/>
      <c r="I121" s="324"/>
      <c r="J121" s="324"/>
      <c r="K121" s="324"/>
      <c r="L121" s="324"/>
      <c r="M121" s="324">
        <f>20</f>
        <v>20</v>
      </c>
      <c r="N121" s="324"/>
      <c r="O121" s="324"/>
      <c r="P121" s="324"/>
      <c r="Q121" s="324"/>
      <c r="R121" s="324"/>
      <c r="S121" s="324"/>
      <c r="T121" s="324"/>
      <c r="U121" s="324"/>
      <c r="V121" s="324"/>
      <c r="W121" s="324"/>
      <c r="X121" s="324"/>
      <c r="Y121" s="324">
        <f>30</f>
        <v>30</v>
      </c>
      <c r="Z121" s="324"/>
      <c r="AA121" s="324"/>
      <c r="AB121" s="324"/>
      <c r="AC121" s="324"/>
      <c r="AD121" s="324"/>
      <c r="AE121" s="324"/>
      <c r="AF121" s="324"/>
      <c r="AG121" s="324"/>
      <c r="AH121" s="324"/>
      <c r="AI121" s="325">
        <f>IF($AO$2=1,COUNTIF(Interface!$C$22:$C$27,$A121),0)</f>
        <v>0</v>
      </c>
      <c r="AJ121" s="325">
        <f>IF($AO$2=2,COUNTIF(Interface!$C$30:$C$35,$A121),0)</f>
        <v>0</v>
      </c>
      <c r="AK121" s="325"/>
      <c r="AL121" s="325"/>
      <c r="AM121" s="326">
        <f>COUNTIF(Interface!$O$18:$O$23,$A121)</f>
        <v>0</v>
      </c>
      <c r="AN121" s="322" t="e">
        <f ca="1">_xludf.Image("https://ddragon.leagueoflegends.com/cdn/12.22.1/img/item/6694.png")</f>
        <v>#NAME?</v>
      </c>
      <c r="AO121" s="322" t="b">
        <f t="shared" ref="AO121:AO123" si="47">TRUE</f>
        <v>1</v>
      </c>
      <c r="AP121" s="364">
        <f t="shared" si="1"/>
        <v>0.65887499999999999</v>
      </c>
    </row>
    <row r="122" spans="1:42" ht="13.2">
      <c r="A122" s="316" t="s">
        <v>654</v>
      </c>
      <c r="B122" s="324">
        <f>3000</f>
        <v>3000</v>
      </c>
      <c r="C122" s="324">
        <f>200</f>
        <v>200</v>
      </c>
      <c r="D122" s="324"/>
      <c r="E122" s="324"/>
      <c r="F122" s="324"/>
      <c r="G122" s="324"/>
      <c r="H122" s="324">
        <f>100</f>
        <v>100</v>
      </c>
      <c r="I122" s="324"/>
      <c r="J122" s="324"/>
      <c r="K122" s="324"/>
      <c r="L122" s="324"/>
      <c r="M122" s="324"/>
      <c r="N122" s="324"/>
      <c r="O122" s="324"/>
      <c r="P122" s="324">
        <f>10 + 10 * IF(OR(E_CHPV &lt;= 1000, Steroid_Items), 1, IF(E_CHPV &gt;= 2500, 0, 1 - (E_CHPV - 1000) / (1500)))</f>
        <v>20</v>
      </c>
      <c r="Q122" s="324"/>
      <c r="R122" s="324"/>
      <c r="S122" s="324"/>
      <c r="T122" s="324"/>
      <c r="U122" s="324"/>
      <c r="V122" s="324"/>
      <c r="W122" s="324"/>
      <c r="X122" s="324"/>
      <c r="Y122" s="324"/>
      <c r="Z122" s="324"/>
      <c r="AA122" s="324"/>
      <c r="AB122" s="324"/>
      <c r="AC122" s="324"/>
      <c r="AD122" s="324"/>
      <c r="AE122" s="324"/>
      <c r="AF122" s="324"/>
      <c r="AG122" s="324"/>
      <c r="AH122" s="324"/>
      <c r="AI122" s="325">
        <f>IF($AO$2=1,COUNTIF(Interface!$C$22:$C$27,$A122),0)</f>
        <v>0</v>
      </c>
      <c r="AJ122" s="325">
        <f>IF($AO$2=2,COUNTIF(Interface!$C$30:$C$35,$A122),0)</f>
        <v>0</v>
      </c>
      <c r="AK122" s="325"/>
      <c r="AL122" s="325"/>
      <c r="AM122" s="326">
        <f>COUNTIF(Interface!$O$18:$O$23,$A122)</f>
        <v>0</v>
      </c>
      <c r="AN122" s="322" t="e">
        <f ca="1">_xludf.Image("https://ddragon.leagueoflegends.com/cdn/12.22.1/img/item/4645.png")</f>
        <v>#NAME?</v>
      </c>
      <c r="AO122" s="322" t="b">
        <f t="shared" si="47"/>
        <v>1</v>
      </c>
      <c r="AP122" s="352">
        <f t="shared" si="1"/>
        <v>1.1103999999999998</v>
      </c>
    </row>
    <row r="123" spans="1:42" ht="13.2">
      <c r="A123" s="316" t="s">
        <v>655</v>
      </c>
      <c r="B123" s="324">
        <f>400</f>
        <v>400</v>
      </c>
      <c r="C123" s="324">
        <f>75</f>
        <v>75</v>
      </c>
      <c r="D123" s="324"/>
      <c r="E123" s="324"/>
      <c r="F123" s="324">
        <f>1</f>
        <v>1</v>
      </c>
      <c r="G123" s="324"/>
      <c r="H123" s="324">
        <f>40</f>
        <v>40</v>
      </c>
      <c r="I123" s="324"/>
      <c r="J123" s="324"/>
      <c r="K123" s="324"/>
      <c r="L123" s="324"/>
      <c r="M123" s="324"/>
      <c r="N123" s="324"/>
      <c r="O123" s="324"/>
      <c r="P123" s="324"/>
      <c r="Q123" s="324"/>
      <c r="R123" s="324"/>
      <c r="S123" s="324"/>
      <c r="T123" s="324"/>
      <c r="U123" s="324"/>
      <c r="V123" s="324"/>
      <c r="W123" s="324"/>
      <c r="X123" s="324"/>
      <c r="Y123" s="324"/>
      <c r="Z123" s="324"/>
      <c r="AA123" s="324"/>
      <c r="AB123" s="324"/>
      <c r="AC123" s="324"/>
      <c r="AD123" s="324"/>
      <c r="AE123" s="324"/>
      <c r="AF123" s="324"/>
      <c r="AG123" s="324"/>
      <c r="AH123" s="324"/>
      <c r="AI123" s="325">
        <f>IF($AO$2=1,COUNTIF(Interface!$C$22:$C$27,$A123),0)</f>
        <v>0</v>
      </c>
      <c r="AJ123" s="325">
        <f>IF($AO$2=2,COUNTIF(Interface!$C$30:$C$35,$A123),0)</f>
        <v>0</v>
      </c>
      <c r="AK123" s="325"/>
      <c r="AL123" s="325"/>
      <c r="AM123" s="326">
        <f>COUNTIF(Interface!$O$18:$O$23,$A123)</f>
        <v>0</v>
      </c>
      <c r="AN123" s="322" t="e">
        <f ca="1">_xludf.Image("https://ddragon.leagueoflegends.com/cdn/12.22.1/img/item/3853.png")</f>
        <v>#NAME?</v>
      </c>
      <c r="AO123" s="322" t="b">
        <f t="shared" si="47"/>
        <v>1</v>
      </c>
      <c r="AP123" s="356">
        <f t="shared" si="1"/>
        <v>3.9256250000000001</v>
      </c>
    </row>
    <row r="124" spans="1:42" ht="13.2">
      <c r="A124" s="316" t="s">
        <v>656</v>
      </c>
      <c r="B124" s="324">
        <f>700</f>
        <v>700</v>
      </c>
      <c r="C124" s="324"/>
      <c r="D124" s="324"/>
      <c r="E124" s="324"/>
      <c r="F124" s="324"/>
      <c r="G124" s="324"/>
      <c r="H124" s="324"/>
      <c r="I124" s="324"/>
      <c r="J124" s="324"/>
      <c r="K124" s="324"/>
      <c r="L124" s="324"/>
      <c r="M124" s="324"/>
      <c r="N124" s="324"/>
      <c r="O124" s="324"/>
      <c r="P124" s="324"/>
      <c r="Q124" s="324"/>
      <c r="R124" s="324"/>
      <c r="S124" s="324"/>
      <c r="T124" s="324"/>
      <c r="U124" s="324"/>
      <c r="V124" s="324"/>
      <c r="W124" s="324"/>
      <c r="X124" s="324" t="e">
        <f ca="1">Self_BaAD*MOD_Phys</f>
        <v>#NAME?</v>
      </c>
      <c r="Y124" s="324"/>
      <c r="Z124" s="324"/>
      <c r="AA124" s="324"/>
      <c r="AB124" s="324"/>
      <c r="AC124" s="324"/>
      <c r="AD124" s="324"/>
      <c r="AE124" s="324"/>
      <c r="AF124" s="324"/>
      <c r="AG124" s="324"/>
      <c r="AH124" s="324"/>
      <c r="AI124" s="325">
        <f>IF($AO$2=1,COUNTIF(Interface!$C$22:$C$27,$A124),0)</f>
        <v>0</v>
      </c>
      <c r="AJ124" s="325">
        <f>IF($AO$2=2,COUNTIF(Interface!$C$30:$C$35,$A124),0)</f>
        <v>0</v>
      </c>
      <c r="AK124" s="325"/>
      <c r="AL124" s="325"/>
      <c r="AM124" s="326">
        <f>COUNTIF(Interface!$O$18:$O$23,$A124)</f>
        <v>0</v>
      </c>
      <c r="AN124" s="322" t="e">
        <f ca="1">_xludf.Image("https://ddragon.leagueoflegends.com/cdn/12.22.1/img/item/3057.png")</f>
        <v>#NAME?</v>
      </c>
      <c r="AO124" s="322" t="b">
        <f>FALSE</f>
        <v>0</v>
      </c>
      <c r="AP124" s="365">
        <f t="shared" si="1"/>
        <v>0</v>
      </c>
    </row>
    <row r="125" spans="1:42" ht="13.2">
      <c r="A125" s="316" t="s">
        <v>657</v>
      </c>
      <c r="B125" s="324">
        <f>3000</f>
        <v>3000</v>
      </c>
      <c r="C125" s="324">
        <f>300</f>
        <v>300</v>
      </c>
      <c r="D125" s="324"/>
      <c r="E125" s="324"/>
      <c r="F125" s="324"/>
      <c r="G125" s="324">
        <f>40</f>
        <v>40</v>
      </c>
      <c r="H125" s="324"/>
      <c r="I125" s="324"/>
      <c r="J125" s="324">
        <f>40</f>
        <v>40</v>
      </c>
      <c r="K125" s="324"/>
      <c r="L125" s="324"/>
      <c r="M125" s="324"/>
      <c r="N125" s="324"/>
      <c r="O125" s="324"/>
      <c r="P125" s="324"/>
      <c r="Q125" s="324"/>
      <c r="R125" s="324"/>
      <c r="S125" s="324"/>
      <c r="T125" s="324"/>
      <c r="U125" s="324"/>
      <c r="V125" s="324"/>
      <c r="W125" s="324"/>
      <c r="X125" s="324"/>
      <c r="Y125" s="324"/>
      <c r="Z125" s="324"/>
      <c r="AA125" s="324"/>
      <c r="AB125" s="324"/>
      <c r="AC125" s="324"/>
      <c r="AD125" s="324"/>
      <c r="AE125" s="324"/>
      <c r="AF125" s="324"/>
      <c r="AG125" s="324"/>
      <c r="AH125" s="324"/>
      <c r="AI125" s="325">
        <f>IF($AO$2=1,COUNTIF(Interface!$C$22:$C$27,$A125),0)</f>
        <v>0</v>
      </c>
      <c r="AJ125" s="325">
        <f>IF($AO$2=2,COUNTIF(Interface!$C$30:$C$35,$A125),0)</f>
        <v>0</v>
      </c>
      <c r="AK125" s="325"/>
      <c r="AL125" s="325"/>
      <c r="AM125" s="326">
        <f>COUNTIF(Interface!$O$18:$O$23,$A125)</f>
        <v>0</v>
      </c>
      <c r="AN125" s="322" t="e">
        <f ca="1">_xludf.Image("https://ddragon.leagueoflegends.com/cdn/12.22.1/img/item/6035.png")</f>
        <v>#NAME?</v>
      </c>
      <c r="AO125" s="322" t="b">
        <f>TRUE</f>
        <v>1</v>
      </c>
      <c r="AP125" s="329">
        <f t="shared" si="1"/>
        <v>0.97366666666666668</v>
      </c>
    </row>
    <row r="126" spans="1:42" ht="13.2">
      <c r="A126" s="316" t="s">
        <v>658</v>
      </c>
      <c r="B126" s="324">
        <f>1100</f>
        <v>1100</v>
      </c>
      <c r="C126" s="324"/>
      <c r="D126" s="324"/>
      <c r="E126" s="324"/>
      <c r="F126" s="324"/>
      <c r="G126" s="324"/>
      <c r="H126" s="324"/>
      <c r="I126" s="324"/>
      <c r="J126" s="324"/>
      <c r="K126" s="324"/>
      <c r="L126" s="324"/>
      <c r="M126" s="324"/>
      <c r="N126" s="324"/>
      <c r="O126" s="324"/>
      <c r="P126" s="324">
        <f>18</f>
        <v>18</v>
      </c>
      <c r="Q126" s="324">
        <f>45</f>
        <v>45</v>
      </c>
      <c r="R126" s="324"/>
      <c r="S126" s="324"/>
      <c r="T126" s="324"/>
      <c r="U126" s="324"/>
      <c r="V126" s="324"/>
      <c r="W126" s="324"/>
      <c r="X126" s="324"/>
      <c r="Y126" s="324"/>
      <c r="Z126" s="324"/>
      <c r="AA126" s="324"/>
      <c r="AB126" s="324"/>
      <c r="AC126" s="324"/>
      <c r="AD126" s="324"/>
      <c r="AE126" s="324"/>
      <c r="AF126" s="324"/>
      <c r="AG126" s="324"/>
      <c r="AH126" s="324"/>
      <c r="AI126" s="325">
        <f>IF($AO$2=1,COUNTIF(Interface!$C$22:$C$27,$A126),0)</f>
        <v>0</v>
      </c>
      <c r="AJ126" s="325">
        <f>IF($AO$2=2,COUNTIF(Interface!$C$30:$C$35,$A126),0)</f>
        <v>0</v>
      </c>
      <c r="AK126" s="325"/>
      <c r="AL126" s="325"/>
      <c r="AM126" s="326">
        <f>COUNTIF(Interface!$O$18:$O$23,$A126)</f>
        <v>0</v>
      </c>
      <c r="AN126" s="322" t="e">
        <f ca="1">_xludf.Image("https://ddragon.leagueoflegends.com/cdn/12.22.1/img/item/3020.png")</f>
        <v>#NAME?</v>
      </c>
      <c r="AO126" s="322" t="b">
        <f>FALSE</f>
        <v>0</v>
      </c>
      <c r="AP126" s="336">
        <f t="shared" si="1"/>
        <v>0.99998181818181819</v>
      </c>
    </row>
    <row r="127" spans="1:42" ht="13.2">
      <c r="A127" s="316" t="s">
        <v>659</v>
      </c>
      <c r="B127" s="324">
        <f>3400</f>
        <v>3400</v>
      </c>
      <c r="C127" s="324">
        <f>300</f>
        <v>300</v>
      </c>
      <c r="D127" s="324"/>
      <c r="E127" s="324"/>
      <c r="F127" s="324"/>
      <c r="G127" s="324">
        <f>65</f>
        <v>65</v>
      </c>
      <c r="H127" s="324"/>
      <c r="I127" s="324"/>
      <c r="J127" s="324"/>
      <c r="K127" s="324"/>
      <c r="L127" s="324"/>
      <c r="M127" s="324">
        <f>20</f>
        <v>20</v>
      </c>
      <c r="N127" s="324"/>
      <c r="O127" s="324"/>
      <c r="P127" s="324"/>
      <c r="Q127" s="324"/>
      <c r="R127" s="324"/>
      <c r="S127" s="324"/>
      <c r="T127" s="324"/>
      <c r="U127" s="324"/>
      <c r="V127" s="324"/>
      <c r="W127" s="324"/>
      <c r="X127" s="324"/>
      <c r="Y127" s="324"/>
      <c r="Z127" s="324"/>
      <c r="AA127" s="324"/>
      <c r="AB127" s="324"/>
      <c r="AC127" s="324"/>
      <c r="AD127" s="324"/>
      <c r="AE127" s="324"/>
      <c r="AF127" s="324"/>
      <c r="AG127" s="324"/>
      <c r="AH127" s="324"/>
      <c r="AI127" s="325">
        <f>IF($AO$2=1,COUNTIF(Interface!$C$22:$C$27,$A127),0)</f>
        <v>0</v>
      </c>
      <c r="AJ127" s="325">
        <f>IF($AO$2=2,COUNTIF(Interface!$C$30:$C$35,$A127),0)</f>
        <v>0</v>
      </c>
      <c r="AK127" s="325"/>
      <c r="AL127" s="325"/>
      <c r="AM127" s="326">
        <f>COUNTIF(Interface!$O$18:$O$23,$A127)</f>
        <v>0</v>
      </c>
      <c r="AN127" s="322" t="e">
        <f ca="1">_xludf.Image("https://ddragon.leagueoflegends.com/cdn/12.22.1/img/item/3161.png")</f>
        <v>#NAME?</v>
      </c>
      <c r="AO127" s="322" t="b">
        <f>TRUE</f>
        <v>1</v>
      </c>
      <c r="AP127" s="360">
        <f t="shared" si="1"/>
        <v>1.0615882352941177</v>
      </c>
    </row>
    <row r="128" spans="1:42" ht="13.2">
      <c r="A128" s="316" t="s">
        <v>660</v>
      </c>
      <c r="B128" s="324">
        <f>400</f>
        <v>400</v>
      </c>
      <c r="C128" s="324">
        <f>10</f>
        <v>10</v>
      </c>
      <c r="D128" s="324"/>
      <c r="E128" s="324"/>
      <c r="F128" s="324">
        <f>0.25</f>
        <v>0.25</v>
      </c>
      <c r="G128" s="324">
        <f>5</f>
        <v>5</v>
      </c>
      <c r="H128" s="324"/>
      <c r="I128" s="324"/>
      <c r="J128" s="324"/>
      <c r="K128" s="324"/>
      <c r="L128" s="324"/>
      <c r="M128" s="324"/>
      <c r="N128" s="324"/>
      <c r="O128" s="324"/>
      <c r="P128" s="324"/>
      <c r="Q128" s="324"/>
      <c r="R128" s="324"/>
      <c r="S128" s="324"/>
      <c r="T128" s="324"/>
      <c r="U128" s="324"/>
      <c r="V128" s="324"/>
      <c r="W128" s="324"/>
      <c r="X128" s="324"/>
      <c r="Y128" s="324"/>
      <c r="Z128" s="324"/>
      <c r="AA128" s="324"/>
      <c r="AB128" s="324"/>
      <c r="AC128" s="324"/>
      <c r="AD128" s="324"/>
      <c r="AE128" s="324"/>
      <c r="AF128" s="324"/>
      <c r="AG128" s="324"/>
      <c r="AH128" s="324"/>
      <c r="AI128" s="325">
        <f>IF($AO$2=1,COUNTIF(Interface!$C$22:$C$27,$A128),0)</f>
        <v>0</v>
      </c>
      <c r="AJ128" s="325">
        <f>IF($AO$2=2,COUNTIF(Interface!$C$30:$C$35,$A128),0)</f>
        <v>0</v>
      </c>
      <c r="AK128" s="325"/>
      <c r="AL128" s="325"/>
      <c r="AM128" s="326">
        <f>COUNTIF(Interface!$O$18:$O$23,$A128)</f>
        <v>0</v>
      </c>
      <c r="AN128" s="322" t="e">
        <f ca="1">_xludf.Image("https://ddragon.leagueoflegends.com/cdn/12.22.1/img/item/3862.png")</f>
        <v>#NAME?</v>
      </c>
      <c r="AO128" s="322" t="b">
        <f t="shared" ref="AO128:AO130" si="48">FALSE</f>
        <v>0</v>
      </c>
      <c r="AP128" s="366">
        <f t="shared" si="1"/>
        <v>0.81674999999999998</v>
      </c>
    </row>
    <row r="129" spans="1:42" ht="13.2">
      <c r="A129" s="316" t="s">
        <v>661</v>
      </c>
      <c r="B129" s="324">
        <f>1250</f>
        <v>1250</v>
      </c>
      <c r="C129" s="324">
        <f>250</f>
        <v>250</v>
      </c>
      <c r="D129" s="324"/>
      <c r="E129" s="324"/>
      <c r="F129" s="324"/>
      <c r="G129" s="324"/>
      <c r="H129" s="324"/>
      <c r="I129" s="324"/>
      <c r="J129" s="324">
        <f>25</f>
        <v>25</v>
      </c>
      <c r="K129" s="324"/>
      <c r="L129" s="324"/>
      <c r="M129" s="324"/>
      <c r="N129" s="324"/>
      <c r="O129" s="324"/>
      <c r="P129" s="324"/>
      <c r="Q129" s="324"/>
      <c r="R129" s="324"/>
      <c r="S129" s="324"/>
      <c r="T129" s="324"/>
      <c r="U129" s="324"/>
      <c r="V129" s="324"/>
      <c r="W129" s="324"/>
      <c r="X129" s="324"/>
      <c r="Y129" s="324"/>
      <c r="Z129" s="324"/>
      <c r="AA129" s="324"/>
      <c r="AB129" s="324"/>
      <c r="AC129" s="324"/>
      <c r="AD129" s="324"/>
      <c r="AE129" s="324"/>
      <c r="AF129" s="324"/>
      <c r="AG129" s="324"/>
      <c r="AH129" s="324"/>
      <c r="AI129" s="325">
        <f>IF($AO$2=1,COUNTIF(Interface!$C$22:$C$27,$A129),0)</f>
        <v>0</v>
      </c>
      <c r="AJ129" s="325">
        <f>IF($AO$2=2,COUNTIF(Interface!$C$30:$C$35,$A129),0)</f>
        <v>0</v>
      </c>
      <c r="AK129" s="325"/>
      <c r="AL129" s="325"/>
      <c r="AM129" s="326">
        <f>COUNTIF(Interface!$O$18:$O$23,$A129)</f>
        <v>0</v>
      </c>
      <c r="AN129" s="322" t="e">
        <f ca="1">_xludf.Image("https://ddragon.leagueoflegends.com/cdn/12.22.1/img/item/3211.png")</f>
        <v>#NAME?</v>
      </c>
      <c r="AO129" s="322" t="b">
        <f t="shared" si="48"/>
        <v>0</v>
      </c>
      <c r="AP129" s="330">
        <f t="shared" si="1"/>
        <v>0.89400000000000002</v>
      </c>
    </row>
    <row r="130" spans="1:42" ht="13.2">
      <c r="A130" s="316" t="s">
        <v>662</v>
      </c>
      <c r="B130" s="324">
        <f>400</f>
        <v>400</v>
      </c>
      <c r="C130" s="324">
        <f>10</f>
        <v>10</v>
      </c>
      <c r="D130" s="324"/>
      <c r="E130" s="324"/>
      <c r="F130" s="324">
        <f>0.25</f>
        <v>0.25</v>
      </c>
      <c r="G130" s="324"/>
      <c r="H130" s="324">
        <f>8</f>
        <v>8</v>
      </c>
      <c r="I130" s="324"/>
      <c r="J130" s="324"/>
      <c r="K130" s="324"/>
      <c r="L130" s="324"/>
      <c r="M130" s="324"/>
      <c r="N130" s="324"/>
      <c r="O130" s="324"/>
      <c r="P130" s="324"/>
      <c r="Q130" s="324"/>
      <c r="R130" s="324"/>
      <c r="S130" s="324"/>
      <c r="T130" s="324"/>
      <c r="U130" s="324"/>
      <c r="V130" s="324"/>
      <c r="W130" s="324"/>
      <c r="X130" s="324"/>
      <c r="Y130" s="324"/>
      <c r="Z130" s="324"/>
      <c r="AA130" s="324"/>
      <c r="AB130" s="324"/>
      <c r="AC130" s="324"/>
      <c r="AD130" s="324"/>
      <c r="AE130" s="324"/>
      <c r="AF130" s="324"/>
      <c r="AG130" s="324"/>
      <c r="AH130" s="324"/>
      <c r="AI130" s="325">
        <f>IF($AO$2=1,COUNTIF(Interface!$C$22:$C$27,$A130),0)</f>
        <v>0</v>
      </c>
      <c r="AJ130" s="325">
        <f>IF($AO$2=2,COUNTIF(Interface!$C$30:$C$35,$A130),0)</f>
        <v>0</v>
      </c>
      <c r="AK130" s="325"/>
      <c r="AL130" s="325"/>
      <c r="AM130" s="326">
        <f>COUNTIF(Interface!$O$18:$O$23,$A130)</f>
        <v>0</v>
      </c>
      <c r="AN130" s="322" t="e">
        <f ca="1">_xludf.Image("https://ddragon.leagueoflegends.com/cdn/12.22.1/img/item/3850.png")</f>
        <v>#NAME?</v>
      </c>
      <c r="AO130" s="322" t="b">
        <f t="shared" si="48"/>
        <v>0</v>
      </c>
      <c r="AP130" s="340">
        <f t="shared" si="1"/>
        <v>0.81424999999999992</v>
      </c>
    </row>
    <row r="131" spans="1:42" ht="13.2">
      <c r="A131" s="316" t="s">
        <v>663</v>
      </c>
      <c r="B131" s="324">
        <f>2900</f>
        <v>2900</v>
      </c>
      <c r="C131" s="324">
        <f>450</f>
        <v>450</v>
      </c>
      <c r="D131" s="324"/>
      <c r="E131" s="324"/>
      <c r="F131" s="324"/>
      <c r="G131" s="324"/>
      <c r="H131" s="324"/>
      <c r="I131" s="324"/>
      <c r="J131" s="324">
        <f>50</f>
        <v>50</v>
      </c>
      <c r="K131" s="324"/>
      <c r="L131" s="324"/>
      <c r="M131" s="324">
        <f>10</f>
        <v>10</v>
      </c>
      <c r="N131" s="324"/>
      <c r="O131" s="324"/>
      <c r="P131" s="324"/>
      <c r="Q131" s="324"/>
      <c r="R131" s="324"/>
      <c r="S131" s="324"/>
      <c r="T131" s="324"/>
      <c r="U131" s="324"/>
      <c r="V131" s="324"/>
      <c r="W131" s="324"/>
      <c r="X131" s="324"/>
      <c r="Y131" s="324"/>
      <c r="Z131" s="324"/>
      <c r="AA131" s="324"/>
      <c r="AB131" s="324"/>
      <c r="AC131" s="324"/>
      <c r="AD131" s="324"/>
      <c r="AE131" s="324"/>
      <c r="AF131" s="324"/>
      <c r="AG131" s="324"/>
      <c r="AH131" s="324"/>
      <c r="AI131" s="325">
        <f>IF($AO$2=1,COUNTIF(Interface!$C$22:$C$27,$A131),0)</f>
        <v>0</v>
      </c>
      <c r="AJ131" s="325">
        <f>IF($AO$2=2,COUNTIF(Interface!$C$30:$C$35,$A131),0)</f>
        <v>0</v>
      </c>
      <c r="AK131" s="325"/>
      <c r="AL131" s="325"/>
      <c r="AM131" s="326">
        <f>COUNTIF(Interface!$O$18:$O$23,$A131)</f>
        <v>0</v>
      </c>
      <c r="AN131" s="322" t="e">
        <f ca="1">_xludf.Image("https://ddragon.leagueoflegends.com/cdn/12.22.1/img/item/3065.png")</f>
        <v>#NAME?</v>
      </c>
      <c r="AO131" s="322" t="b">
        <f t="shared" ref="AO131:AO133" si="49">TRUE</f>
        <v>1</v>
      </c>
      <c r="AP131" s="329">
        <f t="shared" si="1"/>
        <v>0.81662068965517232</v>
      </c>
    </row>
    <row r="132" spans="1:42" ht="13.2">
      <c r="A132" s="316" t="s">
        <v>664</v>
      </c>
      <c r="B132" s="324">
        <f>2100</f>
        <v>2100</v>
      </c>
      <c r="C132" s="324"/>
      <c r="D132" s="324"/>
      <c r="E132" s="324"/>
      <c r="F132" s="324">
        <f>0.75</f>
        <v>0.75</v>
      </c>
      <c r="G132" s="324"/>
      <c r="H132" s="324">
        <f>35</f>
        <v>35</v>
      </c>
      <c r="I132" s="324"/>
      <c r="J132" s="324"/>
      <c r="K132" s="324"/>
      <c r="L132" s="324"/>
      <c r="M132" s="324"/>
      <c r="N132" s="324"/>
      <c r="O132" s="324"/>
      <c r="P132" s="324"/>
      <c r="Q132" s="324"/>
      <c r="R132" s="324">
        <f>5</f>
        <v>5</v>
      </c>
      <c r="S132" s="324">
        <f>8</f>
        <v>8</v>
      </c>
      <c r="T132" s="324"/>
      <c r="U132" s="324"/>
      <c r="V132" s="324"/>
      <c r="W132" s="324"/>
      <c r="X132" s="324"/>
      <c r="Y132" s="324"/>
      <c r="Z132" s="324"/>
      <c r="AA132" s="324"/>
      <c r="AB132" s="324"/>
      <c r="AC132" s="324"/>
      <c r="AD132" s="324"/>
      <c r="AE132" s="324"/>
      <c r="AF132" s="324"/>
      <c r="AG132" s="324"/>
      <c r="AH132" s="324"/>
      <c r="AI132" s="325">
        <f>IF($AO$2=1,COUNTIF(Interface!$C$22:$C$27,$A132),0)</f>
        <v>0</v>
      </c>
      <c r="AJ132" s="325">
        <f>IF($AO$2=2,COUNTIF(Interface!$C$30:$C$35,$A132),0)</f>
        <v>0</v>
      </c>
      <c r="AK132" s="325"/>
      <c r="AL132" s="325"/>
      <c r="AM132" s="326">
        <f>COUNTIF(Interface!$O$18:$O$23,$A132)</f>
        <v>0</v>
      </c>
      <c r="AN132" s="322" t="e">
        <f ca="1">_xludf.Image("https://ddragon.leagueoflegends.com/cdn/12.22.1/img/item/6616.png")</f>
        <v>#NAME?</v>
      </c>
      <c r="AO132" s="322" t="b">
        <f t="shared" si="49"/>
        <v>1</v>
      </c>
      <c r="AP132" s="367">
        <f t="shared" si="1"/>
        <v>0.85100476190476193</v>
      </c>
    </row>
    <row r="133" spans="1:42" ht="13.2">
      <c r="A133" s="316" t="s">
        <v>665</v>
      </c>
      <c r="B133" s="324">
        <f>3000</f>
        <v>3000</v>
      </c>
      <c r="C133" s="324"/>
      <c r="D133" s="324"/>
      <c r="E133" s="324"/>
      <c r="F133" s="324"/>
      <c r="G133" s="324">
        <f>45</f>
        <v>45</v>
      </c>
      <c r="H133" s="324"/>
      <c r="I133" s="324"/>
      <c r="J133" s="324"/>
      <c r="K133" s="324">
        <f>25</f>
        <v>25</v>
      </c>
      <c r="L133" s="324">
        <f>20</f>
        <v>20</v>
      </c>
      <c r="M133" s="324"/>
      <c r="N133" s="324"/>
      <c r="O133" s="324"/>
      <c r="P133" s="324"/>
      <c r="Q133" s="324"/>
      <c r="R133" s="324"/>
      <c r="S133" s="324"/>
      <c r="T133" s="324"/>
      <c r="U133" s="324"/>
      <c r="V133" s="324">
        <f>100 + (80/12) * MAX((Self_Level - 6), 0) + 0.5 * Self_AP</f>
        <v>100</v>
      </c>
      <c r="W133" s="324"/>
      <c r="X133" s="324"/>
      <c r="Y133" s="324"/>
      <c r="Z133" s="324"/>
      <c r="AA133" s="324"/>
      <c r="AB133" s="324"/>
      <c r="AC133" s="324"/>
      <c r="AD133" s="324"/>
      <c r="AE133" s="324"/>
      <c r="AF133" s="324"/>
      <c r="AG133" s="324"/>
      <c r="AH133" s="324"/>
      <c r="AI133" s="325">
        <f>IF($AO$2=1,COUNTIF(Interface!$C$22:$C$27,$A133),0)</f>
        <v>0</v>
      </c>
      <c r="AJ133" s="325">
        <f>IF($AO$2=2,COUNTIF(Interface!$C$30:$C$35,$A133),0)</f>
        <v>0</v>
      </c>
      <c r="AK133" s="325"/>
      <c r="AL133" s="325"/>
      <c r="AM133" s="326">
        <f>COUNTIF(Interface!$O$18:$O$23,$A133)</f>
        <v>0</v>
      </c>
      <c r="AN133" s="322" t="e">
        <f ca="1">_xludf.Image("https://ddragon.leagueoflegends.com/cdn/13.10.1/img/item/3087.png")</f>
        <v>#NAME?</v>
      </c>
      <c r="AO133" s="322" t="b">
        <f t="shared" si="49"/>
        <v>1</v>
      </c>
      <c r="AP133" s="357">
        <f t="shared" si="1"/>
        <v>1</v>
      </c>
    </row>
    <row r="134" spans="1:42" ht="13.2">
      <c r="A134" s="316" t="s">
        <v>666</v>
      </c>
      <c r="B134" s="324">
        <f>400</f>
        <v>400</v>
      </c>
      <c r="C134" s="324">
        <f>30</f>
        <v>30</v>
      </c>
      <c r="D134" s="324">
        <f>0.5</f>
        <v>0.5</v>
      </c>
      <c r="E134" s="324"/>
      <c r="F134" s="324"/>
      <c r="G134" s="324">
        <f>3</f>
        <v>3</v>
      </c>
      <c r="H134" s="324"/>
      <c r="I134" s="324"/>
      <c r="J134" s="324"/>
      <c r="K134" s="324"/>
      <c r="L134" s="324"/>
      <c r="M134" s="324"/>
      <c r="N134" s="324"/>
      <c r="O134" s="324"/>
      <c r="P134" s="324"/>
      <c r="Q134" s="324"/>
      <c r="R134" s="324"/>
      <c r="S134" s="324"/>
      <c r="T134" s="324"/>
      <c r="U134" s="324"/>
      <c r="V134" s="324"/>
      <c r="W134" s="324"/>
      <c r="X134" s="324"/>
      <c r="Y134" s="324"/>
      <c r="Z134" s="324"/>
      <c r="AA134" s="324"/>
      <c r="AB134" s="324"/>
      <c r="AC134" s="324"/>
      <c r="AD134" s="324"/>
      <c r="AE134" s="324"/>
      <c r="AF134" s="324"/>
      <c r="AG134" s="324"/>
      <c r="AH134" s="324"/>
      <c r="AI134" s="325">
        <f>IF($AO$2=1,COUNTIF(Interface!$C$22:$C$27,$A134),0)</f>
        <v>0</v>
      </c>
      <c r="AJ134" s="325">
        <f>IF($AO$2=2,COUNTIF(Interface!$C$30:$C$35,$A134),0)</f>
        <v>0</v>
      </c>
      <c r="AK134" s="325"/>
      <c r="AL134" s="325"/>
      <c r="AM134" s="326">
        <f>COUNTIF(Interface!$O$18:$O$23,$A134)</f>
        <v>0</v>
      </c>
      <c r="AN134" s="322" t="e">
        <f ca="1">_xludf.Image("https://ddragon.leagueoflegends.com/cdn/12.22.1/img/item/3854.png")</f>
        <v>#NAME?</v>
      </c>
      <c r="AO134" s="322" t="b">
        <f>FALSE</f>
        <v>0</v>
      </c>
      <c r="AP134" s="346">
        <f t="shared" si="1"/>
        <v>0.83775000000000011</v>
      </c>
    </row>
    <row r="135" spans="1:42" ht="13.2">
      <c r="A135" s="316" t="s">
        <v>667</v>
      </c>
      <c r="B135" s="324">
        <f>3100</f>
        <v>3100</v>
      </c>
      <c r="C135" s="324">
        <f>400</f>
        <v>400</v>
      </c>
      <c r="D135" s="324"/>
      <c r="E135" s="324"/>
      <c r="F135" s="324"/>
      <c r="G135" s="324">
        <f>0.5 * Self_BaAD</f>
        <v>0</v>
      </c>
      <c r="H135" s="324"/>
      <c r="I135" s="324"/>
      <c r="J135" s="324"/>
      <c r="K135" s="324"/>
      <c r="L135" s="324"/>
      <c r="M135" s="324"/>
      <c r="N135" s="324"/>
      <c r="O135" s="324"/>
      <c r="P135" s="324"/>
      <c r="Q135" s="324"/>
      <c r="R135" s="324"/>
      <c r="S135" s="324"/>
      <c r="T135" s="324"/>
      <c r="U135" s="324"/>
      <c r="V135" s="324"/>
      <c r="W135" s="324"/>
      <c r="X135" s="324"/>
      <c r="Y135" s="324"/>
      <c r="Z135" s="324"/>
      <c r="AA135" s="324"/>
      <c r="AB135" s="324"/>
      <c r="AC135" s="324"/>
      <c r="AD135" s="324"/>
      <c r="AE135" s="324"/>
      <c r="AF135" s="324"/>
      <c r="AG135" s="324"/>
      <c r="AH135" s="324">
        <f>0.8 * Self_BoHP</f>
        <v>0</v>
      </c>
      <c r="AI135" s="325">
        <f>IF($AO$2=1,COUNTIF(Interface!$C$22:$C$27,$A135),0)</f>
        <v>0</v>
      </c>
      <c r="AJ135" s="325">
        <f>IF($AO$2=2,COUNTIF(Interface!$C$30:$C$35,$A135),0)</f>
        <v>0</v>
      </c>
      <c r="AK135" s="325"/>
      <c r="AL135" s="325"/>
      <c r="AM135" s="326">
        <f>COUNTIF(Interface!$O$18:$O$23,$A135)</f>
        <v>0</v>
      </c>
      <c r="AN135" s="322" t="e">
        <f ca="1">_xludf.Image("https://ddragon.leagueoflegends.com/cdn/12.22.1/img/item/3053.png")</f>
        <v>#NAME?</v>
      </c>
      <c r="AO135" s="322" t="b">
        <f t="shared" ref="AO135:AO137" si="50">TRUE</f>
        <v>1</v>
      </c>
      <c r="AP135" s="332">
        <f t="shared" si="1"/>
        <v>0.34451612903225809</v>
      </c>
    </row>
    <row r="136" spans="1:42" ht="13.2">
      <c r="A136" s="316" t="s">
        <v>668</v>
      </c>
      <c r="B136" s="324">
        <f>3000</f>
        <v>3000</v>
      </c>
      <c r="C136" s="324"/>
      <c r="D136" s="324"/>
      <c r="E136" s="324"/>
      <c r="F136" s="324"/>
      <c r="G136" s="324">
        <f>50</f>
        <v>50</v>
      </c>
      <c r="H136" s="324"/>
      <c r="I136" s="324"/>
      <c r="J136" s="324"/>
      <c r="K136" s="324">
        <f>15</f>
        <v>15</v>
      </c>
      <c r="L136" s="324">
        <f>20</f>
        <v>20</v>
      </c>
      <c r="M136" s="324"/>
      <c r="N136" s="324"/>
      <c r="O136" s="324"/>
      <c r="P136" s="324"/>
      <c r="Q136" s="324"/>
      <c r="R136" s="324"/>
      <c r="S136" s="324"/>
      <c r="T136" s="324"/>
      <c r="U136" s="324"/>
      <c r="V136" s="324">
        <f>15 + 0.6 * Self_AD + 0.5 * Self_AP</f>
        <v>15</v>
      </c>
      <c r="W136" s="324"/>
      <c r="X136" s="324"/>
      <c r="Y136" s="324"/>
      <c r="Z136" s="324"/>
      <c r="AA136" s="324"/>
      <c r="AB136" s="324"/>
      <c r="AC136" s="324"/>
      <c r="AD136" s="324"/>
      <c r="AE136" s="324"/>
      <c r="AF136" s="324"/>
      <c r="AG136" s="324"/>
      <c r="AH136" s="324"/>
      <c r="AI136" s="325">
        <f>IF($AO$2=1,COUNTIF(Interface!$C$22:$C$27,$A136),0)</f>
        <v>0</v>
      </c>
      <c r="AJ136" s="325">
        <f>IF($AO$2=2,COUNTIF(Interface!$C$30:$C$35,$A136),0)</f>
        <v>0</v>
      </c>
      <c r="AK136" s="325"/>
      <c r="AL136" s="325"/>
      <c r="AM136" s="326">
        <f>COUNTIF(Interface!$O$18:$O$23,$A136)</f>
        <v>0</v>
      </c>
      <c r="AN136" s="322" t="e">
        <f ca="1">_xludf.Image("https://ddragon.leagueoflegends.com/cdn/12.22.1/img/item/3095.png")</f>
        <v>#NAME?</v>
      </c>
      <c r="AO136" s="322" t="b">
        <f t="shared" si="50"/>
        <v>1</v>
      </c>
      <c r="AP136" s="357">
        <f t="shared" si="1"/>
        <v>0.97499999999999998</v>
      </c>
    </row>
    <row r="137" spans="1:42" ht="13.2">
      <c r="A137" s="316" t="s">
        <v>669</v>
      </c>
      <c r="B137" s="324">
        <f>2700</f>
        <v>2700</v>
      </c>
      <c r="C137" s="324">
        <f>500</f>
        <v>500</v>
      </c>
      <c r="D137" s="324"/>
      <c r="E137" s="324"/>
      <c r="F137" s="324"/>
      <c r="G137" s="324"/>
      <c r="H137" s="324"/>
      <c r="I137" s="324">
        <f>50</f>
        <v>50</v>
      </c>
      <c r="J137" s="324"/>
      <c r="K137" s="324"/>
      <c r="L137" s="324"/>
      <c r="M137" s="324"/>
      <c r="N137" s="324"/>
      <c r="O137" s="324"/>
      <c r="P137" s="324"/>
      <c r="Q137" s="324"/>
      <c r="R137" s="324"/>
      <c r="S137" s="324"/>
      <c r="T137" s="324"/>
      <c r="U137" s="324"/>
      <c r="V137" s="324"/>
      <c r="W137" s="324"/>
      <c r="X137" s="324"/>
      <c r="Y137" s="324"/>
      <c r="Z137" s="324"/>
      <c r="AA137" s="324"/>
      <c r="AB137" s="324"/>
      <c r="AC137" s="324"/>
      <c r="AD137" s="324"/>
      <c r="AE137" s="324"/>
      <c r="AF137" s="324"/>
      <c r="AG137" s="324"/>
      <c r="AH137" s="324"/>
      <c r="AI137" s="325">
        <f>IF($AO$2=1,COUNTIF(Interface!$C$22:$C$27,$A137),0)</f>
        <v>0</v>
      </c>
      <c r="AJ137" s="325">
        <f>IF($AO$2=2,COUNTIF(Interface!$C$30:$C$35,$A137),0)</f>
        <v>0</v>
      </c>
      <c r="AK137" s="325"/>
      <c r="AL137" s="325"/>
      <c r="AM137" s="326">
        <f>COUNTIF(Interface!$O$18:$O$23,$A137)</f>
        <v>0</v>
      </c>
      <c r="AN137" s="322" t="e">
        <f ca="1">_xludf.Image("https://ddragon.leagueoflegends.com/cdn/12.22.1/img/item/3068.png")</f>
        <v>#NAME?</v>
      </c>
      <c r="AO137" s="322" t="b">
        <f t="shared" si="50"/>
        <v>1</v>
      </c>
      <c r="AP137" s="337">
        <f t="shared" si="1"/>
        <v>0.86481481481481481</v>
      </c>
    </row>
    <row r="138" spans="1:42" ht="13.2">
      <c r="A138" s="316" t="s">
        <v>670</v>
      </c>
      <c r="B138" s="324">
        <f t="shared" ref="B138:B139" si="51">400</f>
        <v>400</v>
      </c>
      <c r="C138" s="324">
        <f>100</f>
        <v>100</v>
      </c>
      <c r="D138" s="324">
        <f>0.75</f>
        <v>0.75</v>
      </c>
      <c r="E138" s="324"/>
      <c r="F138" s="324"/>
      <c r="G138" s="324"/>
      <c r="H138" s="324">
        <f>10</f>
        <v>10</v>
      </c>
      <c r="I138" s="324"/>
      <c r="J138" s="324"/>
      <c r="K138" s="324"/>
      <c r="L138" s="324"/>
      <c r="M138" s="324"/>
      <c r="N138" s="324"/>
      <c r="O138" s="324"/>
      <c r="P138" s="324"/>
      <c r="Q138" s="324"/>
      <c r="R138" s="324"/>
      <c r="S138" s="324"/>
      <c r="T138" s="324"/>
      <c r="U138" s="324"/>
      <c r="V138" s="324"/>
      <c r="W138" s="324"/>
      <c r="X138" s="324"/>
      <c r="Y138" s="324"/>
      <c r="Z138" s="324"/>
      <c r="AA138" s="324"/>
      <c r="AB138" s="324"/>
      <c r="AC138" s="324"/>
      <c r="AD138" s="324"/>
      <c r="AE138" s="324"/>
      <c r="AF138" s="324"/>
      <c r="AG138" s="324"/>
      <c r="AH138" s="324"/>
      <c r="AI138" s="325">
        <f>IF($AO$2=1,COUNTIF(Interface!$C$22:$C$27,$A138),0)</f>
        <v>0</v>
      </c>
      <c r="AJ138" s="325">
        <f>IF($AO$2=2,COUNTIF(Interface!$C$30:$C$35,$A138),0)</f>
        <v>0</v>
      </c>
      <c r="AK138" s="325"/>
      <c r="AL138" s="325"/>
      <c r="AM138" s="326">
        <f>COUNTIF(Interface!$O$18:$O$23,$A138)</f>
        <v>0</v>
      </c>
      <c r="AN138" s="322" t="e">
        <f ca="1">_xludf.Image("https://ddragon.leagueoflegends.com/cdn/12.22.1/img/item/3859.png")</f>
        <v>#NAME?</v>
      </c>
      <c r="AO138" s="322" t="b">
        <f t="shared" ref="AO138:AO139" si="52">FALSE</f>
        <v>0</v>
      </c>
      <c r="AP138" s="329">
        <f t="shared" si="1"/>
        <v>1.7737499999999999</v>
      </c>
    </row>
    <row r="139" spans="1:42" ht="13.2">
      <c r="A139" s="316" t="s">
        <v>671</v>
      </c>
      <c r="B139" s="324">
        <f t="shared" si="51"/>
        <v>400</v>
      </c>
      <c r="C139" s="324"/>
      <c r="D139" s="324"/>
      <c r="E139" s="324">
        <f>240</f>
        <v>240</v>
      </c>
      <c r="F139" s="324"/>
      <c r="G139" s="324"/>
      <c r="H139" s="324"/>
      <c r="I139" s="324"/>
      <c r="J139" s="324"/>
      <c r="K139" s="324"/>
      <c r="L139" s="324"/>
      <c r="M139" s="324"/>
      <c r="N139" s="324"/>
      <c r="O139" s="324"/>
      <c r="P139" s="324"/>
      <c r="Q139" s="324"/>
      <c r="R139" s="324"/>
      <c r="S139" s="324"/>
      <c r="T139" s="324"/>
      <c r="U139" s="324"/>
      <c r="V139" s="324"/>
      <c r="W139" s="324"/>
      <c r="X139" s="324"/>
      <c r="Y139" s="324"/>
      <c r="Z139" s="324"/>
      <c r="AA139" s="324"/>
      <c r="AB139" s="324"/>
      <c r="AC139" s="324"/>
      <c r="AD139" s="324"/>
      <c r="AE139" s="324"/>
      <c r="AF139" s="324"/>
      <c r="AG139" s="324"/>
      <c r="AH139" s="324"/>
      <c r="AI139" s="325">
        <f>IF($AO$2=1,COUNTIF(Interface!$C$22:$C$27,$A139),0)</f>
        <v>0</v>
      </c>
      <c r="AJ139" s="325">
        <f>IF($AO$2=2,COUNTIF(Interface!$C$30:$C$35,$A139),0)</f>
        <v>0</v>
      </c>
      <c r="AK139" s="325"/>
      <c r="AL139" s="325"/>
      <c r="AM139" s="326">
        <f>COUNTIF(Interface!$O$18:$O$23,$A139)</f>
        <v>0</v>
      </c>
      <c r="AN139" s="322" t="e">
        <f ca="1">_xludf.Image("https://ddragon.leagueoflegends.com/cdn/12.22.1/img/item/3070.png")</f>
        <v>#NAME?</v>
      </c>
      <c r="AO139" s="322" t="b">
        <f t="shared" si="52"/>
        <v>0</v>
      </c>
      <c r="AP139" s="368">
        <f t="shared" si="1"/>
        <v>0.84</v>
      </c>
    </row>
    <row r="140" spans="1:42" ht="13.2">
      <c r="A140" s="316" t="s">
        <v>672</v>
      </c>
      <c r="B140" s="324">
        <f>3000</f>
        <v>3000</v>
      </c>
      <c r="C140" s="324"/>
      <c r="D140" s="324"/>
      <c r="E140" s="324"/>
      <c r="F140" s="324"/>
      <c r="G140" s="324">
        <f>55</f>
        <v>55</v>
      </c>
      <c r="H140" s="324"/>
      <c r="I140" s="324"/>
      <c r="J140" s="324"/>
      <c r="K140" s="324"/>
      <c r="L140" s="324">
        <f>20</f>
        <v>20</v>
      </c>
      <c r="M140" s="324"/>
      <c r="N140" s="324"/>
      <c r="O140" s="324">
        <f>18</f>
        <v>18</v>
      </c>
      <c r="P140" s="324"/>
      <c r="Q140" s="324"/>
      <c r="R140" s="324"/>
      <c r="S140" s="324"/>
      <c r="T140" s="324"/>
      <c r="U140" s="324"/>
      <c r="V140" s="324"/>
      <c r="W140" s="324"/>
      <c r="X140" s="324"/>
      <c r="Y140" s="324"/>
      <c r="Z140" s="324"/>
      <c r="AA140" s="324"/>
      <c r="AB140" s="324"/>
      <c r="AC140" s="324"/>
      <c r="AD140" s="324"/>
      <c r="AE140" s="324"/>
      <c r="AF140" s="324"/>
      <c r="AG140" s="324"/>
      <c r="AH140" s="324"/>
      <c r="AI140" s="325">
        <f>IF($AO$2=1,COUNTIF(Interface!$C$22:$C$27,$A140),0)</f>
        <v>0</v>
      </c>
      <c r="AJ140" s="325">
        <f>IF($AO$2=2,COUNTIF(Interface!$C$30:$C$35,$A140),0)</f>
        <v>0</v>
      </c>
      <c r="AK140" s="325"/>
      <c r="AL140" s="325"/>
      <c r="AM140" s="326">
        <f>COUNTIF(Interface!$O$18:$O$23,$A140)</f>
        <v>0</v>
      </c>
      <c r="AN140" s="322" t="e">
        <f ca="1">_xludf.Image("https://ddragon.leagueoflegends.com/cdn/12.22.1/img/item/6676.png")</f>
        <v>#NAME?</v>
      </c>
      <c r="AO140" s="322" t="b">
        <f t="shared" ref="AO140:AO141" si="53">TRUE</f>
        <v>1</v>
      </c>
      <c r="AP140" s="332">
        <f t="shared" si="1"/>
        <v>0.93833333333333335</v>
      </c>
    </row>
    <row r="141" spans="1:42" ht="13.2">
      <c r="A141" s="316" t="s">
        <v>673</v>
      </c>
      <c r="B141" s="324">
        <f>2700</f>
        <v>2700</v>
      </c>
      <c r="C141" s="324">
        <f>350</f>
        <v>350</v>
      </c>
      <c r="D141" s="324"/>
      <c r="E141" s="324"/>
      <c r="F141" s="324"/>
      <c r="G141" s="324"/>
      <c r="H141" s="324"/>
      <c r="I141" s="324">
        <f>60</f>
        <v>60</v>
      </c>
      <c r="J141" s="324"/>
      <c r="K141" s="324"/>
      <c r="L141" s="324"/>
      <c r="M141" s="324"/>
      <c r="N141" s="324"/>
      <c r="O141" s="324"/>
      <c r="P141" s="324"/>
      <c r="Q141" s="324"/>
      <c r="R141" s="324"/>
      <c r="S141" s="324"/>
      <c r="T141" s="324"/>
      <c r="U141" s="324"/>
      <c r="V141" s="324"/>
      <c r="W141" s="324"/>
      <c r="X141" s="324"/>
      <c r="Y141" s="324"/>
      <c r="Z141" s="324"/>
      <c r="AA141" s="324"/>
      <c r="AB141" s="324"/>
      <c r="AC141" s="324"/>
      <c r="AD141" s="324"/>
      <c r="AE141" s="324"/>
      <c r="AF141" s="324"/>
      <c r="AG141" s="324"/>
      <c r="AH141" s="324"/>
      <c r="AI141" s="325">
        <f>IF($AO$2=1,COUNTIF(Interface!$C$22:$C$27,$A141),0)</f>
        <v>0</v>
      </c>
      <c r="AJ141" s="325">
        <f>IF($AO$2=2,COUNTIF(Interface!$C$30:$C$35,$A141),0)</f>
        <v>0</v>
      </c>
      <c r="AK141" s="325"/>
      <c r="AL141" s="325"/>
      <c r="AM141" s="326">
        <f>COUNTIF(Interface!$O$18:$O$23,$A141)</f>
        <v>0</v>
      </c>
      <c r="AN141" s="322" t="e">
        <f ca="1">_xludf.Image("https://ddragon.leagueoflegends.com/cdn/12.22.1/img/item/3075.png")</f>
        <v>#NAME?</v>
      </c>
      <c r="AO141" s="322" t="b">
        <f t="shared" si="53"/>
        <v>1</v>
      </c>
      <c r="AP141" s="369">
        <f t="shared" si="1"/>
        <v>0.79055555555555557</v>
      </c>
    </row>
    <row r="142" spans="1:42" ht="13.2">
      <c r="A142" s="316" t="s">
        <v>674</v>
      </c>
      <c r="B142" s="324">
        <f>1200</f>
        <v>1200</v>
      </c>
      <c r="C142" s="324"/>
      <c r="D142" s="324"/>
      <c r="E142" s="324"/>
      <c r="F142" s="324"/>
      <c r="G142" s="324">
        <f>25</f>
        <v>25</v>
      </c>
      <c r="H142" s="324"/>
      <c r="I142" s="324"/>
      <c r="J142" s="324"/>
      <c r="K142" s="324"/>
      <c r="L142" s="324"/>
      <c r="M142" s="324"/>
      <c r="N142" s="324"/>
      <c r="O142" s="324"/>
      <c r="P142" s="324"/>
      <c r="Q142" s="324"/>
      <c r="R142" s="324"/>
      <c r="S142" s="324"/>
      <c r="T142" s="324"/>
      <c r="U142" s="324"/>
      <c r="V142" s="324"/>
      <c r="W142" s="324"/>
      <c r="X142" s="324"/>
      <c r="Y142" s="324"/>
      <c r="Z142" s="324"/>
      <c r="AA142" s="324"/>
      <c r="AB142" s="324"/>
      <c r="AC142" s="324"/>
      <c r="AD142" s="324"/>
      <c r="AE142" s="324"/>
      <c r="AF142" s="324"/>
      <c r="AG142" s="324"/>
      <c r="AH142" s="324"/>
      <c r="AI142" s="325">
        <f>IF($AO$2=1,COUNTIF(Interface!$C$22:$C$27,$A142),0)</f>
        <v>0</v>
      </c>
      <c r="AJ142" s="325">
        <f>IF($AO$2=2,COUNTIF(Interface!$C$30:$C$35,$A142),0)</f>
        <v>0</v>
      </c>
      <c r="AK142" s="325"/>
      <c r="AL142" s="325"/>
      <c r="AM142" s="326">
        <f>COUNTIF(Interface!$O$18:$O$23,$A142)</f>
        <v>0</v>
      </c>
      <c r="AN142" s="322" t="e">
        <f ca="1">_xludf.Image("https://ddragon.leagueoflegends.com/cdn/12.22.1/img/item/3077.png")</f>
        <v>#NAME?</v>
      </c>
      <c r="AO142" s="322" t="b">
        <f>FALSE</f>
        <v>0</v>
      </c>
      <c r="AP142" s="335">
        <f t="shared" si="1"/>
        <v>0.72916666666666663</v>
      </c>
    </row>
    <row r="143" spans="1:42" ht="13.2">
      <c r="A143" s="316" t="s">
        <v>675</v>
      </c>
      <c r="B143" s="324">
        <f>3300</f>
        <v>3300</v>
      </c>
      <c r="C143" s="324">
        <f t="shared" ref="C143:C144" si="54">500</f>
        <v>500</v>
      </c>
      <c r="D143" s="324"/>
      <c r="E143" s="324"/>
      <c r="F143" s="324"/>
      <c r="G143" s="324">
        <f>30</f>
        <v>30</v>
      </c>
      <c r="H143" s="324"/>
      <c r="I143" s="324"/>
      <c r="J143" s="324"/>
      <c r="K143" s="324"/>
      <c r="L143" s="324"/>
      <c r="M143" s="324"/>
      <c r="N143" s="324"/>
      <c r="O143" s="324"/>
      <c r="P143" s="324"/>
      <c r="Q143" s="324"/>
      <c r="R143" s="324"/>
      <c r="S143" s="324"/>
      <c r="T143" s="324">
        <f>IF(VLOOKUP(Name,Champs!A2:AE200,31,FALSE),1,0.75) * (5 + 0.015 * Self_MHP)</f>
        <v>5</v>
      </c>
      <c r="U143" s="324"/>
      <c r="V143" s="324"/>
      <c r="W143" s="324"/>
      <c r="X143" s="324"/>
      <c r="Y143" s="324"/>
      <c r="Z143" s="324"/>
      <c r="AA143" s="324"/>
      <c r="AB143" s="324"/>
      <c r="AC143" s="324"/>
      <c r="AD143" s="324"/>
      <c r="AE143" s="324"/>
      <c r="AF143" s="324"/>
      <c r="AG143" s="324"/>
      <c r="AH143" s="324"/>
      <c r="AI143" s="325">
        <f>IF($AO$2=1,COUNTIF(Interface!$C$22:$C$27,$A143),0)</f>
        <v>0</v>
      </c>
      <c r="AJ143" s="325">
        <f>IF($AO$2=2,COUNTIF(Interface!$C$30:$C$35,$A143),0)</f>
        <v>0</v>
      </c>
      <c r="AK143" s="325"/>
      <c r="AL143" s="325"/>
      <c r="AM143" s="326">
        <f>COUNTIF(Interface!$O$18:$O$23,$A143)</f>
        <v>0</v>
      </c>
      <c r="AN143" s="322" t="e">
        <f ca="1">_xludf.Image("https://ddragon.leagueoflegends.com/cdn/12.22.1/img/item/3748.png")</f>
        <v>#NAME?</v>
      </c>
      <c r="AO143" s="322" t="b">
        <f t="shared" ref="AO143:AO145" si="55">TRUE</f>
        <v>1</v>
      </c>
      <c r="AP143" s="329">
        <f t="shared" si="1"/>
        <v>0.76060606060606062</v>
      </c>
    </row>
    <row r="144" spans="1:42" ht="13.2">
      <c r="A144" s="316" t="s">
        <v>676</v>
      </c>
      <c r="B144" s="324">
        <f>2800</f>
        <v>2800</v>
      </c>
      <c r="C144" s="324">
        <f t="shared" si="54"/>
        <v>500</v>
      </c>
      <c r="D144" s="324"/>
      <c r="E144" s="324"/>
      <c r="F144" s="324"/>
      <c r="G144" s="324"/>
      <c r="H144" s="324"/>
      <c r="I144" s="324"/>
      <c r="J144" s="324">
        <f>50</f>
        <v>50</v>
      </c>
      <c r="K144" s="324"/>
      <c r="L144" s="324"/>
      <c r="M144" s="324">
        <f>10</f>
        <v>10</v>
      </c>
      <c r="N144" s="324"/>
      <c r="O144" s="324"/>
      <c r="P144" s="324"/>
      <c r="Q144" s="324"/>
      <c r="R144" s="324"/>
      <c r="S144" s="324"/>
      <c r="T144" s="324"/>
      <c r="U144" s="324"/>
      <c r="V144" s="324"/>
      <c r="W144" s="324"/>
      <c r="X144" s="324"/>
      <c r="Y144" s="324"/>
      <c r="Z144" s="324"/>
      <c r="AA144" s="324"/>
      <c r="AB144" s="324"/>
      <c r="AC144" s="324"/>
      <c r="AD144" s="324"/>
      <c r="AE144" s="324"/>
      <c r="AF144" s="324"/>
      <c r="AG144" s="324"/>
      <c r="AH144" s="324"/>
      <c r="AI144" s="325">
        <f>IF($AO$2=1,COUNTIF(Interface!$C$22:$C$27,$A144),0)</f>
        <v>0</v>
      </c>
      <c r="AJ144" s="325">
        <f>IF($AO$2=2,COUNTIF(Interface!$C$30:$C$35,$A144),0)</f>
        <v>0</v>
      </c>
      <c r="AK144" s="325"/>
      <c r="AL144" s="325"/>
      <c r="AM144" s="326">
        <f>COUNTIF(Interface!$O$18:$O$23,$A144)</f>
        <v>0</v>
      </c>
      <c r="AN144" s="322" t="e">
        <f ca="1">_xludf.Image("https://ddragon.leagueoflegends.com/cdn/12.22.1/img/item/6664.png")</f>
        <v>#NAME?</v>
      </c>
      <c r="AO144" s="322" t="b">
        <f t="shared" si="55"/>
        <v>1</v>
      </c>
      <c r="AP144" s="353">
        <f t="shared" si="1"/>
        <v>0.8934642857142856</v>
      </c>
    </row>
    <row r="145" spans="1:42" ht="13.2">
      <c r="A145" s="316" t="s">
        <v>677</v>
      </c>
      <c r="B145" s="324">
        <f>2300</f>
        <v>2300</v>
      </c>
      <c r="C145" s="324"/>
      <c r="D145" s="324"/>
      <c r="E145" s="324"/>
      <c r="F145" s="324"/>
      <c r="G145" s="324">
        <f>50</f>
        <v>50</v>
      </c>
      <c r="H145" s="324"/>
      <c r="I145" s="324"/>
      <c r="J145" s="324"/>
      <c r="K145" s="324"/>
      <c r="L145" s="324"/>
      <c r="M145" s="324">
        <f>15</f>
        <v>15</v>
      </c>
      <c r="N145" s="324"/>
      <c r="O145" s="324">
        <f>10</f>
        <v>10</v>
      </c>
      <c r="P145" s="324"/>
      <c r="Q145" s="324"/>
      <c r="R145" s="324"/>
      <c r="S145" s="324"/>
      <c r="T145" s="324"/>
      <c r="U145" s="324"/>
      <c r="V145" s="324"/>
      <c r="W145" s="324"/>
      <c r="X145" s="324"/>
      <c r="Y145" s="324"/>
      <c r="Z145" s="324"/>
      <c r="AA145" s="324"/>
      <c r="AB145" s="324"/>
      <c r="AC145" s="324"/>
      <c r="AD145" s="324"/>
      <c r="AE145" s="324"/>
      <c r="AF145" s="324"/>
      <c r="AG145" s="324"/>
      <c r="AH145" s="324"/>
      <c r="AI145" s="325">
        <f>IF($AO$2=1,COUNTIF(Interface!$C$22:$C$27,$A145),0)</f>
        <v>0</v>
      </c>
      <c r="AJ145" s="325">
        <f>IF($AO$2=2,COUNTIF(Interface!$C$30:$C$35,$A145),0)</f>
        <v>0</v>
      </c>
      <c r="AK145" s="325"/>
      <c r="AL145" s="325"/>
      <c r="AM145" s="326">
        <f>COUNTIF(Interface!$O$18:$O$23,$A145)</f>
        <v>0</v>
      </c>
      <c r="AN145" s="322" t="e">
        <f ca="1">_xludf.Image("https://ddragon.leagueoflegends.com/cdn/12.22.1/img/item/3179.png")</f>
        <v>#NAME?</v>
      </c>
      <c r="AO145" s="322" t="b">
        <f t="shared" si="55"/>
        <v>1</v>
      </c>
      <c r="AP145" s="328">
        <f t="shared" si="1"/>
        <v>0.95654347826086961</v>
      </c>
    </row>
    <row r="146" spans="1:42" ht="13.2">
      <c r="A146" s="316" t="s">
        <v>678</v>
      </c>
      <c r="B146" s="324">
        <f>900</f>
        <v>900</v>
      </c>
      <c r="C146" s="324"/>
      <c r="D146" s="324"/>
      <c r="E146" s="324"/>
      <c r="F146" s="324"/>
      <c r="G146" s="324">
        <f>15</f>
        <v>15</v>
      </c>
      <c r="H146" s="324"/>
      <c r="I146" s="324"/>
      <c r="J146" s="324"/>
      <c r="K146" s="324"/>
      <c r="L146" s="324"/>
      <c r="M146" s="324"/>
      <c r="N146" s="324">
        <f>7</f>
        <v>7</v>
      </c>
      <c r="O146" s="324"/>
      <c r="P146" s="324"/>
      <c r="Q146" s="324"/>
      <c r="R146" s="324"/>
      <c r="S146" s="324"/>
      <c r="T146" s="324"/>
      <c r="U146" s="324"/>
      <c r="V146" s="324"/>
      <c r="W146" s="324"/>
      <c r="X146" s="324"/>
      <c r="Y146" s="324"/>
      <c r="Z146" s="324"/>
      <c r="AA146" s="324"/>
      <c r="AB146" s="324"/>
      <c r="AC146" s="324"/>
      <c r="AD146" s="324"/>
      <c r="AE146" s="324"/>
      <c r="AF146" s="324"/>
      <c r="AG146" s="324"/>
      <c r="AH146" s="324"/>
      <c r="AI146" s="325">
        <f>IF($AO$2=1,COUNTIF(Interface!$C$22:$C$27,$A146),0)</f>
        <v>0</v>
      </c>
      <c r="AJ146" s="325">
        <f>IF($AO$2=2,COUNTIF(Interface!$C$30:$C$35,$A146),0)</f>
        <v>0</v>
      </c>
      <c r="AK146" s="325"/>
      <c r="AL146" s="325"/>
      <c r="AM146" s="326">
        <f>COUNTIF(Interface!$O$18:$O$23,$A146)</f>
        <v>0</v>
      </c>
      <c r="AN146" s="322" t="e">
        <f ca="1">_xludf.Image("https://ddragon.leagueoflegends.com/cdn/12.22.1/img/item/1053.png")</f>
        <v>#NAME?</v>
      </c>
      <c r="AO146" s="322" t="b">
        <f t="shared" ref="AO146:AO147" si="56">FALSE</f>
        <v>0</v>
      </c>
      <c r="AP146" s="345">
        <f t="shared" si="1"/>
        <v>0.875</v>
      </c>
    </row>
    <row r="147" spans="1:42" ht="13.2">
      <c r="A147" s="316" t="s">
        <v>679</v>
      </c>
      <c r="B147" s="324">
        <f>1000</f>
        <v>1000</v>
      </c>
      <c r="C147" s="324"/>
      <c r="D147" s="324"/>
      <c r="E147" s="324"/>
      <c r="F147" s="324"/>
      <c r="G147" s="324"/>
      <c r="H147" s="324">
        <f>20</f>
        <v>20</v>
      </c>
      <c r="I147" s="324"/>
      <c r="J147" s="324">
        <f>34</f>
        <v>34</v>
      </c>
      <c r="K147" s="324"/>
      <c r="L147" s="324"/>
      <c r="M147" s="324"/>
      <c r="N147" s="324"/>
      <c r="O147" s="324"/>
      <c r="P147" s="324"/>
      <c r="Q147" s="324"/>
      <c r="R147" s="324"/>
      <c r="S147" s="324"/>
      <c r="T147" s="324"/>
      <c r="U147" s="324"/>
      <c r="V147" s="324"/>
      <c r="W147" s="324"/>
      <c r="X147" s="324"/>
      <c r="Y147" s="324"/>
      <c r="Z147" s="324"/>
      <c r="AA147" s="324"/>
      <c r="AB147" s="324"/>
      <c r="AC147" s="324"/>
      <c r="AD147" s="324"/>
      <c r="AE147" s="324"/>
      <c r="AF147" s="324"/>
      <c r="AG147" s="324"/>
      <c r="AH147" s="324"/>
      <c r="AI147" s="325">
        <f>IF($AO$2=1,COUNTIF(Interface!$C$22:$C$27,$A147),0)</f>
        <v>0</v>
      </c>
      <c r="AJ147" s="325">
        <f>IF($AO$2=2,COUNTIF(Interface!$C$30:$C$35,$A147),0)</f>
        <v>0</v>
      </c>
      <c r="AK147" s="325"/>
      <c r="AL147" s="325"/>
      <c r="AM147" s="326">
        <f>COUNTIF(Interface!$O$18:$O$23,$A147)</f>
        <v>0</v>
      </c>
      <c r="AN147" s="322" t="e">
        <f ca="1">_xludf.Image("https://ddragon.leagueoflegends.com/cdn/12.22.1/img/item/4632.png")</f>
        <v>#NAME?</v>
      </c>
      <c r="AO147" s="322" t="b">
        <f t="shared" si="56"/>
        <v>0</v>
      </c>
      <c r="AP147" s="329">
        <f t="shared" si="1"/>
        <v>1.0469999999999999</v>
      </c>
    </row>
    <row r="148" spans="1:42" ht="13.2">
      <c r="A148" s="316" t="s">
        <v>680</v>
      </c>
      <c r="B148" s="324">
        <f>2300</f>
        <v>2300</v>
      </c>
      <c r="C148" s="324">
        <f>250</f>
        <v>250</v>
      </c>
      <c r="D148" s="324"/>
      <c r="E148" s="324"/>
      <c r="F148" s="324">
        <f>0.5</f>
        <v>0.5</v>
      </c>
      <c r="G148" s="324"/>
      <c r="H148" s="324"/>
      <c r="I148" s="324"/>
      <c r="J148" s="324"/>
      <c r="K148" s="324"/>
      <c r="L148" s="324"/>
      <c r="M148" s="324">
        <f>10</f>
        <v>10</v>
      </c>
      <c r="N148" s="324"/>
      <c r="O148" s="324"/>
      <c r="P148" s="324"/>
      <c r="Q148" s="324"/>
      <c r="R148" s="324"/>
      <c r="S148" s="324"/>
      <c r="T148" s="324"/>
      <c r="U148" s="324"/>
      <c r="V148" s="324"/>
      <c r="W148" s="324"/>
      <c r="X148" s="324"/>
      <c r="Y148" s="324"/>
      <c r="Z148" s="324"/>
      <c r="AA148" s="324"/>
      <c r="AB148" s="324"/>
      <c r="AC148" s="324"/>
      <c r="AD148" s="324"/>
      <c r="AE148" s="324"/>
      <c r="AF148" s="324"/>
      <c r="AG148" s="324"/>
      <c r="AH148" s="324"/>
      <c r="AI148" s="325">
        <f>IF($AO$2=1,COUNTIF(Interface!$C$22:$C$27,$A148),0)</f>
        <v>0</v>
      </c>
      <c r="AJ148" s="325">
        <f>IF($AO$2=2,COUNTIF(Interface!$C$30:$C$35,$A148),0)</f>
        <v>0</v>
      </c>
      <c r="AK148" s="325"/>
      <c r="AL148" s="325"/>
      <c r="AM148" s="326">
        <f>COUNTIF(Interface!$O$18:$O$23,$A148)</f>
        <v>0</v>
      </c>
      <c r="AN148" s="322" t="e">
        <f ca="1">_xludf.Image("https://ddragon.leagueoflegends.com/cdn/12.22.1/img/item/4643.png")</f>
        <v>#NAME?</v>
      </c>
      <c r="AO148" s="322" t="b">
        <f t="shared" ref="AO148:AO149" si="57">TRUE</f>
        <v>1</v>
      </c>
      <c r="AP148" s="335">
        <f t="shared" si="1"/>
        <v>0.51486956521739136</v>
      </c>
    </row>
    <row r="149" spans="1:42" ht="13.2">
      <c r="A149" s="316" t="s">
        <v>681</v>
      </c>
      <c r="B149" s="324">
        <f>2800</f>
        <v>2800</v>
      </c>
      <c r="C149" s="324"/>
      <c r="D149" s="324"/>
      <c r="E149" s="324"/>
      <c r="F149" s="324"/>
      <c r="G149" s="324"/>
      <c r="H149" s="324">
        <f>65</f>
        <v>65</v>
      </c>
      <c r="I149" s="324"/>
      <c r="J149" s="324"/>
      <c r="K149" s="324"/>
      <c r="L149" s="324"/>
      <c r="M149" s="324"/>
      <c r="N149" s="324"/>
      <c r="O149" s="324"/>
      <c r="P149" s="324"/>
      <c r="Q149" s="324"/>
      <c r="R149" s="324"/>
      <c r="S149" s="324"/>
      <c r="T149" s="324"/>
      <c r="U149" s="324"/>
      <c r="V149" s="324"/>
      <c r="W149" s="324"/>
      <c r="X149" s="324"/>
      <c r="Y149" s="324"/>
      <c r="Z149" s="324">
        <f>40</f>
        <v>40</v>
      </c>
      <c r="AA149" s="324"/>
      <c r="AB149" s="324"/>
      <c r="AC149" s="324"/>
      <c r="AD149" s="324"/>
      <c r="AE149" s="324"/>
      <c r="AF149" s="324"/>
      <c r="AG149" s="324"/>
      <c r="AH149" s="324"/>
      <c r="AI149" s="325">
        <f>IF($AO$2=1,COUNTIF(Interface!$C$22:$C$27,$A149),0)</f>
        <v>0</v>
      </c>
      <c r="AJ149" s="325">
        <f>IF($AO$2=2,COUNTIF(Interface!$C$30:$C$35,$A149),0)</f>
        <v>0</v>
      </c>
      <c r="AK149" s="325"/>
      <c r="AL149" s="325"/>
      <c r="AM149" s="326">
        <f>COUNTIF(Interface!$O$18:$O$23,$A149)</f>
        <v>0</v>
      </c>
      <c r="AN149" s="322" t="e">
        <f ca="1">_xludf.Image("https://ddragon.leagueoflegends.com/cdn/12.22.1/img/item/3135.png")</f>
        <v>#NAME?</v>
      </c>
      <c r="AO149" s="322" t="b">
        <f t="shared" si="57"/>
        <v>1</v>
      </c>
      <c r="AP149" s="329">
        <f t="shared" si="1"/>
        <v>0.50491071428571432</v>
      </c>
    </row>
    <row r="150" spans="1:42" ht="13.2">
      <c r="A150" s="316" t="s">
        <v>682</v>
      </c>
      <c r="B150" s="324">
        <f>1000</f>
        <v>1000</v>
      </c>
      <c r="C150" s="324"/>
      <c r="D150" s="324"/>
      <c r="E150" s="324"/>
      <c r="F150" s="324"/>
      <c r="G150" s="324"/>
      <c r="H150" s="324"/>
      <c r="I150" s="324">
        <f>40</f>
        <v>40</v>
      </c>
      <c r="J150" s="324"/>
      <c r="K150" s="324"/>
      <c r="L150" s="324"/>
      <c r="M150" s="324"/>
      <c r="N150" s="324"/>
      <c r="O150" s="324"/>
      <c r="P150" s="324"/>
      <c r="Q150" s="324"/>
      <c r="R150" s="324"/>
      <c r="S150" s="324"/>
      <c r="T150" s="324"/>
      <c r="U150" s="324"/>
      <c r="V150" s="324"/>
      <c r="W150" s="324"/>
      <c r="X150" s="324"/>
      <c r="Y150" s="324"/>
      <c r="Z150" s="324"/>
      <c r="AA150" s="324"/>
      <c r="AB150" s="324"/>
      <c r="AC150" s="324"/>
      <c r="AD150" s="324"/>
      <c r="AE150" s="324"/>
      <c r="AF150" s="324"/>
      <c r="AG150" s="324"/>
      <c r="AH150" s="324"/>
      <c r="AI150" s="325">
        <f>IF($AO$2=1,COUNTIF(Interface!$C$22:$C$27,$A150),0)</f>
        <v>0</v>
      </c>
      <c r="AJ150" s="325">
        <f>IF($AO$2=2,COUNTIF(Interface!$C$30:$C$35,$A150),0)</f>
        <v>0</v>
      </c>
      <c r="AK150" s="325"/>
      <c r="AL150" s="325"/>
      <c r="AM150" s="326">
        <f>COUNTIF(Interface!$O$18:$O$23,$A150)</f>
        <v>0</v>
      </c>
      <c r="AN150" s="322" t="e">
        <f ca="1">_xludf.Image("https://ddragon.leagueoflegends.com/cdn/12.22.1/img/item/3082.png")</f>
        <v>#NAME?</v>
      </c>
      <c r="AO150" s="322" t="b">
        <f>FALSE</f>
        <v>0</v>
      </c>
      <c r="AP150" s="358">
        <f t="shared" si="1"/>
        <v>0.8</v>
      </c>
    </row>
    <row r="151" spans="1:42" ht="13.2">
      <c r="A151" s="316" t="s">
        <v>683</v>
      </c>
      <c r="B151" s="324">
        <f>3000</f>
        <v>3000</v>
      </c>
      <c r="C151" s="324">
        <f>800</f>
        <v>800</v>
      </c>
      <c r="D151" s="324">
        <f>2</f>
        <v>2</v>
      </c>
      <c r="E151" s="324"/>
      <c r="F151" s="324"/>
      <c r="G151" s="324"/>
      <c r="H151" s="324"/>
      <c r="I151" s="324"/>
      <c r="J151" s="324"/>
      <c r="K151" s="324"/>
      <c r="L151" s="324"/>
      <c r="M151" s="324">
        <f t="shared" ref="M151:M152" si="58">10</f>
        <v>10</v>
      </c>
      <c r="N151" s="324"/>
      <c r="O151" s="324"/>
      <c r="P151" s="324"/>
      <c r="Q151" s="324"/>
      <c r="R151" s="324"/>
      <c r="S151" s="324"/>
      <c r="T151" s="324"/>
      <c r="U151" s="324"/>
      <c r="V151" s="324"/>
      <c r="W151" s="324"/>
      <c r="X151" s="324"/>
      <c r="Y151" s="324"/>
      <c r="Z151" s="324"/>
      <c r="AA151" s="324"/>
      <c r="AB151" s="324"/>
      <c r="AC151" s="324"/>
      <c r="AD151" s="324"/>
      <c r="AE151" s="324"/>
      <c r="AF151" s="324"/>
      <c r="AG151" s="324"/>
      <c r="AH151" s="324"/>
      <c r="AI151" s="325">
        <f>IF($AO$2=1,COUNTIF(Interface!$C$22:$C$27,$A151),0)</f>
        <v>0</v>
      </c>
      <c r="AJ151" s="325">
        <f>IF($AO$2=2,COUNTIF(Interface!$C$30:$C$35,$A151),0)</f>
        <v>0</v>
      </c>
      <c r="AK151" s="325"/>
      <c r="AL151" s="325"/>
      <c r="AM151" s="326">
        <f>COUNTIF(Interface!$O$18:$O$23,$A151)</f>
        <v>0</v>
      </c>
      <c r="AN151" s="322" t="e">
        <f ca="1">_xludf.Image("https://ddragon.leagueoflegends.com/cdn/12.22.1/img/item/3083.png")</f>
        <v>#NAME?</v>
      </c>
      <c r="AO151" s="322" t="b">
        <f t="shared" ref="AO151:AO152" si="59">TRUE</f>
        <v>1</v>
      </c>
      <c r="AP151" s="352">
        <f t="shared" si="1"/>
        <v>1.0008999999999999</v>
      </c>
    </row>
    <row r="152" spans="1:42" ht="13.2">
      <c r="A152" s="316" t="s">
        <v>684</v>
      </c>
      <c r="B152" s="324">
        <f>1100</f>
        <v>1100</v>
      </c>
      <c r="C152" s="324">
        <f t="shared" ref="C152:C153" si="60">150</f>
        <v>150</v>
      </c>
      <c r="D152" s="325"/>
      <c r="E152" s="325"/>
      <c r="F152" s="325">
        <f>0.5</f>
        <v>0.5</v>
      </c>
      <c r="G152" s="324"/>
      <c r="H152" s="324"/>
      <c r="I152" s="325"/>
      <c r="J152" s="325"/>
      <c r="K152" s="325"/>
      <c r="L152" s="325"/>
      <c r="M152" s="324">
        <f t="shared" si="58"/>
        <v>10</v>
      </c>
      <c r="N152" s="325"/>
      <c r="O152" s="325"/>
      <c r="P152" s="325"/>
      <c r="Q152" s="325"/>
      <c r="R152" s="325"/>
      <c r="S152" s="325"/>
      <c r="T152" s="325"/>
      <c r="U152" s="325"/>
      <c r="V152" s="325"/>
      <c r="W152" s="325"/>
      <c r="X152" s="325"/>
      <c r="Y152" s="325"/>
      <c r="Z152" s="325"/>
      <c r="AA152" s="325"/>
      <c r="AB152" s="325"/>
      <c r="AC152" s="325"/>
      <c r="AD152" s="325"/>
      <c r="AE152" s="325"/>
      <c r="AF152" s="325"/>
      <c r="AG152" s="325"/>
      <c r="AH152" s="325"/>
      <c r="AI152" s="325">
        <f>IF($AO$2=1,COUNTIF(Interface!$C$22:$C$27,$A152),0)</f>
        <v>0</v>
      </c>
      <c r="AJ152" s="325">
        <f>IF($AO$2=2,COUNTIF(Interface!$C$30:$C$35,$A152),0)</f>
        <v>0</v>
      </c>
      <c r="AK152" s="325"/>
      <c r="AL152" s="325"/>
      <c r="AM152" s="326">
        <f>COUNTIF(Interface!$O$18:$O$23,$A152)</f>
        <v>0</v>
      </c>
      <c r="AN152" s="370" t="e">
        <f ca="1">_xludf.Image("https://ddragon.leagueoflegends.com/cdn/12.22.1/img/item/4638.png")</f>
        <v>#NAME?</v>
      </c>
      <c r="AO152" s="322" t="b">
        <f t="shared" si="59"/>
        <v>1</v>
      </c>
      <c r="AP152" s="327"/>
    </row>
    <row r="153" spans="1:42" ht="13.2">
      <c r="A153" s="316" t="s">
        <v>685</v>
      </c>
      <c r="B153" s="324">
        <f>800</f>
        <v>800</v>
      </c>
      <c r="C153" s="324">
        <f t="shared" si="60"/>
        <v>150</v>
      </c>
      <c r="D153" s="325"/>
      <c r="E153" s="325"/>
      <c r="F153" s="325"/>
      <c r="G153" s="324"/>
      <c r="H153" s="324"/>
      <c r="I153" s="325"/>
      <c r="J153" s="325"/>
      <c r="K153" s="325"/>
      <c r="L153" s="325"/>
      <c r="M153" s="324"/>
      <c r="N153" s="325"/>
      <c r="O153" s="324"/>
      <c r="P153" s="325"/>
      <c r="Q153" s="325"/>
      <c r="R153" s="325">
        <f>5</f>
        <v>5</v>
      </c>
      <c r="S153" s="325"/>
      <c r="T153" s="325"/>
      <c r="U153" s="325"/>
      <c r="V153" s="325"/>
      <c r="W153" s="325"/>
      <c r="X153" s="325"/>
      <c r="Y153" s="325"/>
      <c r="Z153" s="325"/>
      <c r="AA153" s="325"/>
      <c r="AB153" s="325"/>
      <c r="AC153" s="325"/>
      <c r="AD153" s="325"/>
      <c r="AE153" s="325"/>
      <c r="AF153" s="325"/>
      <c r="AG153" s="325"/>
      <c r="AH153" s="325"/>
      <c r="AI153" s="325">
        <f>IF($AO$2=1,COUNTIF(Interface!$C$22:$C$27,$A153),0)</f>
        <v>0</v>
      </c>
      <c r="AJ153" s="325">
        <f>IF($AO$2=2,COUNTIF(Interface!$C$30:$C$35,$A153),0)</f>
        <v>0</v>
      </c>
      <c r="AK153" s="325"/>
      <c r="AL153" s="325"/>
      <c r="AM153" s="326">
        <f>COUNTIF(Interface!$O$18:$O$23,$A153)</f>
        <v>0</v>
      </c>
      <c r="AN153" s="370" t="e">
        <f ca="1">_xludf.Image("https://ddragon.leagueoflegends.com/cdn/12.22.1/img/item/3066.png")</f>
        <v>#NAME?</v>
      </c>
      <c r="AO153" s="322" t="b">
        <f>FALSE</f>
        <v>0</v>
      </c>
      <c r="AP153" s="371"/>
    </row>
    <row r="154" spans="1:42" ht="13.2">
      <c r="A154" s="316" t="s">
        <v>686</v>
      </c>
      <c r="B154" s="324">
        <f>2600</f>
        <v>2600</v>
      </c>
      <c r="C154" s="325">
        <f>400</f>
        <v>400</v>
      </c>
      <c r="D154" s="325"/>
      <c r="E154" s="325">
        <f>500</f>
        <v>500</v>
      </c>
      <c r="F154" s="325"/>
      <c r="G154" s="324"/>
      <c r="H154" s="325"/>
      <c r="I154" s="325"/>
      <c r="J154" s="325"/>
      <c r="K154" s="325"/>
      <c r="L154" s="325"/>
      <c r="M154" s="325">
        <f>15</f>
        <v>15</v>
      </c>
      <c r="N154" s="324"/>
      <c r="O154" s="324"/>
      <c r="P154" s="325"/>
      <c r="Q154" s="325"/>
      <c r="R154" s="325"/>
      <c r="S154" s="325"/>
      <c r="T154" s="325"/>
      <c r="U154" s="325"/>
      <c r="V154" s="325"/>
      <c r="W154" s="325"/>
      <c r="X154" s="325"/>
      <c r="Y154" s="325"/>
      <c r="Z154" s="325"/>
      <c r="AA154" s="325"/>
      <c r="AB154" s="324"/>
      <c r="AC154" s="325"/>
      <c r="AD154" s="325"/>
      <c r="AE154" s="325"/>
      <c r="AF154" s="325"/>
      <c r="AG154" s="325"/>
      <c r="AH154" s="325"/>
      <c r="AI154" s="325">
        <f>IF($AO$2=1,COUNTIF(Interface!$C$22:$C$27,$A154),0)</f>
        <v>0</v>
      </c>
      <c r="AJ154" s="325">
        <f>IF($AO$2=2,COUNTIF(Interface!$C$30:$C$35,$A154),0)</f>
        <v>0</v>
      </c>
      <c r="AK154" s="325"/>
      <c r="AL154" s="325"/>
      <c r="AM154" s="326">
        <f>COUNTIF(Interface!$O$18:$O$23,$A154)</f>
        <v>0</v>
      </c>
      <c r="AN154" s="370" t="e">
        <f ca="1">_xludf.Image("https://ddragon.leagueoflegends.com/cdn/12.22.1/img/item/3119.png")</f>
        <v>#NAME?</v>
      </c>
      <c r="AO154" s="322" t="b">
        <f t="shared" ref="AO154:AO155" si="61">TRUE</f>
        <v>1</v>
      </c>
      <c r="AP154" s="327"/>
    </row>
    <row r="155" spans="1:42" ht="13.2">
      <c r="A155" s="316" t="s">
        <v>687</v>
      </c>
      <c r="B155" s="324">
        <f>3100</f>
        <v>3100</v>
      </c>
      <c r="C155" s="324"/>
      <c r="D155" s="325"/>
      <c r="E155" s="324"/>
      <c r="F155" s="325"/>
      <c r="G155" s="325">
        <f>40</f>
        <v>40</v>
      </c>
      <c r="H155" s="324"/>
      <c r="I155" s="325"/>
      <c r="J155" s="325">
        <f t="shared" ref="J155:K155" si="62">40</f>
        <v>40</v>
      </c>
      <c r="K155" s="325">
        <f t="shared" si="62"/>
        <v>40</v>
      </c>
      <c r="L155" s="325"/>
      <c r="M155" s="324"/>
      <c r="N155" s="325"/>
      <c r="O155" s="325"/>
      <c r="P155" s="325"/>
      <c r="Q155" s="325"/>
      <c r="R155" s="325"/>
      <c r="S155" s="325"/>
      <c r="T155" s="325"/>
      <c r="U155" s="325">
        <f>25 + IF(Self_Level &gt; 9, (55 / 9) * (Self_Level - 9),0)</f>
        <v>25</v>
      </c>
      <c r="V155" s="325"/>
      <c r="W155" s="325"/>
      <c r="X155" s="325"/>
      <c r="Y155" s="325"/>
      <c r="Z155" s="325"/>
      <c r="AA155" s="325"/>
      <c r="AB155" s="325"/>
      <c r="AC155" s="325"/>
      <c r="AD155" s="325"/>
      <c r="AE155" s="325"/>
      <c r="AF155" s="325"/>
      <c r="AG155" s="325">
        <f>20</f>
        <v>20</v>
      </c>
      <c r="AH155" s="325"/>
      <c r="AI155" s="325">
        <f>IF($AO$2=1,COUNTIF(Interface!$C$22:$C$27,$A155),0)</f>
        <v>0</v>
      </c>
      <c r="AJ155" s="325">
        <f>IF($AO$2=2,COUNTIF(Interface!$C$30:$C$35,$A155),0)</f>
        <v>0</v>
      </c>
      <c r="AK155" s="325"/>
      <c r="AL155" s="325"/>
      <c r="AM155" s="326">
        <f>COUNTIF(Interface!$O$18:$O$23,$A155)</f>
        <v>0</v>
      </c>
      <c r="AN155" s="370" t="e">
        <f ca="1">_xludf.Image("https://ddragon.leagueoflegends.com/cdn/12.22.1/img/item/3091.png")</f>
        <v>#NAME?</v>
      </c>
      <c r="AO155" s="322" t="b">
        <f t="shared" si="61"/>
        <v>1</v>
      </c>
      <c r="AP155" s="371"/>
    </row>
    <row r="156" spans="1:42" ht="13.2">
      <c r="A156" s="316" t="s">
        <v>688</v>
      </c>
      <c r="B156" s="324">
        <f>1100</f>
        <v>1100</v>
      </c>
      <c r="C156" s="324"/>
      <c r="D156" s="325"/>
      <c r="E156" s="325"/>
      <c r="F156" s="325"/>
      <c r="G156" s="324"/>
      <c r="H156" s="325"/>
      <c r="I156" s="324"/>
      <c r="J156" s="324"/>
      <c r="K156" s="325">
        <f t="shared" ref="K156:L156" si="63">15</f>
        <v>15</v>
      </c>
      <c r="L156" s="325">
        <f t="shared" si="63"/>
        <v>15</v>
      </c>
      <c r="M156" s="324"/>
      <c r="N156" s="325"/>
      <c r="O156" s="325"/>
      <c r="P156" s="325"/>
      <c r="Q156" s="325"/>
      <c r="R156" s="325">
        <f>5</f>
        <v>5</v>
      </c>
      <c r="S156" s="325"/>
      <c r="T156" s="325"/>
      <c r="U156" s="325"/>
      <c r="V156" s="325"/>
      <c r="W156" s="325"/>
      <c r="X156" s="325"/>
      <c r="Y156" s="325"/>
      <c r="Z156" s="325"/>
      <c r="AA156" s="325"/>
      <c r="AB156" s="325"/>
      <c r="AC156" s="325"/>
      <c r="AD156" s="325"/>
      <c r="AE156" s="325"/>
      <c r="AF156" s="325"/>
      <c r="AG156" s="325"/>
      <c r="AH156" s="325"/>
      <c r="AI156" s="325">
        <f>IF($AO$2=1,COUNTIF(Interface!$C$22:$C$27,$A156),0)</f>
        <v>0</v>
      </c>
      <c r="AJ156" s="325">
        <f>IF($AO$2=2,COUNTIF(Interface!$C$30:$C$35,$A156),0)</f>
        <v>0</v>
      </c>
      <c r="AK156" s="325"/>
      <c r="AL156" s="325"/>
      <c r="AM156" s="326">
        <f>COUNTIF(Interface!$O$18:$O$23,$A156)</f>
        <v>0</v>
      </c>
      <c r="AN156" s="370" t="e">
        <f ca="1">_xludf.Image("https://ddragon.leagueoflegends.com/cdn/12.22.1/img/item/3086.png")</f>
        <v>#NAME?</v>
      </c>
      <c r="AO156" s="322" t="b">
        <f>FALSE</f>
        <v>0</v>
      </c>
      <c r="AP156" s="327"/>
    </row>
    <row r="157" spans="1:42" ht="13.2">
      <c r="A157" s="316" t="s">
        <v>689</v>
      </c>
      <c r="B157" s="324">
        <f>2200</f>
        <v>2200</v>
      </c>
      <c r="C157" s="324">
        <f>200</f>
        <v>200</v>
      </c>
      <c r="D157" s="325"/>
      <c r="E157" s="325">
        <f>250</f>
        <v>250</v>
      </c>
      <c r="F157" s="325"/>
      <c r="G157" s="324"/>
      <c r="H157" s="325"/>
      <c r="I157" s="324">
        <f t="shared" ref="I157:I158" si="64">45</f>
        <v>45</v>
      </c>
      <c r="J157" s="324"/>
      <c r="K157" s="324"/>
      <c r="L157" s="324"/>
      <c r="M157" s="325">
        <f t="shared" ref="M157:M158" si="65">15</f>
        <v>15</v>
      </c>
      <c r="N157" s="325"/>
      <c r="O157" s="325"/>
      <c r="P157" s="325"/>
      <c r="Q157" s="325"/>
      <c r="R157" s="325"/>
      <c r="S157" s="325"/>
      <c r="T157" s="325"/>
      <c r="U157" s="325"/>
      <c r="V157" s="325"/>
      <c r="W157" s="325"/>
      <c r="X157" s="325"/>
      <c r="Y157" s="325"/>
      <c r="Z157" s="325"/>
      <c r="AA157" s="325"/>
      <c r="AB157" s="325"/>
      <c r="AC157" s="325"/>
      <c r="AD157" s="325"/>
      <c r="AE157" s="325"/>
      <c r="AF157" s="325"/>
      <c r="AG157" s="325"/>
      <c r="AH157" s="325"/>
      <c r="AI157" s="325">
        <f>IF($AO$2=1,COUNTIF(Interface!$C$22:$C$27,$A157),0)</f>
        <v>0</v>
      </c>
      <c r="AJ157" s="325">
        <f>IF($AO$2=2,COUNTIF(Interface!$C$30:$C$35,$A157),0)</f>
        <v>0</v>
      </c>
      <c r="AK157" s="325"/>
      <c r="AL157" s="325"/>
      <c r="AM157" s="326">
        <f>COUNTIF(Interface!$O$18:$O$23,$A157)</f>
        <v>0</v>
      </c>
      <c r="AN157" s="370" t="e">
        <f ca="1">_xludf.Image("https://ddragon.leagueoflegends.com/cdn/12.22.1/img/item/3050.png")</f>
        <v>#NAME?</v>
      </c>
      <c r="AO157" s="322" t="b">
        <f t="shared" ref="AO157:AO158" si="66">TRUE</f>
        <v>1</v>
      </c>
      <c r="AP157" s="371"/>
    </row>
    <row r="158" spans="1:42" ht="13.2">
      <c r="A158" s="316" t="s">
        <v>690</v>
      </c>
      <c r="B158" s="324">
        <f>3000</f>
        <v>3000</v>
      </c>
      <c r="C158" s="324"/>
      <c r="D158" s="324"/>
      <c r="E158" s="325"/>
      <c r="F158" s="325"/>
      <c r="G158" s="324"/>
      <c r="H158" s="325">
        <f>80</f>
        <v>80</v>
      </c>
      <c r="I158" s="325">
        <f t="shared" si="64"/>
        <v>45</v>
      </c>
      <c r="J158" s="325"/>
      <c r="K158" s="325"/>
      <c r="L158" s="325"/>
      <c r="M158" s="324">
        <f t="shared" si="65"/>
        <v>15</v>
      </c>
      <c r="N158" s="325"/>
      <c r="O158" s="325"/>
      <c r="P158" s="325"/>
      <c r="Q158" s="325"/>
      <c r="R158" s="325"/>
      <c r="S158" s="325"/>
      <c r="T158" s="325"/>
      <c r="U158" s="325"/>
      <c r="V158" s="325"/>
      <c r="W158" s="325"/>
      <c r="X158" s="325"/>
      <c r="Y158" s="325"/>
      <c r="Z158" s="325"/>
      <c r="AA158" s="325"/>
      <c r="AB158" s="325"/>
      <c r="AC158" s="325"/>
      <c r="AD158" s="325"/>
      <c r="AE158" s="325"/>
      <c r="AF158" s="325"/>
      <c r="AG158" s="325"/>
      <c r="AH158" s="325"/>
      <c r="AI158" s="325">
        <f>IF($AO$2=1,COUNTIF(Interface!$C$22:$C$27,$A158),0)</f>
        <v>0</v>
      </c>
      <c r="AJ158" s="325">
        <f>IF($AO$2=2,COUNTIF(Interface!$C$30:$C$35,$A158),0)</f>
        <v>0</v>
      </c>
      <c r="AK158" s="325"/>
      <c r="AL158" s="325"/>
      <c r="AM158" s="326">
        <f>COUNTIF(Interface!$O$18:$O$23,$A158)</f>
        <v>0</v>
      </c>
      <c r="AN158" s="370" t="e">
        <f ca="1">_xludf.Image("https://ddragon.leagueoflegends.com/cdn/12.22.1/img/item/3157.png")</f>
        <v>#NAME?</v>
      </c>
      <c r="AO158" s="322" t="b">
        <f t="shared" si="66"/>
        <v>1</v>
      </c>
      <c r="AP158" s="327"/>
    </row>
    <row r="159" spans="1:42" ht="13.2">
      <c r="A159" s="316"/>
      <c r="B159" s="324"/>
      <c r="C159" s="324"/>
      <c r="D159" s="325"/>
      <c r="E159" s="325"/>
      <c r="F159" s="325"/>
      <c r="G159" s="324"/>
      <c r="H159" s="324"/>
      <c r="I159" s="325"/>
      <c r="J159" s="325"/>
      <c r="K159" s="325"/>
      <c r="L159" s="325"/>
      <c r="M159" s="324"/>
      <c r="N159" s="325"/>
      <c r="O159" s="324"/>
      <c r="P159" s="324"/>
      <c r="Q159" s="324"/>
      <c r="R159" s="325"/>
      <c r="S159" s="325"/>
      <c r="T159" s="324"/>
      <c r="U159" s="324"/>
      <c r="V159" s="324"/>
      <c r="W159" s="324"/>
      <c r="X159" s="324"/>
      <c r="Y159" s="325"/>
      <c r="Z159" s="325"/>
      <c r="AA159" s="325"/>
      <c r="AB159" s="325"/>
      <c r="AC159" s="325"/>
      <c r="AD159" s="325"/>
      <c r="AE159" s="325"/>
      <c r="AF159" s="325"/>
      <c r="AG159" s="325"/>
      <c r="AH159" s="325"/>
      <c r="AI159" s="325"/>
      <c r="AJ159" s="325"/>
      <c r="AK159" s="325"/>
      <c r="AL159" s="325"/>
      <c r="AM159" s="326"/>
      <c r="AN159" s="370"/>
      <c r="AO159" s="322"/>
      <c r="AP159" s="371"/>
    </row>
    <row r="160" spans="1:42" ht="13.2">
      <c r="A160" s="372" t="s">
        <v>70</v>
      </c>
      <c r="B160" s="324"/>
      <c r="C160" s="325"/>
      <c r="D160" s="325"/>
      <c r="E160" s="325"/>
      <c r="F160" s="325"/>
      <c r="G160" s="324"/>
      <c r="H160" s="325"/>
      <c r="I160" s="325"/>
      <c r="J160" s="325"/>
      <c r="K160" s="324"/>
      <c r="L160" s="324"/>
      <c r="M160" s="325"/>
      <c r="N160" s="324"/>
      <c r="O160" s="325"/>
      <c r="P160" s="325"/>
      <c r="Q160" s="325"/>
      <c r="R160" s="325"/>
      <c r="S160" s="325"/>
      <c r="T160" s="325"/>
      <c r="U160" s="325"/>
      <c r="V160" s="325"/>
      <c r="W160" s="325"/>
      <c r="X160" s="325"/>
      <c r="Y160" s="325"/>
      <c r="Z160" s="325"/>
      <c r="AA160" s="325"/>
      <c r="AB160" s="325"/>
      <c r="AC160" s="325"/>
      <c r="AD160" s="325"/>
      <c r="AE160" s="325"/>
      <c r="AF160" s="325"/>
      <c r="AG160" s="325"/>
      <c r="AH160" s="325"/>
      <c r="AI160" s="325"/>
      <c r="AJ160" s="325"/>
      <c r="AK160" s="325"/>
      <c r="AL160" s="325"/>
      <c r="AM160" s="326"/>
      <c r="AN160" s="322" t="e">
        <f ca="1">_xludf.Image("https://puu.sh/I6Yjx/080458c278.png")</f>
        <v>#NAME?</v>
      </c>
      <c r="AO160" s="322"/>
      <c r="AP160" s="327"/>
    </row>
    <row r="161" spans="1:42" ht="13.2">
      <c r="A161" s="316" t="s">
        <v>691</v>
      </c>
      <c r="B161" s="324">
        <f>2800</f>
        <v>2800</v>
      </c>
      <c r="C161" s="324">
        <f>250</f>
        <v>250</v>
      </c>
      <c r="D161" s="325"/>
      <c r="E161" s="325">
        <f>600</f>
        <v>600</v>
      </c>
      <c r="F161" s="325"/>
      <c r="G161" s="324"/>
      <c r="H161" s="324">
        <f>70 + 8 * Legendary + IF(Steroid_Items, 10 + 30 * Sc_Lin, 0)</f>
        <v>70</v>
      </c>
      <c r="I161" s="325"/>
      <c r="J161" s="325"/>
      <c r="K161" s="324"/>
      <c r="L161" s="325"/>
      <c r="M161" s="324">
        <f t="shared" ref="M161:M162" si="67">20</f>
        <v>20</v>
      </c>
      <c r="N161" s="325"/>
      <c r="O161" s="325"/>
      <c r="P161" s="325"/>
      <c r="Q161" s="325"/>
      <c r="R161" s="325">
        <f>1 * Legendary</f>
        <v>0</v>
      </c>
      <c r="S161" s="325"/>
      <c r="T161" s="325"/>
      <c r="U161" s="325"/>
      <c r="V161" s="325"/>
      <c r="W161" s="325"/>
      <c r="X161" s="325"/>
      <c r="Y161" s="325"/>
      <c r="Z161" s="325"/>
      <c r="AA161" s="325"/>
      <c r="AB161" s="325"/>
      <c r="AC161" s="325"/>
      <c r="AD161" s="325"/>
      <c r="AE161" s="325"/>
      <c r="AF161" s="325"/>
      <c r="AG161" s="325"/>
      <c r="AH161" s="325"/>
      <c r="AI161" s="325">
        <f>IF($AO$2=1,COUNTIF(Interface!$C$22:$C$27,$A161),0)</f>
        <v>0</v>
      </c>
      <c r="AJ161" s="325">
        <f>IF($AO$2=2,COUNTIF(Interface!$C$30:$C$35,$A161),0)</f>
        <v>0</v>
      </c>
      <c r="AK161" s="325"/>
      <c r="AL161" s="325"/>
      <c r="AM161" s="326">
        <f>COUNTIF(Interface!$O$18:$O$23,$A161)</f>
        <v>0</v>
      </c>
      <c r="AN161" s="322" t="e">
        <f ca="1">_xludf.Image("https://ddragon.leagueoflegends.com/cdn/12.22.1/img/item/4644.png")</f>
        <v>#NAME?</v>
      </c>
      <c r="AO161" s="322" t="b">
        <f t="shared" ref="AO161:AO188" si="68">FALSE</f>
        <v>0</v>
      </c>
      <c r="AP161" s="358">
        <f t="shared" ref="AP161:AP185" si="69">(C161 * 2.67 +
D161 * 300 +
E161 * 1.4 +
F161 * 500 +
G161 * 35 +
H161 * 21.75 +
I161 * 20 +
J161 * 18 +
K161 * 25 +
L161 * 40 +
M161 * 26.67 +
N161 * 37.5 +
O161 * 5 +
P161 * 31.11 +
Q161 * 12 +
R161 * 39.5 +
S161 * 56.67 +
T161 * 25 +
U161 * 25) / B161</f>
        <v>1.2726428571428572</v>
      </c>
    </row>
    <row r="162" spans="1:42" ht="13.2">
      <c r="A162" s="316" t="s">
        <v>692</v>
      </c>
      <c r="B162" s="324">
        <f>3300</f>
        <v>3300</v>
      </c>
      <c r="C162" s="325">
        <f>300</f>
        <v>300</v>
      </c>
      <c r="D162" s="325"/>
      <c r="E162" s="325"/>
      <c r="F162" s="325"/>
      <c r="G162" s="324">
        <f>40</f>
        <v>40</v>
      </c>
      <c r="H162" s="325"/>
      <c r="I162" s="325"/>
      <c r="J162" s="325"/>
      <c r="K162" s="324"/>
      <c r="L162" s="324"/>
      <c r="M162" s="325">
        <f t="shared" si="67"/>
        <v>20</v>
      </c>
      <c r="N162" s="325"/>
      <c r="O162" s="325"/>
      <c r="P162" s="325"/>
      <c r="Q162" s="325"/>
      <c r="R162" s="325"/>
      <c r="S162" s="325"/>
      <c r="T162" s="325"/>
      <c r="U162" s="325"/>
      <c r="V162" s="325"/>
      <c r="W162" s="325"/>
      <c r="X162" s="325" t="e">
        <f ca="1">(0.02 * IF(VLOOKUP(Name,Champs!A2:AE200,31,FALSE), 2, 1) * E_MHP + 1.6 * Self_BaAD) * MOD_Phys</f>
        <v>#NAME?</v>
      </c>
      <c r="Y162" s="325">
        <f>3 * Legendary</f>
        <v>0</v>
      </c>
      <c r="Z162" s="325">
        <f>3 * Legendary</f>
        <v>0</v>
      </c>
      <c r="AA162" s="325"/>
      <c r="AB162" s="325"/>
      <c r="AC162" s="325"/>
      <c r="AD162" s="325"/>
      <c r="AE162" s="325"/>
      <c r="AF162" s="325"/>
      <c r="AG162" s="325"/>
      <c r="AH162" s="325"/>
      <c r="AI162" s="325">
        <f>IF($AO$2=1,COUNTIF(Interface!$C$22:$C$27,$A162),0)</f>
        <v>0</v>
      </c>
      <c r="AJ162" s="325">
        <f>IF($AO$2=2,COUNTIF(Interface!$C$30:$C$35,$A162),0)</f>
        <v>0</v>
      </c>
      <c r="AK162" s="325"/>
      <c r="AL162" s="325"/>
      <c r="AM162" s="326">
        <f>COUNTIF(Interface!$O$18:$O$23,$A162)</f>
        <v>0</v>
      </c>
      <c r="AN162" s="322" t="e">
        <f ca="1">_xludf.Image("https://ddragon.leagueoflegends.com/cdn/12.22.1/img/item/6632.png")</f>
        <v>#NAME?</v>
      </c>
      <c r="AO162" s="322" t="b">
        <f t="shared" si="68"/>
        <v>0</v>
      </c>
      <c r="AP162" s="331">
        <f t="shared" si="69"/>
        <v>0.82860606060606068</v>
      </c>
    </row>
    <row r="163" spans="1:42" ht="13.2">
      <c r="A163" s="316" t="s">
        <v>693</v>
      </c>
      <c r="B163" s="324">
        <f>3100</f>
        <v>3100</v>
      </c>
      <c r="C163" s="324"/>
      <c r="D163" s="325"/>
      <c r="E163" s="324"/>
      <c r="F163" s="325"/>
      <c r="G163" s="325">
        <f>60</f>
        <v>60</v>
      </c>
      <c r="H163" s="324"/>
      <c r="I163" s="325"/>
      <c r="J163" s="325"/>
      <c r="K163" s="325"/>
      <c r="L163" s="325"/>
      <c r="M163" s="324">
        <f>20 + 5 * Legendary</f>
        <v>20</v>
      </c>
      <c r="N163" s="325"/>
      <c r="O163" s="324">
        <f>18</f>
        <v>18</v>
      </c>
      <c r="P163" s="325"/>
      <c r="Q163" s="325"/>
      <c r="R163" s="325"/>
      <c r="S163" s="325"/>
      <c r="T163" s="325"/>
      <c r="U163" s="325"/>
      <c r="V163" s="325"/>
      <c r="W163" s="325"/>
      <c r="X163" s="325"/>
      <c r="Y163" s="325"/>
      <c r="Z163" s="325"/>
      <c r="AA163" s="325"/>
      <c r="AB163" s="325"/>
      <c r="AC163" s="325"/>
      <c r="AD163" s="325"/>
      <c r="AE163" s="325"/>
      <c r="AF163" s="325"/>
      <c r="AG163" s="325">
        <f>5 * Legendary</f>
        <v>0</v>
      </c>
      <c r="AH163" s="325"/>
      <c r="AI163" s="325">
        <f>IF($AO$2=1,COUNTIF(Interface!$C$22:$C$27,$A163),0)</f>
        <v>0</v>
      </c>
      <c r="AJ163" s="325">
        <f>IF($AO$2=2,COUNTIF(Interface!$C$30:$C$35,$A163),0)</f>
        <v>0</v>
      </c>
      <c r="AK163" s="325"/>
      <c r="AL163" s="325"/>
      <c r="AM163" s="326">
        <f>COUNTIF(Interface!$O$18:$O$23,$A163)</f>
        <v>0</v>
      </c>
      <c r="AN163" s="322" t="e">
        <f ca="1">_xludf.Image("https://ddragon.leagueoflegends.com/cdn/12.22.1/img/item/6691.png")</f>
        <v>#NAME?</v>
      </c>
      <c r="AO163" s="322" t="b">
        <f t="shared" si="68"/>
        <v>0</v>
      </c>
      <c r="AP163" s="328">
        <f t="shared" si="69"/>
        <v>0.87851612903225806</v>
      </c>
    </row>
    <row r="164" spans="1:42" ht="13.2">
      <c r="A164" s="316" t="s">
        <v>694</v>
      </c>
      <c r="B164" s="324">
        <f>2300</f>
        <v>2300</v>
      </c>
      <c r="C164" s="324">
        <f>200</f>
        <v>200</v>
      </c>
      <c r="D164" s="325"/>
      <c r="E164" s="325"/>
      <c r="F164" s="325">
        <f>1.25</f>
        <v>1.25</v>
      </c>
      <c r="G164" s="325"/>
      <c r="H164" s="325">
        <f>30 + 12 * IT_MPR</f>
        <v>30</v>
      </c>
      <c r="I164" s="324"/>
      <c r="J164" s="324"/>
      <c r="K164" s="325"/>
      <c r="L164" s="325"/>
      <c r="M164" s="324">
        <f>15 + 5 * Legendary</f>
        <v>15</v>
      </c>
      <c r="N164" s="325"/>
      <c r="O164" s="325"/>
      <c r="P164" s="325"/>
      <c r="Q164" s="325"/>
      <c r="R164" s="325"/>
      <c r="S164" s="325"/>
      <c r="T164" s="325"/>
      <c r="U164" s="325"/>
      <c r="V164" s="325"/>
      <c r="W164" s="325">
        <f>60 + 340 * Sc_Lin</f>
        <v>60</v>
      </c>
      <c r="X164" s="325"/>
      <c r="Y164" s="325"/>
      <c r="Z164" s="325"/>
      <c r="AA164" s="325"/>
      <c r="AB164" s="325"/>
      <c r="AC164" s="325"/>
      <c r="AD164" s="325"/>
      <c r="AE164" s="325"/>
      <c r="AF164" s="325"/>
      <c r="AG164" s="325"/>
      <c r="AH164" s="325"/>
      <c r="AI164" s="325">
        <f>IF($AO$2=1,COUNTIF(Interface!$C$22:$C$27,$A164),0)</f>
        <v>0</v>
      </c>
      <c r="AJ164" s="325">
        <f>IF($AO$2=2,COUNTIF(Interface!$C$30:$C$35,$A164),0)</f>
        <v>0</v>
      </c>
      <c r="AK164" s="325"/>
      <c r="AL164" s="325"/>
      <c r="AM164" s="326">
        <f>COUNTIF(Interface!$O$18:$O$23,$A164)</f>
        <v>0</v>
      </c>
      <c r="AN164" s="322"/>
      <c r="AO164" s="322" t="b">
        <f t="shared" si="68"/>
        <v>0</v>
      </c>
      <c r="AP164" s="329">
        <f t="shared" si="69"/>
        <v>0.96154347826086961</v>
      </c>
    </row>
    <row r="165" spans="1:42" ht="13.2">
      <c r="A165" s="316" t="s">
        <v>695</v>
      </c>
      <c r="B165" s="324">
        <f>3100</f>
        <v>3100</v>
      </c>
      <c r="C165" s="325"/>
      <c r="D165" s="325"/>
      <c r="E165" s="324"/>
      <c r="F165" s="325"/>
      <c r="G165" s="325">
        <f>60</f>
        <v>60</v>
      </c>
      <c r="H165" s="324"/>
      <c r="I165" s="325"/>
      <c r="J165" s="325"/>
      <c r="K165" s="325"/>
      <c r="L165" s="325"/>
      <c r="M165" s="324">
        <f>15</f>
        <v>15</v>
      </c>
      <c r="N165" s="325"/>
      <c r="O165" s="325">
        <f>12</f>
        <v>12</v>
      </c>
      <c r="P165" s="324"/>
      <c r="Q165" s="325"/>
      <c r="R165" s="325"/>
      <c r="S165" s="325"/>
      <c r="T165" s="325"/>
      <c r="U165" s="325"/>
      <c r="V165" s="325"/>
      <c r="W165" s="324"/>
      <c r="X165" s="325"/>
      <c r="Y165" s="325">
        <f>4 * Legendary</f>
        <v>0</v>
      </c>
      <c r="Z165" s="325"/>
      <c r="AA165" s="325"/>
      <c r="AB165" s="325"/>
      <c r="AC165" s="325"/>
      <c r="AD165" s="325"/>
      <c r="AE165" s="325">
        <f>IF(VLOOKUP(Name,Champs!A2:AE200,31,FALSE), 0.06, 0.03) * E_MHP</f>
        <v>0</v>
      </c>
      <c r="AF165" s="325"/>
      <c r="AG165" s="325">
        <f>5 * Legendary</f>
        <v>0</v>
      </c>
      <c r="AH165" s="325"/>
      <c r="AI165" s="325">
        <f>IF($AO$2=1,COUNTIF(Interface!$C$22:$C$27,$A165),0)</f>
        <v>0</v>
      </c>
      <c r="AJ165" s="325">
        <f>IF($AO$2=2,COUNTIF(Interface!$C$30:$C$35,$A165),0)</f>
        <v>0</v>
      </c>
      <c r="AK165" s="325"/>
      <c r="AL165" s="325"/>
      <c r="AM165" s="326">
        <f>COUNTIF(Interface!$O$18:$O$23,$A165)</f>
        <v>0</v>
      </c>
      <c r="AN165" s="322" t="e">
        <f ca="1">_xludf.Image("https://ddragon.leagueoflegends.com/cdn/12.22.1/img/item/6692.png")</f>
        <v>#NAME?</v>
      </c>
      <c r="AO165" s="322" t="b">
        <f t="shared" si="68"/>
        <v>0</v>
      </c>
      <c r="AP165" s="333">
        <f t="shared" si="69"/>
        <v>0.82582258064516134</v>
      </c>
    </row>
    <row r="166" spans="1:42" ht="13.2">
      <c r="A166" s="316" t="s">
        <v>696</v>
      </c>
      <c r="B166" s="324">
        <f>2300</f>
        <v>2300</v>
      </c>
      <c r="C166" s="324">
        <f>200</f>
        <v>200</v>
      </c>
      <c r="D166" s="325"/>
      <c r="E166" s="324"/>
      <c r="F166" s="324"/>
      <c r="G166" s="324"/>
      <c r="H166" s="324"/>
      <c r="I166" s="324">
        <f>30 + 5 * Legendary</f>
        <v>30</v>
      </c>
      <c r="J166" s="324">
        <f>30 + 5 * Legendary</f>
        <v>30</v>
      </c>
      <c r="K166" s="325"/>
      <c r="L166" s="325"/>
      <c r="M166" s="324">
        <f t="shared" ref="M166:M167" si="70">20</f>
        <v>20</v>
      </c>
      <c r="N166" s="325"/>
      <c r="O166" s="324"/>
      <c r="P166" s="324"/>
      <c r="Q166" s="324"/>
      <c r="R166" s="325"/>
      <c r="S166" s="325"/>
      <c r="T166" s="324"/>
      <c r="U166" s="324"/>
      <c r="V166" s="324"/>
      <c r="W166" s="324"/>
      <c r="X166" s="324"/>
      <c r="Y166" s="325"/>
      <c r="Z166" s="325"/>
      <c r="AA166" s="325"/>
      <c r="AB166" s="325"/>
      <c r="AC166" s="325">
        <f>IF(Steroid_Items, 10, 0)</f>
        <v>0</v>
      </c>
      <c r="AD166" s="325">
        <f>IF(Steroid_Items, 10, 0)</f>
        <v>0</v>
      </c>
      <c r="AE166" s="325"/>
      <c r="AF166" s="325"/>
      <c r="AG166" s="325"/>
      <c r="AH166" s="325"/>
      <c r="AI166" s="325">
        <f>IF($AO$2=1,COUNTIF(Interface!$C$22:$C$27,$A166),0)</f>
        <v>0</v>
      </c>
      <c r="AJ166" s="325">
        <f>IF($AO$2=2,COUNTIF(Interface!$C$30:$C$35,$A166),0)</f>
        <v>0</v>
      </c>
      <c r="AK166" s="325"/>
      <c r="AL166" s="325"/>
      <c r="AM166" s="326">
        <f>COUNTIF(Interface!$O$18:$O$23,$A166)</f>
        <v>0</v>
      </c>
      <c r="AN166" s="322" t="e">
        <f ca="1">_xludf.Image("https://ddragon.leagueoflegends.com/cdn/12.22.1/img/item/3001.png")</f>
        <v>#NAME?</v>
      </c>
      <c r="AO166" s="322" t="b">
        <f t="shared" si="68"/>
        <v>0</v>
      </c>
      <c r="AP166" s="329">
        <f t="shared" si="69"/>
        <v>0.95973913043478265</v>
      </c>
    </row>
    <row r="167" spans="1:42" ht="13.2">
      <c r="A167" s="316" t="s">
        <v>697</v>
      </c>
      <c r="B167" s="324">
        <f>2800</f>
        <v>2800</v>
      </c>
      <c r="C167" s="324">
        <f>250</f>
        <v>250</v>
      </c>
      <c r="D167" s="325"/>
      <c r="E167" s="324">
        <f>600</f>
        <v>600</v>
      </c>
      <c r="F167" s="325"/>
      <c r="G167" s="324"/>
      <c r="H167" s="324">
        <f>70 + 10 * Legendary</f>
        <v>70</v>
      </c>
      <c r="I167" s="324"/>
      <c r="J167" s="324"/>
      <c r="K167" s="325"/>
      <c r="L167" s="325"/>
      <c r="M167" s="324">
        <f t="shared" si="70"/>
        <v>20</v>
      </c>
      <c r="N167" s="325"/>
      <c r="O167" s="324"/>
      <c r="P167" s="324"/>
      <c r="Q167" s="324"/>
      <c r="R167" s="325"/>
      <c r="S167" s="325"/>
      <c r="T167" s="324"/>
      <c r="U167" s="324"/>
      <c r="V167" s="324"/>
      <c r="W167" s="324">
        <f>100 + 0.3 * Self_AP</f>
        <v>100</v>
      </c>
      <c r="X167" s="324"/>
      <c r="Y167" s="325"/>
      <c r="Z167" s="325"/>
      <c r="AA167" s="325"/>
      <c r="AB167" s="325"/>
      <c r="AC167" s="325"/>
      <c r="AD167" s="325"/>
      <c r="AE167" s="325"/>
      <c r="AF167" s="325"/>
      <c r="AG167" s="325"/>
      <c r="AH167" s="325"/>
      <c r="AI167" s="325">
        <f>IF($AO$2=1,COUNTIF(Interface!$C$22:$C$27,$A167),0)</f>
        <v>0</v>
      </c>
      <c r="AJ167" s="325">
        <f>IF($AO$2=2,COUNTIF(Interface!$C$30:$C$35,$A167),0)</f>
        <v>0</v>
      </c>
      <c r="AK167" s="325"/>
      <c r="AL167" s="325"/>
      <c r="AM167" s="326">
        <f>COUNTIF(Interface!$O$18:$O$23,$A167)</f>
        <v>0</v>
      </c>
      <c r="AN167" s="322" t="e">
        <f ca="1">_xludf.Image("https://ddragon.leagueoflegends.com/cdn/12.22.1/img/item/6656.png")</f>
        <v>#NAME?</v>
      </c>
      <c r="AO167" s="322" t="b">
        <f t="shared" si="68"/>
        <v>0</v>
      </c>
      <c r="AP167" s="329">
        <f t="shared" si="69"/>
        <v>1.2726428571428572</v>
      </c>
    </row>
    <row r="168" spans="1:42" ht="13.2">
      <c r="A168" s="316" t="s">
        <v>698</v>
      </c>
      <c r="B168" s="324">
        <f>3400</f>
        <v>3400</v>
      </c>
      <c r="C168" s="324"/>
      <c r="D168" s="325"/>
      <c r="E168" s="324"/>
      <c r="F168" s="325"/>
      <c r="G168" s="324">
        <f>50 + 5 * Legendary</f>
        <v>50</v>
      </c>
      <c r="H168" s="324"/>
      <c r="I168" s="324"/>
      <c r="J168" s="324"/>
      <c r="K168" s="325">
        <f>15</f>
        <v>15</v>
      </c>
      <c r="L168" s="325">
        <f>20</f>
        <v>20</v>
      </c>
      <c r="M168" s="324"/>
      <c r="N168" s="325"/>
      <c r="O168" s="324"/>
      <c r="P168" s="324"/>
      <c r="Q168" s="324"/>
      <c r="R168" s="325">
        <f>7</f>
        <v>7</v>
      </c>
      <c r="S168" s="325"/>
      <c r="T168" s="324"/>
      <c r="U168" s="324"/>
      <c r="V168" s="324"/>
      <c r="W168" s="324">
        <f>(150 + MAX((200 / 8) * (Self_Level - 10), 0) + 0.45 * Self_BoAD) * (1 + 0.5 * (1 - (MAX(25, E_CHP) - 25) / 75))</f>
        <v>150</v>
      </c>
      <c r="X168" s="324"/>
      <c r="Y168" s="325"/>
      <c r="Z168" s="325"/>
      <c r="AA168" s="325"/>
      <c r="AB168" s="325"/>
      <c r="AC168" s="325"/>
      <c r="AD168" s="325"/>
      <c r="AE168" s="325"/>
      <c r="AF168" s="325"/>
      <c r="AG168" s="325"/>
      <c r="AH168" s="325"/>
      <c r="AI168" s="325">
        <f>IF($AO$2=1,COUNTIF(Interface!$C$22:$C$27,$A168),0)</f>
        <v>0</v>
      </c>
      <c r="AJ168" s="325">
        <f>IF($AO$2=2,COUNTIF(Interface!$C$30:$C$35,$A168),0)</f>
        <v>0</v>
      </c>
      <c r="AK168" s="325"/>
      <c r="AL168" s="325"/>
      <c r="AM168" s="326">
        <f>COUNTIF(Interface!$O$18:$O$23,$A168)</f>
        <v>0</v>
      </c>
      <c r="AN168" s="322" t="e">
        <f ca="1">_xludf.Image("https://ddragon.leagueoflegends.com/cdn/12.22.1/img/item/6671.png")</f>
        <v>#NAME?</v>
      </c>
      <c r="AO168" s="322" t="b">
        <f t="shared" si="68"/>
        <v>0</v>
      </c>
      <c r="AP168" s="329">
        <f t="shared" si="69"/>
        <v>0.94161764705882356</v>
      </c>
    </row>
    <row r="169" spans="1:42" ht="13.2">
      <c r="A169" s="316" t="s">
        <v>699</v>
      </c>
      <c r="B169" s="324">
        <f t="shared" ref="B169:B172" si="71">3200</f>
        <v>3200</v>
      </c>
      <c r="C169" s="324">
        <f>300 + 75 * Legendary</f>
        <v>300</v>
      </c>
      <c r="D169" s="325"/>
      <c r="E169" s="325"/>
      <c r="F169" s="325"/>
      <c r="G169" s="325">
        <f>55</f>
        <v>55</v>
      </c>
      <c r="H169" s="324"/>
      <c r="I169" s="324"/>
      <c r="J169" s="324"/>
      <c r="K169" s="325"/>
      <c r="L169" s="325"/>
      <c r="M169" s="324">
        <f>20 + 3 * Legendary</f>
        <v>20</v>
      </c>
      <c r="N169" s="324">
        <f>8</f>
        <v>8</v>
      </c>
      <c r="O169" s="325"/>
      <c r="P169" s="325"/>
      <c r="Q169" s="325"/>
      <c r="R169" s="325"/>
      <c r="S169" s="325"/>
      <c r="T169" s="325"/>
      <c r="U169" s="325"/>
      <c r="V169" s="325"/>
      <c r="W169" s="325"/>
      <c r="X169" s="325"/>
      <c r="Y169" s="325"/>
      <c r="Z169" s="325"/>
      <c r="AA169" s="325"/>
      <c r="AB169" s="324">
        <f>8</f>
        <v>8</v>
      </c>
      <c r="AC169" s="325"/>
      <c r="AD169" s="325"/>
      <c r="AE169" s="325">
        <f>Self_BaAD * 1.75</f>
        <v>0</v>
      </c>
      <c r="AF169" s="325"/>
      <c r="AG169" s="325"/>
      <c r="AH169" s="325"/>
      <c r="AI169" s="325">
        <f>IF($AO$2=1,COUNTIF(Interface!$C$22:$C$27,$A169),0)</f>
        <v>0</v>
      </c>
      <c r="AJ169" s="325">
        <f>IF($AO$2=2,COUNTIF(Interface!$C$30:$C$35,$A169),0)</f>
        <v>0</v>
      </c>
      <c r="AK169" s="325"/>
      <c r="AL169" s="325"/>
      <c r="AM169" s="326">
        <f>COUNTIF(Interface!$O$18:$O$23,$A169)</f>
        <v>0</v>
      </c>
      <c r="AN169" s="322" t="e">
        <f ca="1">_xludf.Image("https://ddragon.leagueoflegends.com/cdn/12.22.1/img/item/6630.png")</f>
        <v>#NAME?</v>
      </c>
      <c r="AO169" s="322" t="b">
        <f t="shared" si="68"/>
        <v>0</v>
      </c>
      <c r="AP169" s="329">
        <f t="shared" si="69"/>
        <v>1.1123125</v>
      </c>
    </row>
    <row r="170" spans="1:42" ht="13.2">
      <c r="A170" s="316" t="s">
        <v>700</v>
      </c>
      <c r="B170" s="324">
        <f t="shared" si="71"/>
        <v>3200</v>
      </c>
      <c r="C170" s="324"/>
      <c r="D170" s="325"/>
      <c r="E170" s="325"/>
      <c r="F170" s="325"/>
      <c r="G170" s="325">
        <f t="shared" ref="G170:H170" si="72">30</f>
        <v>30</v>
      </c>
      <c r="H170" s="325">
        <f t="shared" si="72"/>
        <v>30</v>
      </c>
      <c r="I170" s="324"/>
      <c r="J170" s="324"/>
      <c r="K170" s="325">
        <f>25 + 32</f>
        <v>57</v>
      </c>
      <c r="L170" s="325"/>
      <c r="M170" s="324"/>
      <c r="N170" s="325"/>
      <c r="O170" s="325"/>
      <c r="P170" s="325"/>
      <c r="Q170" s="325"/>
      <c r="R170" s="324"/>
      <c r="S170" s="325"/>
      <c r="T170" s="325"/>
      <c r="U170" s="325">
        <f>30 + 150 * Self_Crit</f>
        <v>30</v>
      </c>
      <c r="V170" s="325"/>
      <c r="W170" s="325"/>
      <c r="X170" s="325"/>
      <c r="Y170" s="325">
        <f>5 * Legendary</f>
        <v>0</v>
      </c>
      <c r="Z170" s="325">
        <f>6 * Legendary</f>
        <v>0</v>
      </c>
      <c r="AA170" s="325"/>
      <c r="AB170" s="325"/>
      <c r="AC170" s="325"/>
      <c r="AD170" s="325"/>
      <c r="AE170" s="325"/>
      <c r="AF170" s="325"/>
      <c r="AG170" s="325"/>
      <c r="AH170" s="325"/>
      <c r="AI170" s="325">
        <f>IF($AO$2=1,COUNTIF(Interface!$C$22:$C$27,$A170),0)</f>
        <v>0</v>
      </c>
      <c r="AJ170" s="325">
        <f>IF($AO$2=2,COUNTIF(Interface!$C$30:$C$35,$A170),0)</f>
        <v>0</v>
      </c>
      <c r="AK170" s="325"/>
      <c r="AL170" s="325"/>
      <c r="AM170" s="326">
        <f>COUNTIF(Interface!$O$18:$O$23,$A170)</f>
        <v>0</v>
      </c>
      <c r="AN170" s="322" t="e">
        <f ca="1">_xludf.Image("https://ddragon.leagueoflegends.com/cdn/12.22.1/img/item/3124.png")</f>
        <v>#NAME?</v>
      </c>
      <c r="AO170" s="322" t="b">
        <f t="shared" si="68"/>
        <v>0</v>
      </c>
      <c r="AP170" s="373">
        <f t="shared" si="69"/>
        <v>1.21171875</v>
      </c>
    </row>
    <row r="171" spans="1:42" ht="13.2">
      <c r="A171" s="316" t="s">
        <v>701</v>
      </c>
      <c r="B171" s="324">
        <f t="shared" si="71"/>
        <v>3200</v>
      </c>
      <c r="C171" s="324">
        <f>800</f>
        <v>800</v>
      </c>
      <c r="D171" s="325">
        <f>2</f>
        <v>2</v>
      </c>
      <c r="E171" s="325"/>
      <c r="F171" s="325"/>
      <c r="G171" s="324"/>
      <c r="H171" s="325"/>
      <c r="I171" s="325"/>
      <c r="J171" s="325"/>
      <c r="K171" s="324"/>
      <c r="L171" s="325"/>
      <c r="M171" s="324">
        <f>20</f>
        <v>20</v>
      </c>
      <c r="N171" s="325"/>
      <c r="O171" s="325"/>
      <c r="P171" s="325"/>
      <c r="Q171" s="325"/>
      <c r="R171" s="325"/>
      <c r="S171" s="325"/>
      <c r="T171" s="325"/>
      <c r="U171" s="325"/>
      <c r="V171" s="325"/>
      <c r="W171" s="325"/>
      <c r="X171" s="325"/>
      <c r="Y171" s="325"/>
      <c r="Z171" s="325"/>
      <c r="AA171" s="325"/>
      <c r="AB171" s="325"/>
      <c r="AC171" s="325"/>
      <c r="AD171" s="325"/>
      <c r="AE171" s="325">
        <f>125 + 0.06 * E_MHP</f>
        <v>125</v>
      </c>
      <c r="AF171" s="325"/>
      <c r="AG171" s="325"/>
      <c r="AH171" s="325"/>
      <c r="AI171" s="325">
        <f>IF($AO$2=1,COUNTIF(Interface!$C$22:$C$27,$A171),0)</f>
        <v>0</v>
      </c>
      <c r="AJ171" s="325">
        <f>IF($AO$2=2,COUNTIF(Interface!$C$30:$C$35,$A171),0)</f>
        <v>0</v>
      </c>
      <c r="AK171" s="325"/>
      <c r="AL171" s="325"/>
      <c r="AM171" s="326">
        <f>COUNTIF(Interface!$O$18:$O$23,$A171)</f>
        <v>0</v>
      </c>
      <c r="AN171" s="322" t="e">
        <f ca="1">_xludf.Image("https://ddragon.leagueoflegends.com/cdn/12.22.1/img/item/3084.png")</f>
        <v>#NAME?</v>
      </c>
      <c r="AO171" s="322" t="b">
        <f t="shared" si="68"/>
        <v>0</v>
      </c>
      <c r="AP171" s="329">
        <f t="shared" si="69"/>
        <v>1.0216875000000001</v>
      </c>
    </row>
    <row r="172" spans="1:42" ht="13.2">
      <c r="A172" s="316" t="s">
        <v>702</v>
      </c>
      <c r="B172" s="324">
        <f t="shared" si="71"/>
        <v>3200</v>
      </c>
      <c r="C172" s="324">
        <f>250</f>
        <v>250</v>
      </c>
      <c r="D172" s="325"/>
      <c r="E172" s="325"/>
      <c r="F172" s="325"/>
      <c r="G172" s="324"/>
      <c r="H172" s="325">
        <f>90</f>
        <v>90</v>
      </c>
      <c r="I172" s="324"/>
      <c r="J172" s="324"/>
      <c r="K172" s="325"/>
      <c r="L172" s="325"/>
      <c r="M172" s="324">
        <f>15</f>
        <v>15</v>
      </c>
      <c r="N172" s="325"/>
      <c r="O172" s="325"/>
      <c r="P172" s="325">
        <f>6 + 5 * Legendary</f>
        <v>6</v>
      </c>
      <c r="Q172" s="325"/>
      <c r="R172" s="325"/>
      <c r="S172" s="325"/>
      <c r="T172" s="325"/>
      <c r="U172" s="325"/>
      <c r="V172" s="325"/>
      <c r="W172" s="325">
        <f>125+0.15*Self_AP</f>
        <v>125</v>
      </c>
      <c r="X172" s="325"/>
      <c r="Y172" s="325"/>
      <c r="Z172" s="325"/>
      <c r="AA172" s="325"/>
      <c r="AB172" s="325"/>
      <c r="AC172" s="325"/>
      <c r="AD172" s="325"/>
      <c r="AE172" s="325"/>
      <c r="AF172" s="325"/>
      <c r="AG172" s="325"/>
      <c r="AH172" s="325"/>
      <c r="AI172" s="325">
        <f>IF($AO$2=1,COUNTIF(Interface!$C$22:$C$27,$A172),0)</f>
        <v>0</v>
      </c>
      <c r="AJ172" s="325">
        <f>IF($AO$2=2,COUNTIF(Interface!$C$30:$C$35,$A172),0)</f>
        <v>0</v>
      </c>
      <c r="AK172" s="325"/>
      <c r="AL172" s="325"/>
      <c r="AM172" s="326">
        <f>COUNTIF(Interface!$O$18:$O$23,$A172)</f>
        <v>0</v>
      </c>
      <c r="AN172" s="322" t="e">
        <f ca="1">_xludf.Image("https://ddragon.leagueoflegends.com/cdn/12.22.1/img/item/3152.png")</f>
        <v>#NAME?</v>
      </c>
      <c r="AO172" s="322" t="b">
        <f t="shared" si="68"/>
        <v>0</v>
      </c>
      <c r="AP172" s="337">
        <f t="shared" si="69"/>
        <v>1.003659375</v>
      </c>
    </row>
    <row r="173" spans="1:42" ht="13.2">
      <c r="A173" s="316" t="s">
        <v>703</v>
      </c>
      <c r="B173" s="324">
        <f>3000</f>
        <v>3000</v>
      </c>
      <c r="C173" s="324">
        <f>400 + 50 * Legendary</f>
        <v>400</v>
      </c>
      <c r="D173" s="325"/>
      <c r="E173" s="325"/>
      <c r="F173" s="325"/>
      <c r="G173" s="324"/>
      <c r="H173" s="324"/>
      <c r="I173" s="325">
        <f>50</f>
        <v>50</v>
      </c>
      <c r="J173" s="325"/>
      <c r="K173" s="324"/>
      <c r="L173" s="325"/>
      <c r="M173" s="324">
        <f>20</f>
        <v>20</v>
      </c>
      <c r="N173" s="325"/>
      <c r="O173" s="325"/>
      <c r="P173" s="325"/>
      <c r="Q173" s="325"/>
      <c r="R173" s="325"/>
      <c r="S173" s="325"/>
      <c r="T173" s="325"/>
      <c r="U173" s="325"/>
      <c r="V173" s="325"/>
      <c r="W173" s="325"/>
      <c r="X173" s="325">
        <f>Self_BaAD</f>
        <v>0</v>
      </c>
      <c r="Y173" s="325"/>
      <c r="Z173" s="325"/>
      <c r="AA173" s="325"/>
      <c r="AB173" s="325"/>
      <c r="AC173" s="325"/>
      <c r="AD173" s="325"/>
      <c r="AE173" s="325"/>
      <c r="AF173" s="325">
        <f>5 * Legendary</f>
        <v>0</v>
      </c>
      <c r="AG173" s="325"/>
      <c r="AH173" s="325"/>
      <c r="AI173" s="325">
        <f>IF($AO$2=1,COUNTIF(Interface!$C$22:$C$27,$A173),0)</f>
        <v>0</v>
      </c>
      <c r="AJ173" s="325">
        <f>IF($AO$2=2,COUNTIF(Interface!$C$30:$C$35,$A173),0)</f>
        <v>0</v>
      </c>
      <c r="AK173" s="325"/>
      <c r="AL173" s="325"/>
      <c r="AM173" s="326">
        <f>COUNTIF(Interface!$O$18:$O$23,$A173)</f>
        <v>0</v>
      </c>
      <c r="AN173" s="322" t="e">
        <f ca="1">_xludf.Image("https://ddragon.leagueoflegends.com/cdn/12.22.1/img/item/6662.png")</f>
        <v>#NAME?</v>
      </c>
      <c r="AO173" s="322" t="b">
        <f t="shared" si="68"/>
        <v>0</v>
      </c>
      <c r="AP173" s="331">
        <f t="shared" si="69"/>
        <v>0.86713333333333331</v>
      </c>
    </row>
    <row r="174" spans="1:42" ht="13.2">
      <c r="A174" s="316" t="s">
        <v>704</v>
      </c>
      <c r="B174" s="324">
        <f>3400</f>
        <v>3400</v>
      </c>
      <c r="C174" s="324"/>
      <c r="D174" s="325"/>
      <c r="E174" s="324"/>
      <c r="F174" s="325"/>
      <c r="G174" s="325">
        <f>70 + 5 * Legendary</f>
        <v>70</v>
      </c>
      <c r="H174" s="324"/>
      <c r="I174" s="324"/>
      <c r="J174" s="324"/>
      <c r="K174" s="325"/>
      <c r="L174" s="325">
        <f>20</f>
        <v>20</v>
      </c>
      <c r="M174" s="324"/>
      <c r="N174" s="325"/>
      <c r="O174" s="325"/>
      <c r="P174" s="324"/>
      <c r="Q174" s="325"/>
      <c r="R174" s="325"/>
      <c r="S174" s="325"/>
      <c r="T174" s="325"/>
      <c r="U174" s="325"/>
      <c r="V174" s="325"/>
      <c r="W174" s="325"/>
      <c r="X174" s="325"/>
      <c r="Y174" s="325"/>
      <c r="Z174" s="325"/>
      <c r="AA174" s="325">
        <f>35</f>
        <v>35</v>
      </c>
      <c r="AB174" s="325"/>
      <c r="AC174" s="325"/>
      <c r="AD174" s="325"/>
      <c r="AE174" s="325"/>
      <c r="AF174" s="325"/>
      <c r="AG174" s="325"/>
      <c r="AH174" s="325"/>
      <c r="AI174" s="325">
        <f>IF($AO$2=1,COUNTIF(Interface!$C$22:$C$27,$A174),0)</f>
        <v>0</v>
      </c>
      <c r="AJ174" s="325">
        <f>IF($AO$2=2,COUNTIF(Interface!$C$30:$C$35,$A174),0)</f>
        <v>0</v>
      </c>
      <c r="AK174" s="325"/>
      <c r="AL174" s="325"/>
      <c r="AM174" s="326">
        <f>COUNTIF(Interface!$O$18:$O$23,$A174)</f>
        <v>0</v>
      </c>
      <c r="AN174" s="322" t="e">
        <f ca="1">_xludf.Image("https://ddragon.leagueoflegends.com/cdn/12.22.1/img/item/3031.png")</f>
        <v>#NAME?</v>
      </c>
      <c r="AO174" s="322" t="b">
        <f t="shared" si="68"/>
        <v>0</v>
      </c>
      <c r="AP174" s="329">
        <f t="shared" si="69"/>
        <v>0.95588235294117652</v>
      </c>
    </row>
    <row r="175" spans="1:42" ht="13.2">
      <c r="A175" s="316" t="s">
        <v>705</v>
      </c>
      <c r="B175" s="324">
        <f t="shared" ref="B175:B176" si="73">3200</f>
        <v>3200</v>
      </c>
      <c r="C175" s="324">
        <f>400</f>
        <v>400</v>
      </c>
      <c r="D175" s="325"/>
      <c r="E175" s="325"/>
      <c r="F175" s="325"/>
      <c r="G175" s="324"/>
      <c r="H175" s="324"/>
      <c r="I175" s="325">
        <f>30 + 5 * Legendary + IF(Steroid_Items, 8, 0)</f>
        <v>30</v>
      </c>
      <c r="J175" s="325">
        <f>30 + 5 * Legendary + IF(Steroid_Items, 8, 0)</f>
        <v>30</v>
      </c>
      <c r="K175" s="325"/>
      <c r="L175" s="325"/>
      <c r="M175" s="324">
        <f>20</f>
        <v>20</v>
      </c>
      <c r="N175" s="325"/>
      <c r="O175" s="325"/>
      <c r="P175" s="325"/>
      <c r="Q175" s="325"/>
      <c r="R175" s="325"/>
      <c r="S175" s="325"/>
      <c r="T175" s="325"/>
      <c r="U175" s="325"/>
      <c r="V175" s="325"/>
      <c r="W175" s="325">
        <f>80 + 0.07 * Self_BoHP</f>
        <v>80</v>
      </c>
      <c r="X175" s="325"/>
      <c r="Y175" s="325"/>
      <c r="Z175" s="325"/>
      <c r="AA175" s="325"/>
      <c r="AB175" s="325"/>
      <c r="AC175" s="325"/>
      <c r="AD175" s="325"/>
      <c r="AE175" s="325"/>
      <c r="AF175" s="325"/>
      <c r="AG175" s="325"/>
      <c r="AH175" s="325"/>
      <c r="AI175" s="325">
        <f>IF($AO$2=1,COUNTIF(Interface!$C$22:$C$27,$A175),0)</f>
        <v>0</v>
      </c>
      <c r="AJ175" s="325">
        <f>IF($AO$2=2,COUNTIF(Interface!$C$30:$C$35,$A175),0)</f>
        <v>0</v>
      </c>
      <c r="AK175" s="325"/>
      <c r="AL175" s="325"/>
      <c r="AM175" s="326">
        <f>COUNTIF(Interface!$O$18:$O$23,$A175)</f>
        <v>0</v>
      </c>
      <c r="AN175" s="370" t="e">
        <f ca="1">_xludf.Image("https://ddragon.leagueoflegends.com/cdn/12.22.1/img/item/6665.png")</f>
        <v>#NAME?</v>
      </c>
      <c r="AO175" s="322" t="b">
        <f t="shared" si="68"/>
        <v>0</v>
      </c>
      <c r="AP175" s="373">
        <f t="shared" si="69"/>
        <v>0.85668750000000005</v>
      </c>
    </row>
    <row r="176" spans="1:42" ht="13.2">
      <c r="A176" s="316" t="s">
        <v>706</v>
      </c>
      <c r="B176" s="324">
        <f t="shared" si="73"/>
        <v>3200</v>
      </c>
      <c r="C176" s="324"/>
      <c r="D176" s="325"/>
      <c r="E176" s="325">
        <f>600</f>
        <v>600</v>
      </c>
      <c r="F176" s="325"/>
      <c r="G176" s="324"/>
      <c r="H176" s="324">
        <f>80</f>
        <v>80</v>
      </c>
      <c r="I176" s="325"/>
      <c r="J176" s="325"/>
      <c r="K176" s="325"/>
      <c r="L176" s="325"/>
      <c r="M176" s="324">
        <f>20 + 5 * Legendary</f>
        <v>20</v>
      </c>
      <c r="N176" s="325"/>
      <c r="O176" s="324"/>
      <c r="P176" s="325"/>
      <c r="Q176" s="325"/>
      <c r="R176" s="325"/>
      <c r="S176" s="325"/>
      <c r="T176" s="325"/>
      <c r="U176" s="325"/>
      <c r="V176" s="325"/>
      <c r="W176" s="325">
        <f>50+0.06*Self_AP+0.04*E_MHP</f>
        <v>50</v>
      </c>
      <c r="X176" s="325"/>
      <c r="Y176" s="325"/>
      <c r="Z176" s="325"/>
      <c r="AA176" s="325"/>
      <c r="AB176" s="325"/>
      <c r="AC176" s="325">
        <f>MIN(0.12,IF(E_BoHp&gt;0,0.12*(E_BoHp/1250),0))</f>
        <v>0</v>
      </c>
      <c r="AD176" s="325"/>
      <c r="AE176" s="325"/>
      <c r="AF176" s="325"/>
      <c r="AG176" s="325"/>
      <c r="AH176" s="325"/>
      <c r="AI176" s="325">
        <f>IF($AO$2=1,COUNTIF(Interface!$C$22:$C$27,$A176),0)</f>
        <v>0</v>
      </c>
      <c r="AJ176" s="325">
        <f>IF($AO$2=2,COUNTIF(Interface!$C$30:$C$35,$A176),0)</f>
        <v>0</v>
      </c>
      <c r="AK176" s="325"/>
      <c r="AL176" s="325"/>
      <c r="AM176" s="326">
        <f>COUNTIF(Interface!$O$18:$O$23,$A176)</f>
        <v>0</v>
      </c>
      <c r="AN176" s="370" t="e">
        <f ca="1">_xludf.Image("https://ddragon.leagueoflegends.com/cdn/12.22.1/img/item/6653.png")</f>
        <v>#NAME?</v>
      </c>
      <c r="AO176" s="322" t="b">
        <f t="shared" si="68"/>
        <v>0</v>
      </c>
      <c r="AP176" s="374">
        <f t="shared" si="69"/>
        <v>0.97293750000000001</v>
      </c>
    </row>
    <row r="177" spans="1:42" ht="13.2">
      <c r="A177" s="316" t="s">
        <v>707</v>
      </c>
      <c r="B177" s="324">
        <f>2300</f>
        <v>2300</v>
      </c>
      <c r="C177" s="325">
        <f>200</f>
        <v>200</v>
      </c>
      <c r="D177" s="325"/>
      <c r="E177" s="325"/>
      <c r="F177" s="325"/>
      <c r="G177" s="324"/>
      <c r="H177" s="325"/>
      <c r="I177" s="325">
        <f t="shared" ref="I177:J177" si="74">30</f>
        <v>30</v>
      </c>
      <c r="J177" s="325">
        <f t="shared" si="74"/>
        <v>30</v>
      </c>
      <c r="K177" s="325"/>
      <c r="L177" s="325"/>
      <c r="M177" s="325">
        <f t="shared" ref="M177:M179" si="75">20</f>
        <v>20</v>
      </c>
      <c r="N177" s="324"/>
      <c r="O177" s="324"/>
      <c r="P177" s="325"/>
      <c r="Q177" s="325"/>
      <c r="R177" s="325"/>
      <c r="S177" s="325"/>
      <c r="T177" s="325"/>
      <c r="U177" s="325"/>
      <c r="V177" s="325"/>
      <c r="W177" s="325"/>
      <c r="X177" s="325"/>
      <c r="Y177" s="325"/>
      <c r="Z177" s="325"/>
      <c r="AA177" s="325"/>
      <c r="AB177" s="324"/>
      <c r="AC177" s="325"/>
      <c r="AD177" s="325"/>
      <c r="AE177" s="325"/>
      <c r="AF177" s="325"/>
      <c r="AG177" s="325"/>
      <c r="AH177" s="325">
        <f>(200 + 160 * Sc_Lin) * MOD_SelfHeal</f>
        <v>200</v>
      </c>
      <c r="AI177" s="325">
        <f>IF($AO$2=1,COUNTIF(Interface!$C$22:$C$27,$A177),0)</f>
        <v>0</v>
      </c>
      <c r="AJ177" s="325">
        <f>IF($AO$2=2,COUNTIF(Interface!$C$30:$C$35,$A177),0)</f>
        <v>0</v>
      </c>
      <c r="AK177" s="325"/>
      <c r="AL177" s="325"/>
      <c r="AM177" s="326">
        <f>COUNTIF(Interface!$O$18:$O$23,$A177)</f>
        <v>0</v>
      </c>
      <c r="AN177" s="370" t="e">
        <f ca="1">_xludf.Image("https://ddragon.leagueoflegends.com/cdn/12.22.1/img/item/3190.png")</f>
        <v>#NAME?</v>
      </c>
      <c r="AO177" s="322" t="b">
        <f t="shared" si="68"/>
        <v>0</v>
      </c>
      <c r="AP177" s="331">
        <f t="shared" si="69"/>
        <v>0.95973913043478265</v>
      </c>
    </row>
    <row r="178" spans="1:42" ht="13.2">
      <c r="A178" s="316" t="s">
        <v>708</v>
      </c>
      <c r="B178" s="324">
        <f>3200</f>
        <v>3200</v>
      </c>
      <c r="C178" s="324"/>
      <c r="D178" s="325"/>
      <c r="E178" s="324">
        <f>600</f>
        <v>600</v>
      </c>
      <c r="F178" s="325"/>
      <c r="G178" s="325"/>
      <c r="H178" s="324">
        <f>80</f>
        <v>80</v>
      </c>
      <c r="I178" s="325"/>
      <c r="J178" s="325"/>
      <c r="K178" s="325"/>
      <c r="L178" s="325"/>
      <c r="M178" s="324">
        <f t="shared" si="75"/>
        <v>20</v>
      </c>
      <c r="N178" s="325"/>
      <c r="O178" s="325"/>
      <c r="P178" s="325">
        <f>6 + 5 * Legendary</f>
        <v>6</v>
      </c>
      <c r="Q178" s="325"/>
      <c r="R178" s="325"/>
      <c r="S178" s="325"/>
      <c r="T178" s="325"/>
      <c r="U178" s="325"/>
      <c r="V178" s="325"/>
      <c r="W178" s="325">
        <f>100+0.1*Self_AP</f>
        <v>100</v>
      </c>
      <c r="X178" s="325"/>
      <c r="Y178" s="325"/>
      <c r="Z178" s="325"/>
      <c r="AA178" s="325"/>
      <c r="AB178" s="325"/>
      <c r="AC178" s="325"/>
      <c r="AD178" s="325"/>
      <c r="AE178" s="325"/>
      <c r="AF178" s="325"/>
      <c r="AG178" s="325"/>
      <c r="AH178" s="325"/>
      <c r="AI178" s="325">
        <f>IF($AO$2=1,COUNTIF(Interface!$C$22:$C$27,$A178),0)</f>
        <v>0</v>
      </c>
      <c r="AJ178" s="325">
        <f>IF($AO$2=2,COUNTIF(Interface!$C$30:$C$35,$A178),0)</f>
        <v>0</v>
      </c>
      <c r="AK178" s="325"/>
      <c r="AL178" s="325"/>
      <c r="AM178" s="326">
        <f>COUNTIF(Interface!$O$18:$O$23,$A178)</f>
        <v>0</v>
      </c>
      <c r="AN178" s="370" t="e">
        <f ca="1">_xludf.Image("https://ddragon.leagueoflegends.com/cdn/12.22.1/img/item/6655.png")</f>
        <v>#NAME?</v>
      </c>
      <c r="AO178" s="322" t="b">
        <f t="shared" si="68"/>
        <v>0</v>
      </c>
      <c r="AP178" s="329">
        <f t="shared" si="69"/>
        <v>1.03126875</v>
      </c>
    </row>
    <row r="179" spans="1:42" ht="13.2">
      <c r="A179" s="316" t="s">
        <v>709</v>
      </c>
      <c r="B179" s="324">
        <f>2300</f>
        <v>2300</v>
      </c>
      <c r="C179" s="324">
        <f>200</f>
        <v>200</v>
      </c>
      <c r="D179" s="325"/>
      <c r="E179" s="325"/>
      <c r="F179" s="325">
        <f>1</f>
        <v>1</v>
      </c>
      <c r="G179" s="324"/>
      <c r="H179" s="325">
        <f>35</f>
        <v>35</v>
      </c>
      <c r="I179" s="324"/>
      <c r="J179" s="324"/>
      <c r="K179" s="325"/>
      <c r="L179" s="325"/>
      <c r="M179" s="324">
        <f t="shared" si="75"/>
        <v>20</v>
      </c>
      <c r="N179" s="325"/>
      <c r="O179" s="325"/>
      <c r="P179" s="325"/>
      <c r="Q179" s="325"/>
      <c r="R179" s="325"/>
      <c r="S179" s="325">
        <f>5 * Legendary</f>
        <v>0</v>
      </c>
      <c r="T179" s="325"/>
      <c r="U179" s="325"/>
      <c r="V179" s="325"/>
      <c r="W179" s="325"/>
      <c r="X179" s="325"/>
      <c r="Y179" s="325"/>
      <c r="Z179" s="325"/>
      <c r="AA179" s="325"/>
      <c r="AB179" s="325"/>
      <c r="AC179" s="325"/>
      <c r="AD179" s="325"/>
      <c r="AE179" s="325"/>
      <c r="AF179" s="325"/>
      <c r="AG179" s="325"/>
      <c r="AH179" s="325"/>
      <c r="AI179" s="325">
        <f>IF($AO$2=1,COUNTIF(Interface!$C$22:$C$27,$A179),0)</f>
        <v>0</v>
      </c>
      <c r="AJ179" s="325">
        <f>IF($AO$2=2,COUNTIF(Interface!$C$30:$C$35,$A179),0)</f>
        <v>0</v>
      </c>
      <c r="AK179" s="325"/>
      <c r="AL179" s="325"/>
      <c r="AM179" s="326">
        <f>COUNTIF(Interface!$O$18:$O$23,$A179)</f>
        <v>0</v>
      </c>
      <c r="AN179" s="370" t="e">
        <f ca="1">_xludf.Image("https://ddragon.leagueoflegends.com/cdn/12.22.1/img/item/6617.png")</f>
        <v>#NAME?</v>
      </c>
      <c r="AO179" s="322" t="b">
        <f t="shared" si="68"/>
        <v>0</v>
      </c>
      <c r="AP179" s="373">
        <f t="shared" si="69"/>
        <v>1.0124565217391304</v>
      </c>
    </row>
    <row r="180" spans="1:42" ht="13.2">
      <c r="A180" s="316" t="s">
        <v>710</v>
      </c>
      <c r="B180" s="324">
        <f>3400</f>
        <v>3400</v>
      </c>
      <c r="C180" s="324"/>
      <c r="D180" s="325"/>
      <c r="E180" s="325"/>
      <c r="F180" s="325"/>
      <c r="G180" s="324">
        <f>65 + 5 * Legendary</f>
        <v>65</v>
      </c>
      <c r="H180" s="325"/>
      <c r="I180" s="324"/>
      <c r="J180" s="324"/>
      <c r="K180" s="324"/>
      <c r="L180" s="324">
        <f>20</f>
        <v>20</v>
      </c>
      <c r="M180" s="325">
        <f>15</f>
        <v>15</v>
      </c>
      <c r="N180" s="325"/>
      <c r="O180" s="325"/>
      <c r="P180" s="325"/>
      <c r="Q180" s="325"/>
      <c r="R180" s="325"/>
      <c r="S180" s="325"/>
      <c r="T180" s="325"/>
      <c r="U180" s="325"/>
      <c r="V180" s="325"/>
      <c r="W180" s="325"/>
      <c r="X180" s="325"/>
      <c r="Y180" s="325"/>
      <c r="Z180" s="325"/>
      <c r="AA180" s="325"/>
      <c r="AB180" s="325"/>
      <c r="AC180" s="325"/>
      <c r="AD180" s="325"/>
      <c r="AE180" s="325"/>
      <c r="AF180" s="325"/>
      <c r="AG180" s="325"/>
      <c r="AH180" s="325"/>
      <c r="AI180" s="325">
        <f>IF($AO$2=1,COUNTIF(Interface!$C$22:$C$27,$A180),0)</f>
        <v>0</v>
      </c>
      <c r="AJ180" s="325">
        <f>IF($AO$2=2,COUNTIF(Interface!$C$30:$C$35,$A180),0)</f>
        <v>0</v>
      </c>
      <c r="AK180" s="325"/>
      <c r="AL180" s="325"/>
      <c r="AM180" s="326">
        <f>COUNTIF(Interface!$O$18:$O$23,$A180)</f>
        <v>0</v>
      </c>
      <c r="AN180" s="370" t="e">
        <f ca="1">_xludf.Image("https://ddragon.leagueoflegends.com/cdn/12.22.1/img/item/6675.png")</f>
        <v>#NAME?</v>
      </c>
      <c r="AO180" s="322" t="b">
        <f t="shared" si="68"/>
        <v>0</v>
      </c>
      <c r="AP180" s="329">
        <f t="shared" si="69"/>
        <v>1.0220735294117647</v>
      </c>
    </row>
    <row r="181" spans="1:42" ht="13.2">
      <c r="A181" s="316" t="s">
        <v>711</v>
      </c>
      <c r="B181" s="324">
        <f>3200</f>
        <v>3200</v>
      </c>
      <c r="C181" s="324">
        <f>300</f>
        <v>300</v>
      </c>
      <c r="D181" s="324"/>
      <c r="E181" s="325"/>
      <c r="F181" s="325"/>
      <c r="G181" s="324"/>
      <c r="H181" s="325">
        <f>90</f>
        <v>90</v>
      </c>
      <c r="I181" s="325"/>
      <c r="J181" s="325"/>
      <c r="K181" s="325"/>
      <c r="L181" s="325"/>
      <c r="M181" s="324">
        <f>25 + 5 * Legendary</f>
        <v>25</v>
      </c>
      <c r="N181" s="325"/>
      <c r="O181" s="325"/>
      <c r="P181" s="325"/>
      <c r="Q181" s="325"/>
      <c r="R181" s="325"/>
      <c r="S181" s="325"/>
      <c r="T181" s="325"/>
      <c r="U181" s="325"/>
      <c r="V181" s="325"/>
      <c r="W181" s="325">
        <f>125+0.15*Self_AP</f>
        <v>125</v>
      </c>
      <c r="X181" s="325"/>
      <c r="Y181" s="325"/>
      <c r="Z181" s="325"/>
      <c r="AA181" s="325"/>
      <c r="AB181" s="325"/>
      <c r="AC181" s="325"/>
      <c r="AD181" s="325"/>
      <c r="AE181" s="325"/>
      <c r="AF181" s="325"/>
      <c r="AG181" s="325"/>
      <c r="AH181" s="325"/>
      <c r="AI181" s="325">
        <f>IF($AO$2=1,COUNTIF(Interface!$C$22:$C$27,$A181),0)</f>
        <v>0</v>
      </c>
      <c r="AJ181" s="325">
        <f>IF($AO$2=2,COUNTIF(Interface!$C$30:$C$35,$A181),0)</f>
        <v>0</v>
      </c>
      <c r="AK181" s="325"/>
      <c r="AL181" s="325"/>
      <c r="AM181" s="326">
        <f>COUNTIF(Interface!$O$18:$O$23,$A181)</f>
        <v>0</v>
      </c>
      <c r="AN181" s="370" t="e">
        <f ca="1">_xludf.Image("https://ddragon.leagueoflegends.com/cdn/12.22.1/img/item/4636.png")</f>
        <v>#NAME?</v>
      </c>
      <c r="AO181" s="322" t="b">
        <f t="shared" si="68"/>
        <v>0</v>
      </c>
      <c r="AP181" s="368">
        <f t="shared" si="69"/>
        <v>1.0703906249999999</v>
      </c>
    </row>
    <row r="182" spans="1:42" ht="13.2">
      <c r="A182" s="316" t="s">
        <v>712</v>
      </c>
      <c r="B182" s="324">
        <f>2700</f>
        <v>2700</v>
      </c>
      <c r="C182" s="324">
        <f>350 + Legendary * 75</f>
        <v>350</v>
      </c>
      <c r="D182" s="325"/>
      <c r="E182" s="325"/>
      <c r="F182" s="325"/>
      <c r="G182" s="324"/>
      <c r="H182" s="324"/>
      <c r="I182" s="325">
        <f t="shared" ref="I182:J182" si="76">30</f>
        <v>30</v>
      </c>
      <c r="J182" s="325">
        <f t="shared" si="76"/>
        <v>30</v>
      </c>
      <c r="K182" s="325"/>
      <c r="L182" s="325"/>
      <c r="M182" s="324">
        <f>10</f>
        <v>10</v>
      </c>
      <c r="N182" s="325"/>
      <c r="O182" s="324"/>
      <c r="P182" s="324"/>
      <c r="Q182" s="324"/>
      <c r="R182" s="325"/>
      <c r="S182" s="325"/>
      <c r="T182" s="324"/>
      <c r="U182" s="324"/>
      <c r="V182" s="324"/>
      <c r="W182" s="324"/>
      <c r="X182" s="324"/>
      <c r="Y182" s="325"/>
      <c r="Z182" s="325"/>
      <c r="AA182" s="325"/>
      <c r="AB182" s="325"/>
      <c r="AC182" s="325"/>
      <c r="AD182" s="325"/>
      <c r="AE182" s="325"/>
      <c r="AF182" s="325"/>
      <c r="AG182" s="325"/>
      <c r="AH182" s="325"/>
      <c r="AI182" s="325">
        <f>IF($AO$2=1,COUNTIF(Interface!$C$22:$C$27,$A182),0)</f>
        <v>0</v>
      </c>
      <c r="AJ182" s="325">
        <f>IF($AO$2=2,COUNTIF(Interface!$C$30:$C$35,$A182),0)</f>
        <v>0</v>
      </c>
      <c r="AK182" s="325"/>
      <c r="AL182" s="325"/>
      <c r="AM182" s="326">
        <f>COUNTIF(Interface!$O$18:$O$23,$A182)</f>
        <v>0</v>
      </c>
      <c r="AN182" s="370" t="e">
        <f ca="1">_xludf.Image("https://ddragon.leagueoflegends.com/cdn/12.22.1/img/item/6667.png")</f>
        <v>#NAME?</v>
      </c>
      <c r="AO182" s="322" t="b">
        <f t="shared" si="68"/>
        <v>0</v>
      </c>
      <c r="AP182" s="330">
        <f t="shared" si="69"/>
        <v>0.86711111111111105</v>
      </c>
    </row>
    <row r="183" spans="1:42" ht="13.2">
      <c r="A183" s="372" t="s">
        <v>713</v>
      </c>
      <c r="B183" s="324">
        <f>3200</f>
        <v>3200</v>
      </c>
      <c r="C183" s="325">
        <f>300</f>
        <v>300</v>
      </c>
      <c r="D183" s="325"/>
      <c r="E183" s="325"/>
      <c r="F183" s="325"/>
      <c r="G183" s="324"/>
      <c r="H183" s="325">
        <f>70+8*Legendary</f>
        <v>70</v>
      </c>
      <c r="I183" s="325"/>
      <c r="J183" s="325"/>
      <c r="K183" s="324"/>
      <c r="L183" s="324"/>
      <c r="M183" s="325">
        <f>15</f>
        <v>15</v>
      </c>
      <c r="N183" s="324">
        <f>7 + 2 * Legendary</f>
        <v>7</v>
      </c>
      <c r="O183" s="325"/>
      <c r="P183" s="325"/>
      <c r="Q183" s="325"/>
      <c r="R183" s="325"/>
      <c r="S183" s="325"/>
      <c r="T183" s="325"/>
      <c r="U183" s="325"/>
      <c r="V183" s="325"/>
      <c r="W183" s="325"/>
      <c r="X183" s="325"/>
      <c r="Y183" s="325"/>
      <c r="Z183" s="325"/>
      <c r="AA183" s="325"/>
      <c r="AB183" s="325">
        <f>7 + 2 * Legendary</f>
        <v>7</v>
      </c>
      <c r="AC183" s="325"/>
      <c r="AD183" s="325"/>
      <c r="AE183" s="325"/>
      <c r="AF183" s="325"/>
      <c r="AG183" s="325"/>
      <c r="AH183" s="325"/>
      <c r="AI183" s="325">
        <f>IF($AO$2=1,COUNTIF(Interface!$C$22:$C$27,$A183),0)</f>
        <v>0</v>
      </c>
      <c r="AJ183" s="325">
        <f>IF($AO$2=2,COUNTIF(Interface!$C$30:$C$35,$A183),0)</f>
        <v>0</v>
      </c>
      <c r="AK183" s="325"/>
      <c r="AL183" s="325"/>
      <c r="AM183" s="326">
        <f>COUNTIF(Interface!$O$18:$O$23,$A183)</f>
        <v>0</v>
      </c>
      <c r="AN183" s="322" t="e">
        <f ca="1">_xludf.Image("https://ddragon.leagueoflegends.com/cdn/12.22.1/img/item/4633.png")</f>
        <v>#NAME?</v>
      </c>
      <c r="AO183" s="322" t="b">
        <f t="shared" si="68"/>
        <v>0</v>
      </c>
      <c r="AP183" s="333">
        <f t="shared" si="69"/>
        <v>0.93314062500000006</v>
      </c>
    </row>
    <row r="184" spans="1:42" ht="13.2">
      <c r="A184" s="316" t="s">
        <v>714</v>
      </c>
      <c r="B184" s="324">
        <f>2800</f>
        <v>2800</v>
      </c>
      <c r="C184" s="324">
        <f>400 + IF(Steroid_Items, 200, 0)</f>
        <v>400</v>
      </c>
      <c r="D184" s="325"/>
      <c r="E184" s="325">
        <f>400 + IF(Steroid_Items, 200, 0)</f>
        <v>400</v>
      </c>
      <c r="F184" s="325"/>
      <c r="G184" s="324"/>
      <c r="H184" s="324">
        <f>60 + IF(Steroid_Items, 40, 0)</f>
        <v>60</v>
      </c>
      <c r="I184" s="325"/>
      <c r="J184" s="325"/>
      <c r="K184" s="324"/>
      <c r="L184" s="325"/>
      <c r="M184" s="324">
        <f>5 * Legendary</f>
        <v>0</v>
      </c>
      <c r="N184" s="325"/>
      <c r="O184" s="325"/>
      <c r="P184" s="325"/>
      <c r="Q184" s="325"/>
      <c r="R184" s="325"/>
      <c r="S184" s="325"/>
      <c r="T184" s="325"/>
      <c r="U184" s="325"/>
      <c r="V184" s="325"/>
      <c r="W184" s="325"/>
      <c r="X184" s="325"/>
      <c r="Y184" s="325"/>
      <c r="Z184" s="325"/>
      <c r="AA184" s="325"/>
      <c r="AB184" s="325"/>
      <c r="AC184" s="325"/>
      <c r="AD184" s="325"/>
      <c r="AE184" s="325"/>
      <c r="AF184" s="325"/>
      <c r="AG184" s="325"/>
      <c r="AH184" s="325"/>
      <c r="AI184" s="325">
        <f>IF($AO$2=1,COUNTIF(Interface!$C$22:$C$27,$A184),0)</f>
        <v>0</v>
      </c>
      <c r="AJ184" s="325">
        <f>IF($AO$2=2,COUNTIF(Interface!$C$30:$C$35,$A184),0)</f>
        <v>0</v>
      </c>
      <c r="AK184" s="325"/>
      <c r="AL184" s="325"/>
      <c r="AM184" s="326">
        <f>COUNTIF(Interface!$O$18:$O$23,$A184)</f>
        <v>0</v>
      </c>
      <c r="AN184" s="322" t="e">
        <f ca="1">_xludf.Image("https://ddragon.leagueoflegends.com/cdn/12.22.1/img/item/6657.png")</f>
        <v>#NAME?</v>
      </c>
      <c r="AO184" s="322" t="b">
        <f t="shared" si="68"/>
        <v>0</v>
      </c>
      <c r="AP184" s="329">
        <f t="shared" si="69"/>
        <v>1.0475000000000001</v>
      </c>
    </row>
    <row r="185" spans="1:42" ht="13.2">
      <c r="A185" s="316" t="s">
        <v>715</v>
      </c>
      <c r="B185" s="324">
        <f>2300</f>
        <v>2300</v>
      </c>
      <c r="C185" s="325">
        <f>200</f>
        <v>200</v>
      </c>
      <c r="D185" s="325"/>
      <c r="E185" s="325"/>
      <c r="F185" s="325">
        <f>1</f>
        <v>1</v>
      </c>
      <c r="G185" s="324"/>
      <c r="H185" s="325">
        <f>35</f>
        <v>35</v>
      </c>
      <c r="I185" s="325"/>
      <c r="J185" s="325"/>
      <c r="K185" s="324"/>
      <c r="L185" s="324"/>
      <c r="M185" s="325">
        <f>20 + 5 * Legendary</f>
        <v>20</v>
      </c>
      <c r="N185" s="325"/>
      <c r="O185" s="325"/>
      <c r="P185" s="325"/>
      <c r="Q185" s="325"/>
      <c r="R185" s="325"/>
      <c r="S185" s="325"/>
      <c r="T185" s="325"/>
      <c r="U185" s="325"/>
      <c r="V185" s="325"/>
      <c r="W185" s="325"/>
      <c r="X185" s="325"/>
      <c r="Y185" s="325"/>
      <c r="Z185" s="325"/>
      <c r="AA185" s="325"/>
      <c r="AB185" s="325"/>
      <c r="AC185" s="325"/>
      <c r="AD185" s="325"/>
      <c r="AE185" s="325"/>
      <c r="AF185" s="325"/>
      <c r="AG185" s="325"/>
      <c r="AH185" s="325"/>
      <c r="AI185" s="325">
        <f>IF($AO$2=1,COUNTIF(Interface!$C$22:$C$27,$A185),0)</f>
        <v>0</v>
      </c>
      <c r="AJ185" s="325">
        <f>IF($AO$2=2,COUNTIF(Interface!$C$30:$C$35,$A185),0)</f>
        <v>0</v>
      </c>
      <c r="AK185" s="325"/>
      <c r="AL185" s="325"/>
      <c r="AM185" s="326">
        <f>COUNTIF(Interface!$O$18:$O$23,$A185)</f>
        <v>0</v>
      </c>
      <c r="AN185" s="322" t="e">
        <f ca="1">_xludf.Image("https://ddragon.leagueoflegends.com/cdn/12.22.1/img/item/2065.png")</f>
        <v>#NAME?</v>
      </c>
      <c r="AO185" s="322" t="b">
        <f t="shared" si="68"/>
        <v>0</v>
      </c>
      <c r="AP185" s="331">
        <f t="shared" si="69"/>
        <v>1.0124565217391304</v>
      </c>
    </row>
    <row r="186" spans="1:42" ht="13.2">
      <c r="A186" s="316" t="s">
        <v>716</v>
      </c>
      <c r="B186" s="324">
        <f>3300</f>
        <v>3300</v>
      </c>
      <c r="C186" s="324">
        <f t="shared" ref="C186:C187" si="77">300</f>
        <v>300</v>
      </c>
      <c r="D186" s="325"/>
      <c r="E186" s="324"/>
      <c r="F186" s="325"/>
      <c r="G186" s="325">
        <f>60</f>
        <v>60</v>
      </c>
      <c r="H186" s="324"/>
      <c r="I186" s="325"/>
      <c r="J186" s="325"/>
      <c r="K186" s="325">
        <f>20</f>
        <v>20</v>
      </c>
      <c r="L186" s="325"/>
      <c r="M186" s="324">
        <f>20</f>
        <v>20</v>
      </c>
      <c r="N186" s="325"/>
      <c r="O186" s="324"/>
      <c r="P186" s="325"/>
      <c r="Q186" s="325"/>
      <c r="R186" s="325">
        <f>2 * Legendary</f>
        <v>0</v>
      </c>
      <c r="S186" s="325"/>
      <c r="T186" s="325"/>
      <c r="U186" s="325"/>
      <c r="V186" s="325"/>
      <c r="W186" s="325"/>
      <c r="X186" s="325"/>
      <c r="Y186" s="325"/>
      <c r="Z186" s="325"/>
      <c r="AA186" s="325"/>
      <c r="AB186" s="325"/>
      <c r="AC186" s="325"/>
      <c r="AD186" s="325"/>
      <c r="AE186" s="325">
        <f>Self_BaAD * 1.75</f>
        <v>0</v>
      </c>
      <c r="AF186" s="325"/>
      <c r="AG186" s="325"/>
      <c r="AH186" s="325"/>
      <c r="AI186" s="325">
        <f>IF($AO$2=1,COUNTIF(Interface!$C$22:$C$27,$A186),0)</f>
        <v>0</v>
      </c>
      <c r="AJ186" s="325">
        <f>IF($AO$2=2,COUNTIF(Interface!$C$30:$C$35,$A186),0)</f>
        <v>0</v>
      </c>
      <c r="AK186" s="325"/>
      <c r="AL186" s="325"/>
      <c r="AM186" s="326">
        <f>COUNTIF(Interface!$O$18:$O$23,$A186)</f>
        <v>0</v>
      </c>
      <c r="AN186" s="322" t="e">
        <f ca="1">_xludf.Image("https://ddragon.leagueoflegends.com/cdn/12.22.1/img/item/6631.png")</f>
        <v>#NAME?</v>
      </c>
      <c r="AO186" s="322" t="b">
        <f t="shared" si="68"/>
        <v>0</v>
      </c>
      <c r="AP186" s="327"/>
    </row>
    <row r="187" spans="1:42" ht="13.2">
      <c r="A187" s="316" t="s">
        <v>717</v>
      </c>
      <c r="B187" s="324">
        <f>3333</f>
        <v>3333</v>
      </c>
      <c r="C187" s="324">
        <f t="shared" si="77"/>
        <v>300</v>
      </c>
      <c r="D187" s="325"/>
      <c r="E187" s="325"/>
      <c r="F187" s="325"/>
      <c r="G187" s="325">
        <f>40 + 3 * Legendary</f>
        <v>40</v>
      </c>
      <c r="H187" s="325"/>
      <c r="I187" s="324"/>
      <c r="J187" s="324"/>
      <c r="K187" s="325">
        <f>35</f>
        <v>35</v>
      </c>
      <c r="L187" s="325"/>
      <c r="M187" s="324">
        <f>20 + 3 * Legendary</f>
        <v>20</v>
      </c>
      <c r="N187" s="325"/>
      <c r="O187" s="325"/>
      <c r="P187" s="325"/>
      <c r="Q187" s="325"/>
      <c r="R187" s="325"/>
      <c r="S187" s="325"/>
      <c r="T187" s="325"/>
      <c r="U187" s="325"/>
      <c r="V187" s="325"/>
      <c r="W187" s="325"/>
      <c r="X187" s="325" t="e">
        <f ca="1">2*Self_BaAD*MOD_Phys</f>
        <v>#NAME?</v>
      </c>
      <c r="Y187" s="325"/>
      <c r="Z187" s="325"/>
      <c r="AA187" s="325"/>
      <c r="AB187" s="325"/>
      <c r="AC187" s="325"/>
      <c r="AD187" s="325"/>
      <c r="AE187" s="325"/>
      <c r="AF187" s="325"/>
      <c r="AG187" s="325">
        <f>3 * Legendary</f>
        <v>0</v>
      </c>
      <c r="AH187" s="325"/>
      <c r="AI187" s="325">
        <f>IF($AO$2=1,COUNTIF(Interface!$C$22:$C$27,$A187),0)</f>
        <v>0</v>
      </c>
      <c r="AJ187" s="325">
        <f>IF($AO$2=2,COUNTIF(Interface!$C$30:$C$35,$A187),0)</f>
        <v>0</v>
      </c>
      <c r="AK187" s="325"/>
      <c r="AL187" s="325"/>
      <c r="AM187" s="326">
        <f>COUNTIF(Interface!$O$18:$O$23,$A187)</f>
        <v>0</v>
      </c>
      <c r="AN187" s="322" t="e">
        <f ca="1">_xludf.Image("https://ddragon.leagueoflegends.com/cdn/12.22.1/img/item/3078.png")</f>
        <v>#NAME?</v>
      </c>
      <c r="AO187" s="322" t="b">
        <f t="shared" si="68"/>
        <v>0</v>
      </c>
      <c r="AP187" s="371"/>
    </row>
    <row r="188" spans="1:42" ht="13.2">
      <c r="A188" s="316" t="s">
        <v>718</v>
      </c>
      <c r="B188" s="324">
        <f>3100</f>
        <v>3100</v>
      </c>
      <c r="C188" s="325"/>
      <c r="D188" s="325"/>
      <c r="E188" s="324"/>
      <c r="F188" s="325"/>
      <c r="G188" s="325">
        <f>60 + 7 * Legendary</f>
        <v>60</v>
      </c>
      <c r="H188" s="324"/>
      <c r="I188" s="325"/>
      <c r="J188" s="325"/>
      <c r="K188" s="325"/>
      <c r="L188" s="325"/>
      <c r="M188" s="324">
        <f>15</f>
        <v>15</v>
      </c>
      <c r="N188" s="325"/>
      <c r="O188" s="325">
        <f>18 + IF(Steroid_Items,3 + 9 * Sc_Lin)</f>
        <v>18</v>
      </c>
      <c r="P188" s="324"/>
      <c r="Q188" s="325"/>
      <c r="R188" s="325"/>
      <c r="S188" s="325"/>
      <c r="T188" s="325"/>
      <c r="U188" s="325"/>
      <c r="V188" s="325"/>
      <c r="W188" s="324"/>
      <c r="X188" s="325"/>
      <c r="Y188" s="325"/>
      <c r="Z188" s="325"/>
      <c r="AA188" s="325"/>
      <c r="AB188" s="325"/>
      <c r="AC188" s="325"/>
      <c r="AD188" s="325"/>
      <c r="AE188" s="325"/>
      <c r="AF188" s="325"/>
      <c r="AG188" s="325">
        <f>40</f>
        <v>40</v>
      </c>
      <c r="AH188" s="325"/>
      <c r="AI188" s="325">
        <f>IF($AO$2=1,COUNTIF(Interface!$C$22:$C$27,$A188),0)</f>
        <v>0</v>
      </c>
      <c r="AJ188" s="325">
        <f>IF($AO$2=2,COUNTIF(Interface!$C$30:$C$35,$A188),0)</f>
        <v>0</v>
      </c>
      <c r="AK188" s="325"/>
      <c r="AL188" s="325"/>
      <c r="AM188" s="326">
        <f>COUNTIF(Interface!$O$18:$O$23,$A188)</f>
        <v>0</v>
      </c>
      <c r="AN188" s="322" t="e">
        <f ca="1">_xludf.Image("https://ddragon.leagueoflegends.com/cdn/12.22.1/img/item/3142.png")</f>
        <v>#NAME?</v>
      </c>
      <c r="AO188" s="322" t="b">
        <f t="shared" si="68"/>
        <v>0</v>
      </c>
      <c r="AP188" s="327"/>
    </row>
    <row r="189" spans="1:42" ht="13.2">
      <c r="A189" s="316"/>
      <c r="B189" s="324"/>
      <c r="C189" s="324"/>
      <c r="D189" s="325"/>
      <c r="E189" s="324"/>
      <c r="F189" s="324"/>
      <c r="G189" s="324"/>
      <c r="H189" s="324"/>
      <c r="I189" s="324"/>
      <c r="J189" s="324"/>
      <c r="K189" s="325"/>
      <c r="L189" s="325"/>
      <c r="M189" s="324"/>
      <c r="N189" s="325"/>
      <c r="O189" s="324"/>
      <c r="P189" s="324"/>
      <c r="Q189" s="324"/>
      <c r="R189" s="325"/>
      <c r="S189" s="325"/>
      <c r="T189" s="324"/>
      <c r="U189" s="324"/>
      <c r="V189" s="324"/>
      <c r="W189" s="324"/>
      <c r="X189" s="324"/>
      <c r="Y189" s="325"/>
      <c r="Z189" s="325"/>
      <c r="AA189" s="325"/>
      <c r="AB189" s="325"/>
      <c r="AC189" s="325"/>
      <c r="AD189" s="325"/>
      <c r="AE189" s="325"/>
      <c r="AF189" s="325"/>
      <c r="AG189" s="325"/>
      <c r="AH189" s="325"/>
      <c r="AI189" s="325"/>
      <c r="AJ189" s="325"/>
      <c r="AK189" s="325"/>
      <c r="AL189" s="325"/>
      <c r="AM189" s="326"/>
      <c r="AN189" s="322"/>
      <c r="AO189" s="322"/>
      <c r="AP189" s="371"/>
    </row>
    <row r="190" spans="1:42" ht="13.2">
      <c r="A190" s="316"/>
      <c r="B190" s="324"/>
      <c r="C190" s="324"/>
      <c r="D190" s="325"/>
      <c r="E190" s="324"/>
      <c r="F190" s="325"/>
      <c r="G190" s="324"/>
      <c r="H190" s="324"/>
      <c r="I190" s="324"/>
      <c r="J190" s="324"/>
      <c r="K190" s="325"/>
      <c r="L190" s="325"/>
      <c r="M190" s="324"/>
      <c r="N190" s="325"/>
      <c r="O190" s="324"/>
      <c r="P190" s="324"/>
      <c r="Q190" s="324"/>
      <c r="R190" s="325"/>
      <c r="S190" s="325"/>
      <c r="T190" s="324"/>
      <c r="U190" s="324"/>
      <c r="V190" s="324"/>
      <c r="W190" s="324"/>
      <c r="X190" s="324"/>
      <c r="Y190" s="325"/>
      <c r="Z190" s="325"/>
      <c r="AA190" s="325"/>
      <c r="AB190" s="325"/>
      <c r="AC190" s="325"/>
      <c r="AD190" s="325"/>
      <c r="AE190" s="325"/>
      <c r="AF190" s="325"/>
      <c r="AG190" s="325"/>
      <c r="AH190" s="325"/>
      <c r="AI190" s="325"/>
      <c r="AJ190" s="325"/>
      <c r="AK190" s="325"/>
      <c r="AL190" s="325"/>
      <c r="AM190" s="326"/>
      <c r="AN190" s="322"/>
      <c r="AO190" s="322"/>
      <c r="AP190" s="327"/>
    </row>
    <row r="191" spans="1:42" ht="13.2">
      <c r="A191" s="316" t="s">
        <v>719</v>
      </c>
      <c r="B191" s="324">
        <f>2800</f>
        <v>2800</v>
      </c>
      <c r="C191" s="324">
        <f>250</f>
        <v>250</v>
      </c>
      <c r="D191" s="325"/>
      <c r="E191" s="324">
        <f>600</f>
        <v>600</v>
      </c>
      <c r="F191" s="325"/>
      <c r="G191" s="324"/>
      <c r="H191" s="324">
        <f>90 + 8 * Legendary + IF(Steroid_Items, 10 + 30 * Sc_Lin, 0)</f>
        <v>90</v>
      </c>
      <c r="I191" s="324"/>
      <c r="J191" s="324"/>
      <c r="K191" s="325"/>
      <c r="L191" s="325"/>
      <c r="M191" s="324">
        <f>20</f>
        <v>20</v>
      </c>
      <c r="N191" s="325"/>
      <c r="O191" s="324"/>
      <c r="P191" s="324"/>
      <c r="Q191" s="324"/>
      <c r="R191" s="325">
        <f>1 * Legendary</f>
        <v>0</v>
      </c>
      <c r="S191" s="325"/>
      <c r="T191" s="324"/>
      <c r="U191" s="324"/>
      <c r="V191" s="324"/>
      <c r="W191" s="324"/>
      <c r="X191" s="324"/>
      <c r="Y191" s="325"/>
      <c r="Z191" s="325"/>
      <c r="AA191" s="325"/>
      <c r="AB191" s="325"/>
      <c r="AC191" s="325"/>
      <c r="AD191" s="325"/>
      <c r="AE191" s="325"/>
      <c r="AF191" s="325"/>
      <c r="AG191" s="325"/>
      <c r="AH191" s="325"/>
      <c r="AI191" s="325">
        <f>IF($AO$2=1,COUNTIF(Interface!$C$22:$C$27,$A191),0)</f>
        <v>0</v>
      </c>
      <c r="AJ191" s="325">
        <f>IF($AO$2=2,COUNTIF(Interface!$C$30:$C$35,$A191),0)</f>
        <v>0</v>
      </c>
      <c r="AK191" s="325"/>
      <c r="AL191" s="325"/>
      <c r="AM191" s="326">
        <f>COUNTIF(Interface!$O$18:$O$23,$A191)</f>
        <v>0</v>
      </c>
      <c r="AN191" s="322" t="e">
        <f ca="1">_xludf.Image("https://ddragon.leagueoflegends.com/cdn/12.22.1/img/item/4644.png")</f>
        <v>#NAME?</v>
      </c>
      <c r="AO191" s="322" t="b">
        <f t="shared" ref="AO191:AO218" si="78">FALSE</f>
        <v>0</v>
      </c>
      <c r="AP191" s="329">
        <f t="shared" ref="AP191:AP215" si="79">(C191 * 2.67 +
D191 * 300 +
E191 * 1.4 +
F191 * 500 +
G191 * 35 +
H191 * 21.75 +
I191 * 20 +
J191 * 18 +
K191 * 25 +
L191 * 40 +
M191 * 26.67 +
N191 * 37.5 +
O191 * 5 +
P191 * 31.11 +
Q191 * 12 +
R191 * 39.5 +
S191 * 56.67 +
T191 * 25 +
U191 * 25) / B191</f>
        <v>1.4279999999999999</v>
      </c>
    </row>
    <row r="192" spans="1:42" ht="13.2">
      <c r="A192" s="316" t="s">
        <v>720</v>
      </c>
      <c r="B192" s="324">
        <f>3300</f>
        <v>3300</v>
      </c>
      <c r="C192" s="324">
        <f>450</f>
        <v>450</v>
      </c>
      <c r="D192" s="325"/>
      <c r="E192" s="325"/>
      <c r="F192" s="325"/>
      <c r="G192" s="325">
        <f>55</f>
        <v>55</v>
      </c>
      <c r="H192" s="324"/>
      <c r="I192" s="324"/>
      <c r="J192" s="324"/>
      <c r="K192" s="325"/>
      <c r="L192" s="325"/>
      <c r="M192" s="324">
        <f>25</f>
        <v>25</v>
      </c>
      <c r="N192" s="324"/>
      <c r="O192" s="325"/>
      <c r="P192" s="325"/>
      <c r="Q192" s="325"/>
      <c r="R192" s="325"/>
      <c r="S192" s="325"/>
      <c r="T192" s="325"/>
      <c r="U192" s="325"/>
      <c r="V192" s="325"/>
      <c r="W192" s="325"/>
      <c r="X192" s="325" t="e">
        <f ca="1">(0.03 * IF(VLOOKUP(Name,Champs!A2:AE200,31,FALSE), 2, 1) * E_MHP + 1.25 * Self_BaAD) * MOD_Phys</f>
        <v>#NAME?</v>
      </c>
      <c r="Y192" s="325">
        <f>3 * Legendary</f>
        <v>0</v>
      </c>
      <c r="Z192" s="325">
        <f>3 * Legendary</f>
        <v>0</v>
      </c>
      <c r="AA192" s="325"/>
      <c r="AB192" s="324"/>
      <c r="AC192" s="325"/>
      <c r="AD192" s="325"/>
      <c r="AE192" s="325"/>
      <c r="AF192" s="325"/>
      <c r="AG192" s="325"/>
      <c r="AH192" s="325"/>
      <c r="AI192" s="325">
        <f>IF($AO$2=1,COUNTIF(Interface!$C$22:$C$27,$A192),0)</f>
        <v>0</v>
      </c>
      <c r="AJ192" s="325">
        <f>IF($AO$2=2,COUNTIF(Interface!$C$30:$C$35,$A192),0)</f>
        <v>0</v>
      </c>
      <c r="AK192" s="325"/>
      <c r="AL192" s="325"/>
      <c r="AM192" s="326">
        <f>COUNTIF(Interface!$O$18:$O$23,$A192)</f>
        <v>0</v>
      </c>
      <c r="AN192" s="322" t="e">
        <f ca="1">_xludf.Image("https://ddragon.leagueoflegends.com/cdn/12.22.1/img/item/6632.png")</f>
        <v>#NAME?</v>
      </c>
      <c r="AO192" s="322" t="b">
        <f t="shared" si="78"/>
        <v>0</v>
      </c>
      <c r="AP192" s="329">
        <f t="shared" si="79"/>
        <v>1.1494696969696969</v>
      </c>
    </row>
    <row r="193" spans="1:42" ht="13.2">
      <c r="A193" s="316" t="s">
        <v>721</v>
      </c>
      <c r="B193" s="324">
        <f>3100</f>
        <v>3100</v>
      </c>
      <c r="C193" s="324"/>
      <c r="D193" s="325"/>
      <c r="E193" s="325"/>
      <c r="F193" s="325"/>
      <c r="G193" s="325">
        <f>75</f>
        <v>75</v>
      </c>
      <c r="H193" s="325"/>
      <c r="I193" s="324"/>
      <c r="J193" s="324"/>
      <c r="K193" s="325"/>
      <c r="L193" s="325"/>
      <c r="M193" s="324">
        <f>25 + 5 * Legendary</f>
        <v>25</v>
      </c>
      <c r="N193" s="325"/>
      <c r="O193" s="325">
        <f>26</f>
        <v>26</v>
      </c>
      <c r="P193" s="325"/>
      <c r="Q193" s="325"/>
      <c r="R193" s="324"/>
      <c r="S193" s="325"/>
      <c r="T193" s="325"/>
      <c r="U193" s="325"/>
      <c r="V193" s="325"/>
      <c r="W193" s="325"/>
      <c r="X193" s="325"/>
      <c r="Y193" s="325"/>
      <c r="Z193" s="325"/>
      <c r="AA193" s="325"/>
      <c r="AB193" s="325"/>
      <c r="AC193" s="325"/>
      <c r="AD193" s="325"/>
      <c r="AE193" s="325"/>
      <c r="AF193" s="325"/>
      <c r="AG193" s="325">
        <f>5 * Legendary</f>
        <v>0</v>
      </c>
      <c r="AH193" s="325"/>
      <c r="AI193" s="325">
        <f>IF($AO$2=1,COUNTIF(Interface!$C$22:$C$27,$A193),0)</f>
        <v>0</v>
      </c>
      <c r="AJ193" s="325">
        <f>IF($AO$2=2,COUNTIF(Interface!$C$30:$C$35,$A193),0)</f>
        <v>0</v>
      </c>
      <c r="AK193" s="325"/>
      <c r="AL193" s="325"/>
      <c r="AM193" s="326">
        <f>COUNTIF(Interface!$O$18:$O$23,$A193)</f>
        <v>0</v>
      </c>
      <c r="AN193" s="322" t="e">
        <f ca="1">_xludf.Image("https://ddragon.leagueoflegends.com/cdn/12.22.1/img/item/6691.png")</f>
        <v>#NAME?</v>
      </c>
      <c r="AO193" s="322" t="b">
        <f t="shared" si="78"/>
        <v>0</v>
      </c>
      <c r="AP193" s="329">
        <f t="shared" si="79"/>
        <v>1.1037903225806451</v>
      </c>
    </row>
    <row r="194" spans="1:42" ht="13.2">
      <c r="A194" s="316" t="s">
        <v>722</v>
      </c>
      <c r="B194" s="324">
        <f>2300</f>
        <v>2300</v>
      </c>
      <c r="C194" s="324">
        <f>300</f>
        <v>300</v>
      </c>
      <c r="D194" s="325"/>
      <c r="E194" s="325"/>
      <c r="F194" s="325">
        <f>2.25</f>
        <v>2.25</v>
      </c>
      <c r="G194" s="324"/>
      <c r="H194" s="325">
        <f>60 + 12 * IT_MPR</f>
        <v>60</v>
      </c>
      <c r="I194" s="325"/>
      <c r="J194" s="325"/>
      <c r="K194" s="324"/>
      <c r="L194" s="325"/>
      <c r="M194" s="324">
        <f>20 + 5 * Legendary</f>
        <v>20</v>
      </c>
      <c r="N194" s="325"/>
      <c r="O194" s="325"/>
      <c r="P194" s="325"/>
      <c r="Q194" s="325"/>
      <c r="R194" s="325"/>
      <c r="S194" s="325"/>
      <c r="T194" s="325"/>
      <c r="U194" s="325"/>
      <c r="V194" s="325"/>
      <c r="W194" s="325">
        <f>60 + 340 * Sc_Lin</f>
        <v>60</v>
      </c>
      <c r="X194" s="325"/>
      <c r="Y194" s="325"/>
      <c r="Z194" s="325"/>
      <c r="AA194" s="325"/>
      <c r="AB194" s="325"/>
      <c r="AC194" s="325"/>
      <c r="AD194" s="325"/>
      <c r="AE194" s="325"/>
      <c r="AF194" s="325"/>
      <c r="AG194" s="325"/>
      <c r="AH194" s="325"/>
      <c r="AI194" s="325">
        <f>IF($AO$2=1,COUNTIF(Interface!$C$22:$C$27,$A194),0)</f>
        <v>0</v>
      </c>
      <c r="AJ194" s="325">
        <f>IF($AO$2=2,COUNTIF(Interface!$C$30:$C$35,$A194),0)</f>
        <v>0</v>
      </c>
      <c r="AK194" s="325"/>
      <c r="AL194" s="325"/>
      <c r="AM194" s="326">
        <f>COUNTIF(Interface!$O$18:$O$23,$A194)</f>
        <v>0</v>
      </c>
      <c r="AN194" s="322"/>
      <c r="AO194" s="322" t="b">
        <f t="shared" si="78"/>
        <v>0</v>
      </c>
      <c r="AP194" s="329">
        <f t="shared" si="79"/>
        <v>1.6366956521739131</v>
      </c>
    </row>
    <row r="195" spans="1:42" ht="13.2">
      <c r="A195" s="316" t="s">
        <v>723</v>
      </c>
      <c r="B195" s="324">
        <f>3100</f>
        <v>3100</v>
      </c>
      <c r="C195" s="324"/>
      <c r="D195" s="325"/>
      <c r="E195" s="325"/>
      <c r="F195" s="325"/>
      <c r="G195" s="324">
        <f>80</f>
        <v>80</v>
      </c>
      <c r="H195" s="325"/>
      <c r="I195" s="324"/>
      <c r="J195" s="324"/>
      <c r="K195" s="325"/>
      <c r="L195" s="325"/>
      <c r="M195" s="324">
        <f>20</f>
        <v>20</v>
      </c>
      <c r="N195" s="325"/>
      <c r="O195" s="325">
        <f>20</f>
        <v>20</v>
      </c>
      <c r="P195" s="325"/>
      <c r="Q195" s="325"/>
      <c r="R195" s="325"/>
      <c r="S195" s="325"/>
      <c r="T195" s="325"/>
      <c r="U195" s="325"/>
      <c r="V195" s="325"/>
      <c r="W195" s="325"/>
      <c r="X195" s="325"/>
      <c r="Y195" s="325"/>
      <c r="Z195" s="325"/>
      <c r="AA195" s="325"/>
      <c r="AB195" s="325">
        <f>10</f>
        <v>10</v>
      </c>
      <c r="AC195" s="325"/>
      <c r="AD195" s="325"/>
      <c r="AE195" s="325">
        <f>IF(VLOOKUP(Name,Champs!A2:AE200,31,FALSE), 0.06, 0.03) * E_MHP</f>
        <v>0</v>
      </c>
      <c r="AF195" s="325"/>
      <c r="AG195" s="325">
        <f>5 * Legendary</f>
        <v>0</v>
      </c>
      <c r="AH195" s="325"/>
      <c r="AI195" s="325">
        <f>IF($AO$2=1,COUNTIF(Interface!$C$22:$C$27,$A195),0)</f>
        <v>0</v>
      </c>
      <c r="AJ195" s="325">
        <f>IF($AO$2=2,COUNTIF(Interface!$C$30:$C$35,$A195),0)</f>
        <v>0</v>
      </c>
      <c r="AK195" s="325"/>
      <c r="AL195" s="325"/>
      <c r="AM195" s="326">
        <f>COUNTIF(Interface!$O$18:$O$23,$A195)</f>
        <v>0</v>
      </c>
      <c r="AN195" s="322" t="e">
        <f ca="1">_xludf.Image("https://ddragon.leagueoflegends.com/cdn/12.22.1/img/item/6692.png")</f>
        <v>#NAME?</v>
      </c>
      <c r="AO195" s="322" t="b">
        <f t="shared" si="78"/>
        <v>0</v>
      </c>
      <c r="AP195" s="329">
        <f t="shared" si="79"/>
        <v>1.1075483870967742</v>
      </c>
    </row>
    <row r="196" spans="1:42" ht="13.2">
      <c r="A196" s="316" t="s">
        <v>724</v>
      </c>
      <c r="B196" s="324">
        <f>2300</f>
        <v>2300</v>
      </c>
      <c r="C196" s="324">
        <f>400</f>
        <v>400</v>
      </c>
      <c r="D196" s="325"/>
      <c r="E196" s="325"/>
      <c r="F196" s="325"/>
      <c r="G196" s="324"/>
      <c r="H196" s="324"/>
      <c r="I196" s="325">
        <f>40 + 5 * Legendary</f>
        <v>40</v>
      </c>
      <c r="J196" s="325">
        <f>40 + 5 * Legendary</f>
        <v>40</v>
      </c>
      <c r="K196" s="324"/>
      <c r="L196" s="325"/>
      <c r="M196" s="324">
        <f t="shared" ref="M196:M197" si="80">25</f>
        <v>25</v>
      </c>
      <c r="N196" s="325"/>
      <c r="O196" s="325"/>
      <c r="P196" s="325"/>
      <c r="Q196" s="325"/>
      <c r="R196" s="325"/>
      <c r="S196" s="325"/>
      <c r="T196" s="325"/>
      <c r="U196" s="325"/>
      <c r="V196" s="325"/>
      <c r="W196" s="325"/>
      <c r="X196" s="325"/>
      <c r="Y196" s="325"/>
      <c r="Z196" s="325"/>
      <c r="AA196" s="325"/>
      <c r="AB196" s="325"/>
      <c r="AC196" s="325">
        <f>IF(Steroid_Items, 10, 0)</f>
        <v>0</v>
      </c>
      <c r="AD196" s="325">
        <f>IF(Steroid_Items, 10, 0)</f>
        <v>0</v>
      </c>
      <c r="AE196" s="325"/>
      <c r="AF196" s="325"/>
      <c r="AG196" s="325"/>
      <c r="AH196" s="325"/>
      <c r="AI196" s="325">
        <f>IF($AO$2=1,COUNTIF(Interface!$C$22:$C$27,$A196),0)</f>
        <v>0</v>
      </c>
      <c r="AJ196" s="325">
        <f>IF($AO$2=2,COUNTIF(Interface!$C$30:$C$35,$A196),0)</f>
        <v>0</v>
      </c>
      <c r="AK196" s="325"/>
      <c r="AL196" s="325"/>
      <c r="AM196" s="326">
        <f>COUNTIF(Interface!$O$18:$O$23,$A196)</f>
        <v>0</v>
      </c>
      <c r="AN196" s="322" t="e">
        <f ca="1">_xludf.Image("https://ddragon.leagueoflegends.com/cdn/12.22.1/img/item/3001.png")</f>
        <v>#NAME?</v>
      </c>
      <c r="AO196" s="322" t="b">
        <f t="shared" si="78"/>
        <v>0</v>
      </c>
      <c r="AP196" s="329">
        <f t="shared" si="79"/>
        <v>1.4151086956521739</v>
      </c>
    </row>
    <row r="197" spans="1:42" ht="13.2">
      <c r="A197" s="316" t="s">
        <v>725</v>
      </c>
      <c r="B197" s="324">
        <f>2800</f>
        <v>2800</v>
      </c>
      <c r="C197" s="324">
        <f>350</f>
        <v>350</v>
      </c>
      <c r="D197" s="325"/>
      <c r="E197" s="324">
        <f>800</f>
        <v>800</v>
      </c>
      <c r="F197" s="325"/>
      <c r="G197" s="325"/>
      <c r="H197" s="324">
        <f>90 + 10 * Legendary</f>
        <v>90</v>
      </c>
      <c r="I197" s="324"/>
      <c r="J197" s="324"/>
      <c r="K197" s="325"/>
      <c r="L197" s="325"/>
      <c r="M197" s="324">
        <f t="shared" si="80"/>
        <v>25</v>
      </c>
      <c r="N197" s="325"/>
      <c r="O197" s="325"/>
      <c r="P197" s="324"/>
      <c r="Q197" s="325"/>
      <c r="R197" s="325"/>
      <c r="S197" s="325"/>
      <c r="T197" s="325"/>
      <c r="U197" s="325"/>
      <c r="V197" s="325"/>
      <c r="W197" s="325">
        <f>100 + 0.3 * Self_AP</f>
        <v>100</v>
      </c>
      <c r="X197" s="325"/>
      <c r="Y197" s="325"/>
      <c r="Z197" s="325"/>
      <c r="AA197" s="325"/>
      <c r="AB197" s="325"/>
      <c r="AC197" s="325"/>
      <c r="AD197" s="325"/>
      <c r="AE197" s="325"/>
      <c r="AF197" s="325"/>
      <c r="AG197" s="325"/>
      <c r="AH197" s="325"/>
      <c r="AI197" s="325">
        <f>IF($AO$2=1,COUNTIF(Interface!$C$22:$C$27,$A197),0)</f>
        <v>0</v>
      </c>
      <c r="AJ197" s="325">
        <f>IF($AO$2=2,COUNTIF(Interface!$C$30:$C$35,$A197),0)</f>
        <v>0</v>
      </c>
      <c r="AK197" s="325"/>
      <c r="AL197" s="325"/>
      <c r="AM197" s="326">
        <f>COUNTIF(Interface!$O$18:$O$23,$A197)</f>
        <v>0</v>
      </c>
      <c r="AN197" s="322" t="e">
        <f ca="1">_xludf.Image("https://ddragon.leagueoflegends.com/cdn/12.22.1/img/item/6656.png")</f>
        <v>#NAME?</v>
      </c>
      <c r="AO197" s="322" t="b">
        <f t="shared" si="78"/>
        <v>0</v>
      </c>
      <c r="AP197" s="329">
        <f t="shared" si="79"/>
        <v>1.6709821428571427</v>
      </c>
    </row>
    <row r="198" spans="1:42" ht="13.2">
      <c r="A198" s="316" t="s">
        <v>726</v>
      </c>
      <c r="B198" s="324">
        <f>3400</f>
        <v>3400</v>
      </c>
      <c r="C198" s="324"/>
      <c r="D198" s="324"/>
      <c r="E198" s="324"/>
      <c r="F198" s="324"/>
      <c r="G198" s="324">
        <f>65 + 5 * Legendary</f>
        <v>65</v>
      </c>
      <c r="H198" s="324"/>
      <c r="I198" s="324"/>
      <c r="J198" s="324"/>
      <c r="K198" s="324">
        <f>30</f>
        <v>30</v>
      </c>
      <c r="L198" s="324">
        <f>20</f>
        <v>20</v>
      </c>
      <c r="M198" s="324"/>
      <c r="N198" s="324"/>
      <c r="O198" s="324"/>
      <c r="P198" s="324"/>
      <c r="Q198" s="324"/>
      <c r="R198" s="324">
        <f>9</f>
        <v>9</v>
      </c>
      <c r="S198" s="324"/>
      <c r="T198" s="324"/>
      <c r="U198" s="324"/>
      <c r="V198" s="324"/>
      <c r="W198" s="324">
        <f>(150 + MAX((200 / 8) * (Self_Level - 10), 0) + 0.45 * Self_BoAD) * (1 + 0.5 * (1 - (MAX(25, E_CHP) - 25) / 75))</f>
        <v>150</v>
      </c>
      <c r="X198" s="324"/>
      <c r="Y198" s="324"/>
      <c r="Z198" s="324"/>
      <c r="AA198" s="324"/>
      <c r="AB198" s="324"/>
      <c r="AC198" s="324"/>
      <c r="AD198" s="324"/>
      <c r="AE198" s="324"/>
      <c r="AF198" s="324"/>
      <c r="AG198" s="324"/>
      <c r="AH198" s="324"/>
      <c r="AI198" s="325">
        <f>IF($AO$2=1,COUNTIF(Interface!$C$22:$C$27,$A198),0)</f>
        <v>0</v>
      </c>
      <c r="AJ198" s="325">
        <f>IF($AO$2=2,COUNTIF(Interface!$C$30:$C$35,$A198),0)</f>
        <v>0</v>
      </c>
      <c r="AK198" s="325"/>
      <c r="AL198" s="325"/>
      <c r="AM198" s="326">
        <f>COUNTIF(Interface!$O$18:$O$23,$A198)</f>
        <v>0</v>
      </c>
      <c r="AN198" s="322" t="e">
        <f ca="1">_xludf.Image("https://ddragon.leagueoflegends.com/cdn/12.22.1/img/item/6671.png")</f>
        <v>#NAME?</v>
      </c>
      <c r="AO198" s="322" t="b">
        <f t="shared" si="78"/>
        <v>0</v>
      </c>
      <c r="AP198" s="329">
        <f t="shared" si="79"/>
        <v>1.2295588235294117</v>
      </c>
    </row>
    <row r="199" spans="1:42" ht="13.2">
      <c r="A199" s="316" t="s">
        <v>727</v>
      </c>
      <c r="B199" s="324">
        <f t="shared" ref="B199:B202" si="81">3200</f>
        <v>3200</v>
      </c>
      <c r="C199" s="324">
        <f>450 + 75 * Legendary</f>
        <v>450</v>
      </c>
      <c r="D199" s="324"/>
      <c r="E199" s="324"/>
      <c r="F199" s="324"/>
      <c r="G199" s="324">
        <f>70</f>
        <v>70</v>
      </c>
      <c r="H199" s="324"/>
      <c r="I199" s="324"/>
      <c r="J199" s="324"/>
      <c r="K199" s="324"/>
      <c r="L199" s="324"/>
      <c r="M199" s="324">
        <f>20 + 3 * Legendary</f>
        <v>20</v>
      </c>
      <c r="N199" s="324">
        <f>10</f>
        <v>10</v>
      </c>
      <c r="O199" s="324"/>
      <c r="P199" s="324"/>
      <c r="Q199" s="324"/>
      <c r="R199" s="324"/>
      <c r="S199" s="324"/>
      <c r="T199" s="324"/>
      <c r="U199" s="324"/>
      <c r="V199" s="324"/>
      <c r="W199" s="324"/>
      <c r="X199" s="324"/>
      <c r="Y199" s="324"/>
      <c r="Z199" s="324"/>
      <c r="AA199" s="324"/>
      <c r="AB199" s="324">
        <f>10</f>
        <v>10</v>
      </c>
      <c r="AC199" s="324"/>
      <c r="AD199" s="324"/>
      <c r="AE199" s="324">
        <f>Self_BaAD * 1.75</f>
        <v>0</v>
      </c>
      <c r="AF199" s="324"/>
      <c r="AG199" s="324"/>
      <c r="AH199" s="324"/>
      <c r="AI199" s="325">
        <f>IF($AO$2=1,COUNTIF(Interface!$C$22:$C$27,$A199),0)</f>
        <v>0</v>
      </c>
      <c r="AJ199" s="325">
        <f>IF($AO$2=2,COUNTIF(Interface!$C$30:$C$35,$A199),0)</f>
        <v>0</v>
      </c>
      <c r="AK199" s="325"/>
      <c r="AL199" s="325"/>
      <c r="AM199" s="326">
        <f>COUNTIF(Interface!$O$18:$O$23,$A199)</f>
        <v>0</v>
      </c>
      <c r="AN199" s="322" t="e">
        <f ca="1">_xludf.Image("https://ddragon.leagueoflegends.com/cdn/12.22.1/img/item/6630.png")</f>
        <v>#NAME?</v>
      </c>
      <c r="AO199" s="322" t="b">
        <f t="shared" si="78"/>
        <v>0</v>
      </c>
      <c r="AP199" s="329">
        <f t="shared" si="79"/>
        <v>1.4249687499999999</v>
      </c>
    </row>
    <row r="200" spans="1:42" ht="13.2">
      <c r="A200" s="316" t="s">
        <v>728</v>
      </c>
      <c r="B200" s="324">
        <f t="shared" si="81"/>
        <v>3200</v>
      </c>
      <c r="C200" s="324"/>
      <c r="D200" s="324"/>
      <c r="E200" s="324"/>
      <c r="F200" s="324"/>
      <c r="G200" s="324">
        <f>40</f>
        <v>40</v>
      </c>
      <c r="H200" s="324">
        <f>50</f>
        <v>50</v>
      </c>
      <c r="I200" s="324"/>
      <c r="J200" s="324"/>
      <c r="K200" s="324">
        <f>35 + IF(Steroid_Items, 8 * 4)</f>
        <v>35</v>
      </c>
      <c r="L200" s="324"/>
      <c r="M200" s="324"/>
      <c r="N200" s="324"/>
      <c r="O200" s="324"/>
      <c r="P200" s="324"/>
      <c r="Q200" s="324"/>
      <c r="R200" s="324"/>
      <c r="S200" s="324"/>
      <c r="T200" s="324"/>
      <c r="U200" s="324">
        <f>30 + 150 * Self_Crit</f>
        <v>30</v>
      </c>
      <c r="V200" s="324"/>
      <c r="W200" s="324"/>
      <c r="X200" s="324"/>
      <c r="Y200" s="324">
        <f>5 * Legendary</f>
        <v>0</v>
      </c>
      <c r="Z200" s="324">
        <f>6 * Legendary</f>
        <v>0</v>
      </c>
      <c r="AA200" s="324"/>
      <c r="AB200" s="324"/>
      <c r="AC200" s="324"/>
      <c r="AD200" s="324"/>
      <c r="AE200" s="324"/>
      <c r="AF200" s="324"/>
      <c r="AG200" s="324"/>
      <c r="AH200" s="324"/>
      <c r="AI200" s="325">
        <f>IF($AO$2=1,COUNTIF(Interface!$C$22:$C$27,$A200),0)</f>
        <v>0</v>
      </c>
      <c r="AJ200" s="325">
        <f>IF($AO$2=2,COUNTIF(Interface!$C$30:$C$35,$A200),0)</f>
        <v>0</v>
      </c>
      <c r="AK200" s="325"/>
      <c r="AL200" s="325"/>
      <c r="AM200" s="326">
        <f>COUNTIF(Interface!$O$18:$O$23,$A200)</f>
        <v>0</v>
      </c>
      <c r="AN200" s="322" t="e">
        <f ca="1">_xludf.Image("https://ddragon.leagueoflegends.com/cdn/12.22.1/img/item/3124.png")</f>
        <v>#NAME?</v>
      </c>
      <c r="AO200" s="322" t="b">
        <f t="shared" si="78"/>
        <v>0</v>
      </c>
      <c r="AP200" s="329">
        <f t="shared" si="79"/>
        <v>1.28515625</v>
      </c>
    </row>
    <row r="201" spans="1:42" ht="13.2">
      <c r="A201" s="316" t="s">
        <v>729</v>
      </c>
      <c r="B201" s="324">
        <f t="shared" si="81"/>
        <v>3200</v>
      </c>
      <c r="C201" s="324">
        <f>1050</f>
        <v>1050</v>
      </c>
      <c r="D201" s="324">
        <f>3</f>
        <v>3</v>
      </c>
      <c r="E201" s="324"/>
      <c r="F201" s="324"/>
      <c r="G201" s="324"/>
      <c r="H201" s="324"/>
      <c r="I201" s="324"/>
      <c r="J201" s="324"/>
      <c r="K201" s="324"/>
      <c r="L201" s="324"/>
      <c r="M201" s="324">
        <f>25</f>
        <v>25</v>
      </c>
      <c r="N201" s="324"/>
      <c r="O201" s="324"/>
      <c r="P201" s="324"/>
      <c r="Q201" s="324"/>
      <c r="R201" s="324"/>
      <c r="S201" s="324"/>
      <c r="T201" s="324"/>
      <c r="U201" s="324"/>
      <c r="V201" s="324"/>
      <c r="W201" s="324"/>
      <c r="X201" s="324"/>
      <c r="Y201" s="324"/>
      <c r="Z201" s="324"/>
      <c r="AA201" s="324"/>
      <c r="AB201" s="324"/>
      <c r="AC201" s="324"/>
      <c r="AD201" s="324"/>
      <c r="AE201" s="324">
        <f>125 + 0.06 * E_MHP</f>
        <v>125</v>
      </c>
      <c r="AF201" s="324"/>
      <c r="AG201" s="324"/>
      <c r="AH201" s="324"/>
      <c r="AI201" s="325">
        <f>IF($AO$2=1,COUNTIF(Interface!$C$22:$C$27,$A201),0)</f>
        <v>0</v>
      </c>
      <c r="AJ201" s="325">
        <f>IF($AO$2=2,COUNTIF(Interface!$C$30:$C$35,$A201),0)</f>
        <v>0</v>
      </c>
      <c r="AK201" s="325"/>
      <c r="AL201" s="325"/>
      <c r="AM201" s="326">
        <f>COUNTIF(Interface!$O$18:$O$23,$A201)</f>
        <v>0</v>
      </c>
      <c r="AN201" s="322" t="e">
        <f ca="1">_xludf.Image("https://ddragon.leagueoflegends.com/cdn/12.22.1/img/item/3084.png")</f>
        <v>#NAME?</v>
      </c>
      <c r="AO201" s="322" t="b">
        <f t="shared" si="78"/>
        <v>0</v>
      </c>
      <c r="AP201" s="329">
        <f t="shared" si="79"/>
        <v>1.365703125</v>
      </c>
    </row>
    <row r="202" spans="1:42" ht="13.2">
      <c r="A202" s="316" t="s">
        <v>730</v>
      </c>
      <c r="B202" s="324">
        <f t="shared" si="81"/>
        <v>3200</v>
      </c>
      <c r="C202" s="324">
        <f>350</f>
        <v>350</v>
      </c>
      <c r="D202" s="324"/>
      <c r="E202" s="324"/>
      <c r="F202" s="324"/>
      <c r="G202" s="324"/>
      <c r="H202" s="324">
        <f>120</f>
        <v>120</v>
      </c>
      <c r="I202" s="324"/>
      <c r="J202" s="324"/>
      <c r="K202" s="324"/>
      <c r="L202" s="324"/>
      <c r="M202" s="324">
        <f>20</f>
        <v>20</v>
      </c>
      <c r="N202" s="324"/>
      <c r="O202" s="324"/>
      <c r="P202" s="324">
        <f>10 + 5 * Legendary</f>
        <v>10</v>
      </c>
      <c r="Q202" s="324"/>
      <c r="R202" s="324"/>
      <c r="S202" s="324"/>
      <c r="T202" s="324"/>
      <c r="U202" s="324"/>
      <c r="V202" s="324"/>
      <c r="W202" s="324">
        <f>125+0.15*Self_AP</f>
        <v>125</v>
      </c>
      <c r="X202" s="324"/>
      <c r="Y202" s="324"/>
      <c r="Z202" s="324"/>
      <c r="AA202" s="324"/>
      <c r="AB202" s="324"/>
      <c r="AC202" s="324"/>
      <c r="AD202" s="324"/>
      <c r="AE202" s="324"/>
      <c r="AF202" s="324"/>
      <c r="AG202" s="324"/>
      <c r="AH202" s="324"/>
      <c r="AI202" s="325">
        <f>IF($AO$2=1,COUNTIF(Interface!$C$22:$C$27,$A202),0)</f>
        <v>0</v>
      </c>
      <c r="AJ202" s="325">
        <f>IF($AO$2=2,COUNTIF(Interface!$C$30:$C$35,$A202),0)</f>
        <v>0</v>
      </c>
      <c r="AK202" s="325"/>
      <c r="AL202" s="325"/>
      <c r="AM202" s="326">
        <f>COUNTIF(Interface!$O$18:$O$23,$A202)</f>
        <v>0</v>
      </c>
      <c r="AN202" s="322" t="e">
        <f ca="1">_xludf.Image("https://ddragon.leagueoflegends.com/cdn/12.22.1/img/item/3152.png")</f>
        <v>#NAME?</v>
      </c>
      <c r="AO202" s="322" t="b">
        <f t="shared" si="78"/>
        <v>0</v>
      </c>
      <c r="AP202" s="329">
        <f t="shared" si="79"/>
        <v>1.3715625</v>
      </c>
    </row>
    <row r="203" spans="1:42" ht="13.2">
      <c r="A203" s="316" t="s">
        <v>731</v>
      </c>
      <c r="B203" s="324">
        <f>3000</f>
        <v>3000</v>
      </c>
      <c r="C203" s="324">
        <f>550 + 50 * Legendary</f>
        <v>550</v>
      </c>
      <c r="D203" s="324"/>
      <c r="E203" s="324"/>
      <c r="F203" s="324"/>
      <c r="G203" s="324"/>
      <c r="H203" s="324"/>
      <c r="I203" s="324">
        <f>70</f>
        <v>70</v>
      </c>
      <c r="J203" s="324"/>
      <c r="K203" s="324"/>
      <c r="L203" s="324"/>
      <c r="M203" s="324">
        <f>25</f>
        <v>25</v>
      </c>
      <c r="N203" s="324"/>
      <c r="O203" s="324"/>
      <c r="P203" s="324"/>
      <c r="Q203" s="324"/>
      <c r="R203" s="324"/>
      <c r="S203" s="324"/>
      <c r="T203" s="324"/>
      <c r="U203" s="324"/>
      <c r="V203" s="324"/>
      <c r="W203" s="324"/>
      <c r="X203" s="324">
        <f>Self_BaAD</f>
        <v>0</v>
      </c>
      <c r="Y203" s="324"/>
      <c r="Z203" s="324"/>
      <c r="AA203" s="324"/>
      <c r="AB203" s="324"/>
      <c r="AC203" s="324"/>
      <c r="AD203" s="324"/>
      <c r="AE203" s="324"/>
      <c r="AF203" s="324"/>
      <c r="AG203" s="324"/>
      <c r="AH203" s="324"/>
      <c r="AI203" s="325">
        <f>IF($AO$2=1,COUNTIF(Interface!$C$22:$C$27,$A203),0)</f>
        <v>0</v>
      </c>
      <c r="AJ203" s="325">
        <f>IF($AO$2=2,COUNTIF(Interface!$C$30:$C$35,$A203),0)</f>
        <v>0</v>
      </c>
      <c r="AK203" s="325"/>
      <c r="AL203" s="325"/>
      <c r="AM203" s="326">
        <f>COUNTIF(Interface!$O$18:$O$23,$A203)</f>
        <v>0</v>
      </c>
      <c r="AN203" s="322" t="e">
        <f ca="1">_xludf.Image("https://ddragon.leagueoflegends.com/cdn/12.22.1/img/item/6662.png")</f>
        <v>#NAME?</v>
      </c>
      <c r="AO203" s="322" t="b">
        <f t="shared" si="78"/>
        <v>0</v>
      </c>
      <c r="AP203" s="329">
        <f t="shared" si="79"/>
        <v>1.1784166666666667</v>
      </c>
    </row>
    <row r="204" spans="1:42" ht="13.2">
      <c r="A204" s="316" t="s">
        <v>732</v>
      </c>
      <c r="B204" s="324">
        <f>3400</f>
        <v>3400</v>
      </c>
      <c r="C204" s="324"/>
      <c r="D204" s="324"/>
      <c r="E204" s="324"/>
      <c r="F204" s="324"/>
      <c r="G204" s="324">
        <f>100 + 5 * Legendary</f>
        <v>100</v>
      </c>
      <c r="H204" s="324"/>
      <c r="I204" s="324"/>
      <c r="J204" s="324"/>
      <c r="K204" s="324"/>
      <c r="L204" s="324">
        <f>20</f>
        <v>20</v>
      </c>
      <c r="M204" s="324"/>
      <c r="N204" s="324"/>
      <c r="O204" s="324"/>
      <c r="P204" s="324"/>
      <c r="Q204" s="324"/>
      <c r="R204" s="324"/>
      <c r="S204" s="324"/>
      <c r="T204" s="324"/>
      <c r="U204" s="324"/>
      <c r="V204" s="324"/>
      <c r="W204" s="324"/>
      <c r="X204" s="324"/>
      <c r="Y204" s="324"/>
      <c r="Z204" s="324"/>
      <c r="AA204" s="324">
        <f>35</f>
        <v>35</v>
      </c>
      <c r="AB204" s="324"/>
      <c r="AC204" s="324"/>
      <c r="AD204" s="324"/>
      <c r="AE204" s="324"/>
      <c r="AF204" s="324"/>
      <c r="AG204" s="324"/>
      <c r="AH204" s="324"/>
      <c r="AI204" s="325">
        <f>IF($AO$2=1,COUNTIF(Interface!$C$22:$C$27,$A204),0)</f>
        <v>0</v>
      </c>
      <c r="AJ204" s="325">
        <f>IF($AO$2=2,COUNTIF(Interface!$C$30:$C$35,$A204),0)</f>
        <v>0</v>
      </c>
      <c r="AK204" s="325"/>
      <c r="AL204" s="325"/>
      <c r="AM204" s="326">
        <f>COUNTIF(Interface!$O$18:$O$23,$A204)</f>
        <v>0</v>
      </c>
      <c r="AN204" s="322" t="e">
        <f ca="1">_xludf.Image("https://ddragon.leagueoflegends.com/cdn/12.22.1/img/item/3031.png")</f>
        <v>#NAME?</v>
      </c>
      <c r="AO204" s="322" t="b">
        <f t="shared" si="78"/>
        <v>0</v>
      </c>
      <c r="AP204" s="329">
        <f t="shared" si="79"/>
        <v>1.2647058823529411</v>
      </c>
    </row>
    <row r="205" spans="1:42" ht="13.2">
      <c r="A205" s="316" t="s">
        <v>733</v>
      </c>
      <c r="B205" s="324">
        <f t="shared" ref="B205:B206" si="82">3200</f>
        <v>3200</v>
      </c>
      <c r="C205" s="324">
        <f>550</f>
        <v>550</v>
      </c>
      <c r="D205" s="324"/>
      <c r="E205" s="324"/>
      <c r="F205" s="324"/>
      <c r="G205" s="324"/>
      <c r="H205" s="324"/>
      <c r="I205" s="324">
        <f>40 + 5 * Legendary + IF(Steroid_Items, 8, 0)</f>
        <v>40</v>
      </c>
      <c r="J205" s="324">
        <f>40 + 5 * Legendary + IF(Steroid_Items, 8, 0)</f>
        <v>40</v>
      </c>
      <c r="K205" s="324"/>
      <c r="L205" s="324"/>
      <c r="M205" s="324">
        <f>25</f>
        <v>25</v>
      </c>
      <c r="N205" s="324"/>
      <c r="O205" s="324"/>
      <c r="P205" s="324"/>
      <c r="Q205" s="324"/>
      <c r="R205" s="324"/>
      <c r="S205" s="324"/>
      <c r="T205" s="324"/>
      <c r="U205" s="324"/>
      <c r="V205" s="324"/>
      <c r="W205" s="324">
        <f>80 + 0.07 * Self_BoHP</f>
        <v>80</v>
      </c>
      <c r="X205" s="324"/>
      <c r="Y205" s="324"/>
      <c r="Z205" s="324"/>
      <c r="AA205" s="324"/>
      <c r="AB205" s="324"/>
      <c r="AC205" s="324"/>
      <c r="AD205" s="324"/>
      <c r="AE205" s="324"/>
      <c r="AF205" s="324"/>
      <c r="AG205" s="324"/>
      <c r="AH205" s="324"/>
      <c r="AI205" s="325">
        <f>IF($AO$2=1,COUNTIF(Interface!$C$22:$C$27,$A205),0)</f>
        <v>0</v>
      </c>
      <c r="AJ205" s="325">
        <f>IF($AO$2=2,COUNTIF(Interface!$C$30:$C$35,$A205),0)</f>
        <v>0</v>
      </c>
      <c r="AK205" s="325"/>
      <c r="AL205" s="325"/>
      <c r="AM205" s="375">
        <f>COUNTIF(Interface!$O$18:$O$23,$A205)</f>
        <v>0</v>
      </c>
      <c r="AN205" s="322" t="e">
        <f ca="1">_xludf.Image("https://ddragon.leagueoflegends.com/cdn/12.22.1/img/item/6665.png")</f>
        <v>#NAME?</v>
      </c>
      <c r="AO205" s="322" t="b">
        <f t="shared" si="78"/>
        <v>0</v>
      </c>
      <c r="AP205" s="329">
        <f t="shared" si="79"/>
        <v>1.1422656250000001</v>
      </c>
    </row>
    <row r="206" spans="1:42" ht="13.2">
      <c r="A206" s="316" t="s">
        <v>734</v>
      </c>
      <c r="B206" s="324">
        <f t="shared" si="82"/>
        <v>3200</v>
      </c>
      <c r="C206" s="324"/>
      <c r="D206" s="324"/>
      <c r="E206" s="324">
        <f>800</f>
        <v>800</v>
      </c>
      <c r="F206" s="324"/>
      <c r="G206" s="324"/>
      <c r="H206" s="324">
        <f>110</f>
        <v>110</v>
      </c>
      <c r="I206" s="324"/>
      <c r="J206" s="324"/>
      <c r="K206" s="324"/>
      <c r="L206" s="324"/>
      <c r="M206" s="324">
        <f>25 + 5 * Legendary</f>
        <v>25</v>
      </c>
      <c r="N206" s="324"/>
      <c r="O206" s="324"/>
      <c r="P206" s="324"/>
      <c r="Q206" s="324"/>
      <c r="R206" s="324"/>
      <c r="S206" s="324"/>
      <c r="T206" s="324"/>
      <c r="U206" s="324"/>
      <c r="V206" s="324"/>
      <c r="W206" s="324">
        <f>50+0.06*Self_AP+0.04*E_MHP</f>
        <v>50</v>
      </c>
      <c r="X206" s="324"/>
      <c r="Y206" s="324"/>
      <c r="Z206" s="324"/>
      <c r="AA206" s="324"/>
      <c r="AB206" s="324"/>
      <c r="AC206" s="324">
        <f>MIN(0.12,IF(E_BoHp&gt;0,0.12*(E_BoHp/1250),0))</f>
        <v>0</v>
      </c>
      <c r="AD206" s="324"/>
      <c r="AE206" s="324"/>
      <c r="AF206" s="324"/>
      <c r="AG206" s="324"/>
      <c r="AH206" s="324"/>
      <c r="AI206" s="325">
        <f>IF($AO$2=1,COUNTIF(Interface!$C$22:$C$27,$A206),0)</f>
        <v>0</v>
      </c>
      <c r="AJ206" s="325">
        <f>IF($AO$2=2,COUNTIF(Interface!$C$30:$C$35,$A206),0)</f>
        <v>0</v>
      </c>
      <c r="AK206" s="325"/>
      <c r="AL206" s="325"/>
      <c r="AM206" s="375">
        <f>COUNTIF(Interface!$O$18:$O$23,$A206)</f>
        <v>0</v>
      </c>
      <c r="AN206" s="322" t="e">
        <f ca="1">_xludf.Image("https://ddragon.leagueoflegends.com/cdn/12.22.1/img/item/6653.png")</f>
        <v>#NAME?</v>
      </c>
      <c r="AO206" s="322" t="b">
        <f t="shared" si="78"/>
        <v>0</v>
      </c>
      <c r="AP206" s="329">
        <f t="shared" si="79"/>
        <v>1.3060156249999999</v>
      </c>
    </row>
    <row r="207" spans="1:42" ht="13.2">
      <c r="A207" s="316" t="s">
        <v>735</v>
      </c>
      <c r="B207" s="324">
        <f>2300</f>
        <v>2300</v>
      </c>
      <c r="C207" s="324">
        <f>400</f>
        <v>400</v>
      </c>
      <c r="D207" s="324"/>
      <c r="E207" s="324"/>
      <c r="F207" s="324"/>
      <c r="G207" s="324"/>
      <c r="H207" s="324"/>
      <c r="I207" s="324">
        <f t="shared" ref="I207:J207" si="83">40</f>
        <v>40</v>
      </c>
      <c r="J207" s="324">
        <f t="shared" si="83"/>
        <v>40</v>
      </c>
      <c r="K207" s="324"/>
      <c r="L207" s="324"/>
      <c r="M207" s="324">
        <f t="shared" ref="M207:M210" si="84">25</f>
        <v>25</v>
      </c>
      <c r="N207" s="324"/>
      <c r="O207" s="324"/>
      <c r="P207" s="324"/>
      <c r="Q207" s="324"/>
      <c r="R207" s="324"/>
      <c r="S207" s="324"/>
      <c r="T207" s="324"/>
      <c r="U207" s="324"/>
      <c r="V207" s="324"/>
      <c r="W207" s="324"/>
      <c r="X207" s="324"/>
      <c r="Y207" s="324"/>
      <c r="Z207" s="324"/>
      <c r="AA207" s="324"/>
      <c r="AB207" s="324"/>
      <c r="AC207" s="324"/>
      <c r="AD207" s="324"/>
      <c r="AE207" s="324"/>
      <c r="AF207" s="324"/>
      <c r="AG207" s="324"/>
      <c r="AH207" s="324">
        <f>(200 + 160 * Sc_Lin) * MOD_SelfHeal</f>
        <v>200</v>
      </c>
      <c r="AI207" s="325">
        <f>IF($AO$2=1,COUNTIF(Interface!$C$22:$C$27,$A207),0)</f>
        <v>0</v>
      </c>
      <c r="AJ207" s="325">
        <f>IF($AO$2=2,COUNTIF(Interface!$C$30:$C$35,$A207),0)</f>
        <v>0</v>
      </c>
      <c r="AK207" s="325"/>
      <c r="AL207" s="325"/>
      <c r="AM207" s="375">
        <f>COUNTIF(Interface!$O$18:$O$23,$A207)</f>
        <v>0</v>
      </c>
      <c r="AN207" s="322" t="e">
        <f ca="1">_xludf.Image("https://ddragon.leagueoflegends.com/cdn/12.22.1/img/item/3190.png")</f>
        <v>#NAME?</v>
      </c>
      <c r="AO207" s="322" t="b">
        <f t="shared" si="78"/>
        <v>0</v>
      </c>
      <c r="AP207" s="329">
        <f t="shared" si="79"/>
        <v>1.4151086956521739</v>
      </c>
    </row>
    <row r="208" spans="1:42" ht="13.2">
      <c r="A208" s="316" t="s">
        <v>736</v>
      </c>
      <c r="B208" s="324">
        <f>3200</f>
        <v>3200</v>
      </c>
      <c r="C208" s="324"/>
      <c r="D208" s="324"/>
      <c r="E208" s="324">
        <f>800</f>
        <v>800</v>
      </c>
      <c r="F208" s="324"/>
      <c r="G208" s="324"/>
      <c r="H208" s="324">
        <f>100</f>
        <v>100</v>
      </c>
      <c r="I208" s="324"/>
      <c r="J208" s="324"/>
      <c r="K208" s="324"/>
      <c r="L208" s="324"/>
      <c r="M208" s="324">
        <f t="shared" si="84"/>
        <v>25</v>
      </c>
      <c r="N208" s="324"/>
      <c r="O208" s="324"/>
      <c r="P208" s="324">
        <f>11+5*Legendary</f>
        <v>11</v>
      </c>
      <c r="Q208" s="324"/>
      <c r="R208" s="324"/>
      <c r="S208" s="324"/>
      <c r="T208" s="324"/>
      <c r="U208" s="324"/>
      <c r="V208" s="324"/>
      <c r="W208" s="324">
        <f>100+0.1*Self_AP</f>
        <v>100</v>
      </c>
      <c r="X208" s="324"/>
      <c r="Y208" s="324"/>
      <c r="Z208" s="324"/>
      <c r="AA208" s="324"/>
      <c r="AB208" s="324"/>
      <c r="AC208" s="324"/>
      <c r="AD208" s="324"/>
      <c r="AE208" s="324"/>
      <c r="AF208" s="324"/>
      <c r="AG208" s="324"/>
      <c r="AH208" s="324"/>
      <c r="AI208" s="325">
        <f>IF($AO$2=1,COUNTIF(Interface!$C$22:$C$27,$A208),0)</f>
        <v>0</v>
      </c>
      <c r="AJ208" s="325">
        <f>IF($AO$2=2,COUNTIF(Interface!$C$30:$C$35,$A208),0)</f>
        <v>0</v>
      </c>
      <c r="AK208" s="325"/>
      <c r="AL208" s="325"/>
      <c r="AM208" s="375">
        <f>COUNTIF(Interface!$O$18:$O$23,$A208)</f>
        <v>0</v>
      </c>
      <c r="AN208" s="322" t="e">
        <f ca="1">_xludf.Image("https://ddragon.leagueoflegends.com/cdn/12.22.1/img/item/6655.png")</f>
        <v>#NAME?</v>
      </c>
      <c r="AO208" s="322" t="b">
        <f t="shared" si="78"/>
        <v>0</v>
      </c>
      <c r="AP208" s="329">
        <f t="shared" si="79"/>
        <v>1.3449875</v>
      </c>
    </row>
    <row r="209" spans="1:42" ht="13.2">
      <c r="A209" s="316" t="s">
        <v>737</v>
      </c>
      <c r="B209" s="324">
        <f>2300</f>
        <v>2300</v>
      </c>
      <c r="C209" s="324">
        <f>300</f>
        <v>300</v>
      </c>
      <c r="D209" s="324"/>
      <c r="E209" s="324"/>
      <c r="F209" s="324">
        <f>2</f>
        <v>2</v>
      </c>
      <c r="G209" s="324"/>
      <c r="H209" s="324">
        <f>65</f>
        <v>65</v>
      </c>
      <c r="I209" s="324"/>
      <c r="J209" s="324"/>
      <c r="K209" s="324"/>
      <c r="L209" s="324"/>
      <c r="M209" s="324">
        <f t="shared" si="84"/>
        <v>25</v>
      </c>
      <c r="N209" s="324"/>
      <c r="O209" s="324"/>
      <c r="P209" s="324"/>
      <c r="Q209" s="324"/>
      <c r="R209" s="324"/>
      <c r="S209" s="324">
        <f>5 * Legendary</f>
        <v>0</v>
      </c>
      <c r="T209" s="324"/>
      <c r="U209" s="324"/>
      <c r="V209" s="324"/>
      <c r="W209" s="324"/>
      <c r="X209" s="324"/>
      <c r="Y209" s="324"/>
      <c r="Z209" s="324"/>
      <c r="AA209" s="324"/>
      <c r="AB209" s="324"/>
      <c r="AC209" s="324"/>
      <c r="AD209" s="324"/>
      <c r="AE209" s="324"/>
      <c r="AF209" s="324"/>
      <c r="AG209" s="324"/>
      <c r="AH209" s="324"/>
      <c r="AI209" s="325">
        <f>IF($AO$2=1,COUNTIF(Interface!$C$22:$C$27,$A209),0)</f>
        <v>0</v>
      </c>
      <c r="AJ209" s="325">
        <f>IF($AO$2=2,COUNTIF(Interface!$C$30:$C$35,$A209),0)</f>
        <v>0</v>
      </c>
      <c r="AK209" s="325"/>
      <c r="AL209" s="325"/>
      <c r="AM209" s="375">
        <f>COUNTIF(Interface!$O$18:$O$23,$A209)</f>
        <v>0</v>
      </c>
      <c r="AN209" s="322" t="e">
        <f ca="1">_xludf.Image("https://ddragon.leagueoflegends.com/cdn/12.22.1/img/item/6617.png")</f>
        <v>#NAME?</v>
      </c>
      <c r="AO209" s="322" t="b">
        <f t="shared" si="78"/>
        <v>0</v>
      </c>
      <c r="AP209" s="329">
        <f t="shared" si="79"/>
        <v>1.6876086956521739</v>
      </c>
    </row>
    <row r="210" spans="1:42" ht="13.2">
      <c r="A210" s="316" t="s">
        <v>738</v>
      </c>
      <c r="B210" s="324">
        <f>3400</f>
        <v>3400</v>
      </c>
      <c r="C210" s="324"/>
      <c r="D210" s="324"/>
      <c r="E210" s="324"/>
      <c r="F210" s="324"/>
      <c r="G210" s="324">
        <f>85 + 5 * Legendary</f>
        <v>85</v>
      </c>
      <c r="H210" s="324"/>
      <c r="I210" s="324"/>
      <c r="J210" s="324"/>
      <c r="K210" s="324"/>
      <c r="L210" s="324">
        <f>20</f>
        <v>20</v>
      </c>
      <c r="M210" s="324">
        <f t="shared" si="84"/>
        <v>25</v>
      </c>
      <c r="N210" s="324"/>
      <c r="O210" s="324"/>
      <c r="P210" s="324"/>
      <c r="Q210" s="324"/>
      <c r="R210" s="324"/>
      <c r="S210" s="324"/>
      <c r="T210" s="324"/>
      <c r="U210" s="324"/>
      <c r="V210" s="324"/>
      <c r="W210" s="324"/>
      <c r="X210" s="324"/>
      <c r="Y210" s="324"/>
      <c r="Z210" s="324"/>
      <c r="AA210" s="324"/>
      <c r="AB210" s="324"/>
      <c r="AC210" s="324"/>
      <c r="AD210" s="324"/>
      <c r="AE210" s="324"/>
      <c r="AF210" s="324"/>
      <c r="AG210" s="324"/>
      <c r="AH210" s="324"/>
      <c r="AI210" s="325">
        <f>IF($AO$2=1,COUNTIF(Interface!$C$22:$C$27,$A210),0)</f>
        <v>0</v>
      </c>
      <c r="AJ210" s="325">
        <f>IF($AO$2=2,COUNTIF(Interface!$C$30:$C$35,$A210),0)</f>
        <v>0</v>
      </c>
      <c r="AK210" s="325"/>
      <c r="AL210" s="325"/>
      <c r="AM210" s="375">
        <f>COUNTIF(Interface!$O$18:$O$23,$A210)</f>
        <v>0</v>
      </c>
      <c r="AN210" s="322" t="e">
        <f ca="1">_xludf.Image("https://ddragon.leagueoflegends.com/cdn/12.22.1/img/item/6675.png")</f>
        <v>#NAME?</v>
      </c>
      <c r="AO210" s="322" t="b">
        <f t="shared" si="78"/>
        <v>0</v>
      </c>
      <c r="AP210" s="329">
        <f t="shared" si="79"/>
        <v>1.3063970588235294</v>
      </c>
    </row>
    <row r="211" spans="1:42" ht="13.2">
      <c r="A211" s="316" t="s">
        <v>739</v>
      </c>
      <c r="B211" s="324">
        <f>3200</f>
        <v>3200</v>
      </c>
      <c r="C211" s="324">
        <f>400</f>
        <v>400</v>
      </c>
      <c r="D211" s="324"/>
      <c r="E211" s="324"/>
      <c r="F211" s="324"/>
      <c r="G211" s="324"/>
      <c r="H211" s="324">
        <f>120</f>
        <v>120</v>
      </c>
      <c r="I211" s="324"/>
      <c r="J211" s="324"/>
      <c r="K211" s="324"/>
      <c r="L211" s="324"/>
      <c r="M211" s="324">
        <f>30 + 5 * Legendary</f>
        <v>30</v>
      </c>
      <c r="N211" s="324"/>
      <c r="O211" s="324"/>
      <c r="P211" s="324"/>
      <c r="Q211" s="324"/>
      <c r="R211" s="324"/>
      <c r="S211" s="324"/>
      <c r="T211" s="324"/>
      <c r="U211" s="324"/>
      <c r="V211" s="324"/>
      <c r="W211" s="324">
        <f>125+0.15*Self_AP</f>
        <v>125</v>
      </c>
      <c r="X211" s="324"/>
      <c r="Y211" s="324"/>
      <c r="Z211" s="324"/>
      <c r="AA211" s="324"/>
      <c r="AB211" s="324"/>
      <c r="AC211" s="324"/>
      <c r="AD211" s="324"/>
      <c r="AE211" s="324"/>
      <c r="AF211" s="324"/>
      <c r="AG211" s="324"/>
      <c r="AH211" s="324"/>
      <c r="AI211" s="325">
        <f>IF($AO$2=1,COUNTIF(Interface!$C$22:$C$27,$A211),0)</f>
        <v>0</v>
      </c>
      <c r="AJ211" s="325">
        <f>IF($AO$2=2,COUNTIF(Interface!$C$30:$C$35,$A211),0)</f>
        <v>0</v>
      </c>
      <c r="AK211" s="325"/>
      <c r="AL211" s="325"/>
      <c r="AM211" s="375">
        <f>COUNTIF(Interface!$O$18:$O$23,$A211)</f>
        <v>0</v>
      </c>
      <c r="AN211" s="322" t="e">
        <f ca="1">_xludf.Image("https://ddragon.leagueoflegends.com/cdn/12.22.1/img/item/4636.png")</f>
        <v>#NAME?</v>
      </c>
      <c r="AO211" s="322" t="b">
        <f t="shared" si="78"/>
        <v>0</v>
      </c>
      <c r="AP211" s="329">
        <f t="shared" si="79"/>
        <v>1.3994062500000002</v>
      </c>
    </row>
    <row r="212" spans="1:42" ht="13.2">
      <c r="A212" s="316" t="s">
        <v>740</v>
      </c>
      <c r="B212" s="324">
        <f>2700</f>
        <v>2700</v>
      </c>
      <c r="C212" s="324">
        <f>500 + Legendary * 75</f>
        <v>500</v>
      </c>
      <c r="D212" s="324"/>
      <c r="E212" s="324"/>
      <c r="F212" s="324"/>
      <c r="G212" s="324"/>
      <c r="H212" s="324"/>
      <c r="I212" s="324">
        <f t="shared" ref="I212:J212" si="85">40</f>
        <v>40</v>
      </c>
      <c r="J212" s="324">
        <f t="shared" si="85"/>
        <v>40</v>
      </c>
      <c r="K212" s="324"/>
      <c r="L212" s="324"/>
      <c r="M212" s="324">
        <f>15</f>
        <v>15</v>
      </c>
      <c r="N212" s="324"/>
      <c r="O212" s="324"/>
      <c r="P212" s="324"/>
      <c r="Q212" s="324"/>
      <c r="R212" s="324"/>
      <c r="S212" s="324"/>
      <c r="T212" s="324"/>
      <c r="U212" s="324"/>
      <c r="V212" s="324"/>
      <c r="W212" s="324"/>
      <c r="X212" s="324"/>
      <c r="Y212" s="324"/>
      <c r="Z212" s="324"/>
      <c r="AA212" s="324"/>
      <c r="AB212" s="324"/>
      <c r="AC212" s="324"/>
      <c r="AD212" s="324"/>
      <c r="AE212" s="324"/>
      <c r="AF212" s="324"/>
      <c r="AG212" s="324"/>
      <c r="AH212" s="324"/>
      <c r="AI212" s="325">
        <f>IF($AO$2=1,COUNTIF(Interface!$C$22:$C$27,$A212),0)</f>
        <v>0</v>
      </c>
      <c r="AJ212" s="325">
        <f>IF($AO$2=2,COUNTIF(Interface!$C$30:$C$35,$A212),0)</f>
        <v>0</v>
      </c>
      <c r="AK212" s="325"/>
      <c r="AL212" s="325"/>
      <c r="AM212" s="375">
        <f>COUNTIF(Interface!$O$18:$O$23,$A212)</f>
        <v>0</v>
      </c>
      <c r="AN212" s="322" t="e">
        <f ca="1">_xludf.Image("https://ddragon.leagueoflegends.com/cdn/12.22.1/img/item/6667.png")</f>
        <v>#NAME?</v>
      </c>
      <c r="AO212" s="322" t="b">
        <f t="shared" si="78"/>
        <v>0</v>
      </c>
      <c r="AP212" s="329">
        <f t="shared" si="79"/>
        <v>1.2055740740740741</v>
      </c>
    </row>
    <row r="213" spans="1:42" ht="13.2">
      <c r="A213" s="316" t="s">
        <v>741</v>
      </c>
      <c r="B213" s="324">
        <f>3200</f>
        <v>3200</v>
      </c>
      <c r="C213" s="324">
        <f>450</f>
        <v>450</v>
      </c>
      <c r="D213" s="324"/>
      <c r="E213" s="324"/>
      <c r="F213" s="324"/>
      <c r="G213" s="324"/>
      <c r="H213" s="324">
        <f>90+8*Legendary</f>
        <v>90</v>
      </c>
      <c r="I213" s="324"/>
      <c r="J213" s="324"/>
      <c r="K213" s="324"/>
      <c r="L213" s="324"/>
      <c r="M213" s="324">
        <f>20</f>
        <v>20</v>
      </c>
      <c r="N213" s="324">
        <f>8 + 2 * Legendary</f>
        <v>8</v>
      </c>
      <c r="O213" s="324"/>
      <c r="P213" s="324"/>
      <c r="Q213" s="324"/>
      <c r="R213" s="324"/>
      <c r="S213" s="324"/>
      <c r="T213" s="324"/>
      <c r="U213" s="324"/>
      <c r="V213" s="324"/>
      <c r="W213" s="324"/>
      <c r="X213" s="324"/>
      <c r="Y213" s="324"/>
      <c r="Z213" s="324"/>
      <c r="AA213" s="324"/>
      <c r="AB213" s="324">
        <f>8 + 2 * Legendary</f>
        <v>8</v>
      </c>
      <c r="AC213" s="324"/>
      <c r="AD213" s="324"/>
      <c r="AE213" s="324"/>
      <c r="AF213" s="324"/>
      <c r="AG213" s="324"/>
      <c r="AH213" s="324"/>
      <c r="AI213" s="325">
        <f>IF($AO$2=1,COUNTIF(Interface!$C$22:$C$27,$A213),0)</f>
        <v>0</v>
      </c>
      <c r="AJ213" s="325">
        <f>IF($AO$2=2,COUNTIF(Interface!$C$30:$C$35,$A213),0)</f>
        <v>0</v>
      </c>
      <c r="AK213" s="325"/>
      <c r="AL213" s="325"/>
      <c r="AM213" s="375">
        <f>COUNTIF(Interface!$O$18:$O$23,$A213)</f>
        <v>0</v>
      </c>
      <c r="AN213" s="322" t="e">
        <f ca="1">_xludf.Image("https://ddragon.leagueoflegends.com/cdn/12.22.1/img/item/4633.png")</f>
        <v>#NAME?</v>
      </c>
      <c r="AO213" s="322" t="b">
        <f t="shared" si="78"/>
        <v>0</v>
      </c>
      <c r="AP213" s="329">
        <f t="shared" si="79"/>
        <v>1.247625</v>
      </c>
    </row>
    <row r="214" spans="1:42" ht="13.2">
      <c r="A214" s="316" t="s">
        <v>742</v>
      </c>
      <c r="B214" s="324">
        <f>2800</f>
        <v>2800</v>
      </c>
      <c r="C214" s="324">
        <f>550 + IF(Steroid_Items, 200, 0)</f>
        <v>550</v>
      </c>
      <c r="D214" s="324"/>
      <c r="E214" s="324">
        <f>550 + IF(Steroid_Items, 200, 0)</f>
        <v>550</v>
      </c>
      <c r="F214" s="324"/>
      <c r="G214" s="324"/>
      <c r="H214" s="324">
        <f>80 + IF(Steroid_Items, 40, 0)</f>
        <v>80</v>
      </c>
      <c r="I214" s="324"/>
      <c r="J214" s="324"/>
      <c r="K214" s="324"/>
      <c r="L214" s="324"/>
      <c r="M214" s="324">
        <f>5 * Legendary</f>
        <v>0</v>
      </c>
      <c r="N214" s="324"/>
      <c r="O214" s="324"/>
      <c r="P214" s="324"/>
      <c r="Q214" s="324"/>
      <c r="R214" s="324"/>
      <c r="S214" s="324"/>
      <c r="T214" s="324"/>
      <c r="U214" s="324"/>
      <c r="V214" s="324"/>
      <c r="W214" s="324"/>
      <c r="X214" s="324"/>
      <c r="Y214" s="324"/>
      <c r="Z214" s="324"/>
      <c r="AA214" s="324"/>
      <c r="AB214" s="324"/>
      <c r="AC214" s="324"/>
      <c r="AD214" s="324"/>
      <c r="AE214" s="324"/>
      <c r="AF214" s="324"/>
      <c r="AG214" s="324"/>
      <c r="AH214" s="324"/>
      <c r="AI214" s="325">
        <f>IF($AO$2=1,COUNTIF(Interface!$C$22:$C$27,$A214),0)</f>
        <v>0</v>
      </c>
      <c r="AJ214" s="325">
        <f>IF($AO$2=2,COUNTIF(Interface!$C$30:$C$35,$A214),0)</f>
        <v>0</v>
      </c>
      <c r="AK214" s="325"/>
      <c r="AL214" s="325"/>
      <c r="AM214" s="375">
        <f>COUNTIF(Interface!$O$18:$O$23,$A214)</f>
        <v>0</v>
      </c>
      <c r="AN214" s="322" t="e">
        <f ca="1">_xludf.Image("https://ddragon.leagueoflegends.com/cdn/12.22.1/img/item/6657.png")</f>
        <v>#NAME?</v>
      </c>
      <c r="AO214" s="322" t="b">
        <f t="shared" si="78"/>
        <v>0</v>
      </c>
      <c r="AP214" s="329">
        <f t="shared" si="79"/>
        <v>1.4208928571428572</v>
      </c>
    </row>
    <row r="215" spans="1:42" ht="13.2">
      <c r="A215" s="316" t="s">
        <v>743</v>
      </c>
      <c r="B215" s="324">
        <f>2300</f>
        <v>2300</v>
      </c>
      <c r="C215" s="324">
        <f>300</f>
        <v>300</v>
      </c>
      <c r="D215" s="324"/>
      <c r="E215" s="324"/>
      <c r="F215" s="324">
        <f>2</f>
        <v>2</v>
      </c>
      <c r="G215" s="324"/>
      <c r="H215" s="324">
        <f>65</f>
        <v>65</v>
      </c>
      <c r="I215" s="324"/>
      <c r="J215" s="324"/>
      <c r="K215" s="324"/>
      <c r="L215" s="324"/>
      <c r="M215" s="324">
        <f>25 + 5 * Legendary</f>
        <v>25</v>
      </c>
      <c r="N215" s="324"/>
      <c r="O215" s="324"/>
      <c r="P215" s="324"/>
      <c r="Q215" s="324"/>
      <c r="R215" s="324"/>
      <c r="S215" s="324"/>
      <c r="T215" s="324"/>
      <c r="U215" s="324"/>
      <c r="V215" s="324"/>
      <c r="W215" s="324"/>
      <c r="X215" s="324"/>
      <c r="Y215" s="324"/>
      <c r="Z215" s="324"/>
      <c r="AA215" s="324"/>
      <c r="AB215" s="324"/>
      <c r="AC215" s="324"/>
      <c r="AD215" s="324"/>
      <c r="AE215" s="324"/>
      <c r="AF215" s="324"/>
      <c r="AG215" s="324"/>
      <c r="AH215" s="324"/>
      <c r="AI215" s="325">
        <f>IF($AO$2=1,COUNTIF(Interface!$C$22:$C$27,$A215),0)</f>
        <v>0</v>
      </c>
      <c r="AJ215" s="325">
        <f>IF($AO$2=2,COUNTIF(Interface!$C$30:$C$35,$A215),0)</f>
        <v>0</v>
      </c>
      <c r="AK215" s="325"/>
      <c r="AL215" s="325"/>
      <c r="AM215" s="375">
        <f>COUNTIF(Interface!$O$18:$O$23,$A215)</f>
        <v>0</v>
      </c>
      <c r="AN215" s="322" t="e">
        <f ca="1">_xludf.Image("https://ddragon.leagueoflegends.com/cdn/12.22.1/img/item/2065.png")</f>
        <v>#NAME?</v>
      </c>
      <c r="AO215" s="322" t="b">
        <f t="shared" si="78"/>
        <v>0</v>
      </c>
      <c r="AP215" s="331">
        <f t="shared" si="79"/>
        <v>1.6876086956521739</v>
      </c>
    </row>
    <row r="216" spans="1:42" ht="13.2">
      <c r="A216" s="316" t="s">
        <v>744</v>
      </c>
      <c r="B216" s="324">
        <f>3300</f>
        <v>3300</v>
      </c>
      <c r="C216" s="324">
        <f t="shared" ref="C216:C217" si="86">400</f>
        <v>400</v>
      </c>
      <c r="D216" s="324"/>
      <c r="E216" s="324"/>
      <c r="F216" s="324"/>
      <c r="G216" s="324">
        <f>70</f>
        <v>70</v>
      </c>
      <c r="H216" s="324"/>
      <c r="I216" s="324"/>
      <c r="J216" s="324"/>
      <c r="K216" s="324">
        <f>30</f>
        <v>30</v>
      </c>
      <c r="L216" s="324"/>
      <c r="M216" s="324">
        <f>25</f>
        <v>25</v>
      </c>
      <c r="N216" s="324"/>
      <c r="O216" s="324"/>
      <c r="P216" s="324"/>
      <c r="Q216" s="324"/>
      <c r="R216" s="324">
        <f>2 * Legendary</f>
        <v>0</v>
      </c>
      <c r="S216" s="324"/>
      <c r="T216" s="324"/>
      <c r="U216" s="324"/>
      <c r="V216" s="324"/>
      <c r="W216" s="324"/>
      <c r="X216" s="324"/>
      <c r="Y216" s="324"/>
      <c r="Z216" s="324"/>
      <c r="AA216" s="324"/>
      <c r="AB216" s="324"/>
      <c r="AC216" s="324"/>
      <c r="AD216" s="324"/>
      <c r="AE216" s="324">
        <f>Self_BaAD * 1.75</f>
        <v>0</v>
      </c>
      <c r="AF216" s="324"/>
      <c r="AG216" s="324"/>
      <c r="AH216" s="324"/>
      <c r="AI216" s="325">
        <f>IF($AO$2=1,COUNTIF(Interface!$C$22:$C$27,$A216),0)</f>
        <v>0</v>
      </c>
      <c r="AJ216" s="325">
        <f>IF($AO$2=2,COUNTIF(Interface!$C$30:$C$35,$A216),0)</f>
        <v>0</v>
      </c>
      <c r="AK216" s="325"/>
      <c r="AL216" s="325"/>
      <c r="AM216" s="375">
        <f>COUNTIF(Interface!$O$18:$O$23,$A216)</f>
        <v>0</v>
      </c>
      <c r="AN216" s="322" t="e">
        <f ca="1">_xludf.Image("https://ddragon.leagueoflegends.com/cdn/12.22.1/img/item/6631.png")</f>
        <v>#NAME?</v>
      </c>
      <c r="AO216" s="322" t="b">
        <f t="shared" si="78"/>
        <v>0</v>
      </c>
      <c r="AP216" s="327"/>
    </row>
    <row r="217" spans="1:42" ht="13.2">
      <c r="A217" s="316" t="s">
        <v>745</v>
      </c>
      <c r="B217" s="324">
        <f>3333</f>
        <v>3333</v>
      </c>
      <c r="C217" s="324">
        <f t="shared" si="86"/>
        <v>400</v>
      </c>
      <c r="D217" s="324"/>
      <c r="E217" s="324"/>
      <c r="F217" s="324"/>
      <c r="G217" s="324">
        <f>50 + 3 * Legendary</f>
        <v>50</v>
      </c>
      <c r="H217" s="324"/>
      <c r="I217" s="324"/>
      <c r="J217" s="324"/>
      <c r="K217" s="324">
        <f>45</f>
        <v>45</v>
      </c>
      <c r="L217" s="324"/>
      <c r="M217" s="324">
        <f>25 + 3 * Legendary</f>
        <v>25</v>
      </c>
      <c r="N217" s="324"/>
      <c r="O217" s="324"/>
      <c r="P217" s="324"/>
      <c r="Q217" s="324"/>
      <c r="R217" s="324"/>
      <c r="S217" s="324"/>
      <c r="T217" s="324"/>
      <c r="U217" s="324"/>
      <c r="V217" s="324"/>
      <c r="W217" s="324"/>
      <c r="X217" s="324" t="e">
        <f ca="1">2*Self_BaAD*MOD_Phys</f>
        <v>#NAME?</v>
      </c>
      <c r="Y217" s="324"/>
      <c r="Z217" s="324"/>
      <c r="AA217" s="324"/>
      <c r="AB217" s="324"/>
      <c r="AC217" s="324"/>
      <c r="AD217" s="324"/>
      <c r="AE217" s="324"/>
      <c r="AF217" s="324"/>
      <c r="AG217" s="324">
        <f>3 * Legendary</f>
        <v>0</v>
      </c>
      <c r="AH217" s="324"/>
      <c r="AI217" s="325">
        <f>IF($AO$2=1,COUNTIF(Interface!$C$22:$C$27,$A217),0)</f>
        <v>0</v>
      </c>
      <c r="AJ217" s="325">
        <f>IF($AO$2=2,COUNTIF(Interface!$C$30:$C$35,$A217),0)</f>
        <v>0</v>
      </c>
      <c r="AK217" s="325"/>
      <c r="AL217" s="325"/>
      <c r="AM217" s="375">
        <f>COUNTIF(Interface!$O$18:$O$23,$A217)</f>
        <v>0</v>
      </c>
      <c r="AN217" s="322" t="e">
        <f ca="1">_xludf.Image("https://ddragon.leagueoflegends.com/cdn/12.22.1/img/item/3078.png")</f>
        <v>#NAME?</v>
      </c>
      <c r="AO217" s="322" t="b">
        <f t="shared" si="78"/>
        <v>0</v>
      </c>
      <c r="AP217" s="371"/>
    </row>
    <row r="218" spans="1:42" ht="13.2">
      <c r="A218" s="316" t="s">
        <v>746</v>
      </c>
      <c r="B218" s="324">
        <f>3100</f>
        <v>3100</v>
      </c>
      <c r="C218" s="324"/>
      <c r="D218" s="324"/>
      <c r="E218" s="324"/>
      <c r="F218" s="324"/>
      <c r="G218" s="324">
        <f>75 + 7 * Legendary</f>
        <v>75</v>
      </c>
      <c r="H218" s="324"/>
      <c r="I218" s="324"/>
      <c r="J218" s="324"/>
      <c r="K218" s="324"/>
      <c r="L218" s="324"/>
      <c r="M218" s="324">
        <f>20</f>
        <v>20</v>
      </c>
      <c r="N218" s="324"/>
      <c r="O218" s="324">
        <f>26 + IF(Steroid_Items,3 + 9 * Sc_Lin)</f>
        <v>26</v>
      </c>
      <c r="P218" s="324"/>
      <c r="Q218" s="324"/>
      <c r="R218" s="324"/>
      <c r="S218" s="324"/>
      <c r="T218" s="324"/>
      <c r="U218" s="324"/>
      <c r="V218" s="324"/>
      <c r="W218" s="324"/>
      <c r="X218" s="324"/>
      <c r="Y218" s="324"/>
      <c r="Z218" s="324"/>
      <c r="AA218" s="324"/>
      <c r="AB218" s="324"/>
      <c r="AC218" s="324"/>
      <c r="AD218" s="324"/>
      <c r="AE218" s="324"/>
      <c r="AF218" s="324"/>
      <c r="AG218" s="324">
        <f>40</f>
        <v>40</v>
      </c>
      <c r="AH218" s="324"/>
      <c r="AI218" s="325">
        <f>IF($AO$2=1,COUNTIF(Interface!$C$22:$C$27,$A218),0)</f>
        <v>0</v>
      </c>
      <c r="AJ218" s="325">
        <f>IF($AO$2=2,COUNTIF(Interface!$C$30:$C$35,$A218),0)</f>
        <v>0</v>
      </c>
      <c r="AK218" s="325"/>
      <c r="AL218" s="325"/>
      <c r="AM218" s="375">
        <f>COUNTIF(Interface!$O$18:$O$23,$A218)</f>
        <v>0</v>
      </c>
      <c r="AN218" s="322" t="e">
        <f ca="1">_xludf.Image("https://ddragon.leagueoflegends.com/cdn/12.22.1/img/item/3142.png")</f>
        <v>#NAME?</v>
      </c>
      <c r="AO218" s="322" t="b">
        <f t="shared" si="78"/>
        <v>0</v>
      </c>
      <c r="AP218" s="327"/>
    </row>
    <row r="219" spans="1:42" ht="13.2">
      <c r="A219" s="316"/>
      <c r="B219" s="324"/>
      <c r="C219" s="324"/>
      <c r="D219" s="324"/>
      <c r="E219" s="324"/>
      <c r="F219" s="324"/>
      <c r="G219" s="324"/>
      <c r="H219" s="324"/>
      <c r="I219" s="324"/>
      <c r="J219" s="324"/>
      <c r="K219" s="324"/>
      <c r="L219" s="324"/>
      <c r="M219" s="324"/>
      <c r="N219" s="324"/>
      <c r="O219" s="324"/>
      <c r="P219" s="324"/>
      <c r="Q219" s="324"/>
      <c r="R219" s="324"/>
      <c r="S219" s="324"/>
      <c r="T219" s="324"/>
      <c r="U219" s="324"/>
      <c r="V219" s="324"/>
      <c r="W219" s="324"/>
      <c r="X219" s="324"/>
      <c r="Y219" s="324"/>
      <c r="Z219" s="324"/>
      <c r="AA219" s="324"/>
      <c r="AB219" s="324"/>
      <c r="AC219" s="324"/>
      <c r="AD219" s="324"/>
      <c r="AE219" s="324"/>
      <c r="AF219" s="324"/>
      <c r="AG219" s="324"/>
      <c r="AH219" s="324"/>
      <c r="AI219" s="325"/>
      <c r="AJ219" s="325"/>
      <c r="AK219" s="325"/>
      <c r="AL219" s="325"/>
      <c r="AM219" s="375"/>
      <c r="AN219" s="322"/>
      <c r="AO219" s="322"/>
      <c r="AP219" s="371"/>
    </row>
    <row r="220" spans="1:42" ht="13.2">
      <c r="A220" s="316"/>
      <c r="B220" s="324"/>
      <c r="C220" s="324"/>
      <c r="D220" s="324"/>
      <c r="E220" s="324"/>
      <c r="F220" s="324"/>
      <c r="G220" s="324"/>
      <c r="H220" s="324"/>
      <c r="I220" s="324"/>
      <c r="J220" s="324"/>
      <c r="K220" s="324"/>
      <c r="L220" s="324"/>
      <c r="M220" s="324"/>
      <c r="N220" s="324"/>
      <c r="O220" s="324"/>
      <c r="P220" s="324"/>
      <c r="Q220" s="324"/>
      <c r="R220" s="324"/>
      <c r="S220" s="324"/>
      <c r="T220" s="324"/>
      <c r="U220" s="324"/>
      <c r="V220" s="324"/>
      <c r="W220" s="324"/>
      <c r="X220" s="324"/>
      <c r="Y220" s="324"/>
      <c r="Z220" s="324"/>
      <c r="AA220" s="324"/>
      <c r="AB220" s="324"/>
      <c r="AC220" s="324"/>
      <c r="AD220" s="324"/>
      <c r="AE220" s="324"/>
      <c r="AF220" s="324"/>
      <c r="AG220" s="324"/>
      <c r="AH220" s="324"/>
      <c r="AI220" s="325"/>
      <c r="AJ220" s="325"/>
      <c r="AK220" s="325"/>
      <c r="AL220" s="325"/>
      <c r="AM220" s="375"/>
      <c r="AN220" s="322"/>
      <c r="AO220" s="322"/>
      <c r="AP220" s="327"/>
    </row>
    <row r="221" spans="1:42" ht="13.2">
      <c r="A221" s="316" t="s">
        <v>96</v>
      </c>
      <c r="B221" s="324"/>
      <c r="C221" s="324"/>
      <c r="D221" s="324"/>
      <c r="E221" s="324"/>
      <c r="F221" s="324"/>
      <c r="G221" s="324"/>
      <c r="H221" s="324"/>
      <c r="I221" s="324"/>
      <c r="J221" s="324"/>
      <c r="K221" s="324"/>
      <c r="L221" s="324"/>
      <c r="M221" s="324"/>
      <c r="N221" s="324"/>
      <c r="O221" s="324"/>
      <c r="P221" s="324"/>
      <c r="Q221" s="324"/>
      <c r="R221" s="324"/>
      <c r="S221" s="324"/>
      <c r="T221" s="324"/>
      <c r="U221" s="324"/>
      <c r="V221" s="324"/>
      <c r="W221" s="324"/>
      <c r="X221" s="324"/>
      <c r="Y221" s="324"/>
      <c r="Z221" s="324"/>
      <c r="AA221" s="324"/>
      <c r="AB221" s="324"/>
      <c r="AC221" s="324"/>
      <c r="AD221" s="324"/>
      <c r="AE221" s="324"/>
      <c r="AF221" s="324"/>
      <c r="AG221" s="324"/>
      <c r="AH221" s="324"/>
      <c r="AI221" s="325"/>
      <c r="AJ221" s="325"/>
      <c r="AK221" s="325"/>
      <c r="AL221" s="325"/>
      <c r="AM221" s="375"/>
      <c r="AN221" s="322" t="e">
        <f ca="1">_xludf.Image("https://puu.sh/I6Yf5/3e90b34ed8.png")</f>
        <v>#NAME?</v>
      </c>
      <c r="AO221" s="322"/>
      <c r="AP221" s="371"/>
    </row>
    <row r="222" spans="1:42" ht="13.2">
      <c r="A222" s="316" t="s">
        <v>747</v>
      </c>
      <c r="B222" s="324">
        <f t="shared" ref="B222:B224" si="87">500</f>
        <v>500</v>
      </c>
      <c r="C222" s="324">
        <f>300</f>
        <v>300</v>
      </c>
      <c r="D222" s="324"/>
      <c r="E222" s="324"/>
      <c r="F222" s="324"/>
      <c r="G222" s="324"/>
      <c r="H222" s="324"/>
      <c r="I222" s="324"/>
      <c r="J222" s="324"/>
      <c r="K222" s="324"/>
      <c r="L222" s="324"/>
      <c r="M222" s="324"/>
      <c r="N222" s="324"/>
      <c r="O222" s="324"/>
      <c r="P222" s="324"/>
      <c r="Q222" s="324"/>
      <c r="R222" s="324"/>
      <c r="S222" s="324"/>
      <c r="T222" s="324"/>
      <c r="U222" s="324"/>
      <c r="V222" s="324"/>
      <c r="W222" s="324"/>
      <c r="X222" s="324"/>
      <c r="Y222" s="324"/>
      <c r="Z222" s="324"/>
      <c r="AA222" s="324"/>
      <c r="AB222" s="324"/>
      <c r="AC222" s="324"/>
      <c r="AD222" s="324"/>
      <c r="AE222" s="324"/>
      <c r="AF222" s="324">
        <f>25</f>
        <v>25</v>
      </c>
      <c r="AG222" s="324"/>
      <c r="AH222" s="324"/>
      <c r="AI222" s="325">
        <f>IF($AO$2=1,COUNTIF(Interface!$C$22:$C$28,$A222),0)</f>
        <v>0</v>
      </c>
      <c r="AJ222" s="325">
        <f>IF($AO$2=2,COUNTIF(Interface!$C$30:$C$36,$A222),0)</f>
        <v>0</v>
      </c>
      <c r="AK222" s="325"/>
      <c r="AL222" s="325"/>
      <c r="AM222" s="375">
        <f>COUNTIF(Interface!$O$18:$O$23,$A222)</f>
        <v>0</v>
      </c>
      <c r="AN222" s="322" t="e">
        <f ca="1">_xludf.Image("https://ddragon.leagueoflegends.com/cdn/12.22.1/img/item/2138.png")</f>
        <v>#NAME?</v>
      </c>
      <c r="AO222" s="322" t="b">
        <f t="shared" ref="AO222:AO224" si="88">FALSE</f>
        <v>0</v>
      </c>
      <c r="AP222" s="329">
        <f t="shared" ref="AP222:AP224" si="89">(C222 * 2.67 +
D222 * 300 +
E222 * 1.4 +
F222 * 500 +
G222 * 35 +
H222 * 21.75 +
I222 * 20 +
J222 * 18 +
K222 * 25 +
L222 * 40 +
M222 * 26.67 +
N222 * 37.5 +
O222 * 5 +
P222 * 31.11 +
Q222 * 12 +
R222 * 39.5 +
S222 * 56.67 +
T222 * 25 +
U222 * 25) / B222</f>
        <v>1.6020000000000001</v>
      </c>
    </row>
    <row r="223" spans="1:42" ht="13.2">
      <c r="A223" s="316" t="s">
        <v>748</v>
      </c>
      <c r="B223" s="324">
        <f t="shared" si="87"/>
        <v>500</v>
      </c>
      <c r="C223" s="324"/>
      <c r="D223" s="324"/>
      <c r="E223" s="324"/>
      <c r="F223" s="324"/>
      <c r="G223" s="324"/>
      <c r="H223" s="324">
        <f>50</f>
        <v>50</v>
      </c>
      <c r="I223" s="324"/>
      <c r="J223" s="324"/>
      <c r="K223" s="324"/>
      <c r="L223" s="324"/>
      <c r="M223" s="324"/>
      <c r="N223" s="324"/>
      <c r="O223" s="324"/>
      <c r="P223" s="324"/>
      <c r="Q223" s="324"/>
      <c r="R223" s="324"/>
      <c r="S223" s="324"/>
      <c r="T223" s="324"/>
      <c r="U223" s="324"/>
      <c r="V223" s="324"/>
      <c r="W223" s="324"/>
      <c r="X223" s="324"/>
      <c r="Y223" s="324"/>
      <c r="Z223" s="324"/>
      <c r="AA223" s="324"/>
      <c r="AB223" s="324"/>
      <c r="AC223" s="324"/>
      <c r="AD223" s="324"/>
      <c r="AE223" s="324"/>
      <c r="AF223" s="324"/>
      <c r="AG223" s="324"/>
      <c r="AH223" s="324"/>
      <c r="AI223" s="325">
        <f>IF($AO$2=1,COUNTIF(Interface!$C$22:$C$28,$A223),0)</f>
        <v>0</v>
      </c>
      <c r="AJ223" s="325">
        <f>IF($AO$2=2,COUNTIF(Interface!$C$30:$C$36,$A223),0)</f>
        <v>0</v>
      </c>
      <c r="AK223" s="325"/>
      <c r="AL223" s="325"/>
      <c r="AM223" s="375">
        <f>COUNTIF(Interface!$O$18:$O$23,$A223)</f>
        <v>0</v>
      </c>
      <c r="AN223" s="322" t="e">
        <f ca="1">_xludf.Image("https://ddragon.leagueoflegends.com/cdn/12.22.1/img/item/2139.png")</f>
        <v>#NAME?</v>
      </c>
      <c r="AO223" s="322" t="b">
        <f t="shared" si="88"/>
        <v>0</v>
      </c>
      <c r="AP223" s="329">
        <f t="shared" si="89"/>
        <v>2.1749999999999998</v>
      </c>
    </row>
    <row r="224" spans="1:42" ht="13.2">
      <c r="A224" s="316" t="s">
        <v>749</v>
      </c>
      <c r="B224" s="324">
        <f t="shared" si="87"/>
        <v>500</v>
      </c>
      <c r="C224" s="324"/>
      <c r="D224" s="324"/>
      <c r="E224" s="324"/>
      <c r="F224" s="324"/>
      <c r="G224" s="324">
        <f>30</f>
        <v>30</v>
      </c>
      <c r="H224" s="324"/>
      <c r="I224" s="324"/>
      <c r="J224" s="324"/>
      <c r="K224" s="324"/>
      <c r="L224" s="324"/>
      <c r="M224" s="324"/>
      <c r="N224" s="324">
        <f>12</f>
        <v>12</v>
      </c>
      <c r="O224" s="324"/>
      <c r="P224" s="324"/>
      <c r="Q224" s="324"/>
      <c r="R224" s="324"/>
      <c r="S224" s="324"/>
      <c r="T224" s="324"/>
      <c r="U224" s="324"/>
      <c r="V224" s="324"/>
      <c r="W224" s="324"/>
      <c r="X224" s="324"/>
      <c r="Y224" s="324"/>
      <c r="Z224" s="324"/>
      <c r="AA224" s="324"/>
      <c r="AB224" s="324">
        <f>12</f>
        <v>12</v>
      </c>
      <c r="AC224" s="324"/>
      <c r="AD224" s="324"/>
      <c r="AE224" s="324"/>
      <c r="AF224" s="324"/>
      <c r="AG224" s="324"/>
      <c r="AH224" s="324"/>
      <c r="AI224" s="325">
        <f>IF($AO$2=1,COUNTIF(Interface!$C$22:$C$28,$A224),0)</f>
        <v>0</v>
      </c>
      <c r="AJ224" s="325">
        <f>IF($AO$2=2,COUNTIF(Interface!$C$30:$C$36,$A224),0)</f>
        <v>0</v>
      </c>
      <c r="AK224" s="325"/>
      <c r="AL224" s="325"/>
      <c r="AM224" s="375">
        <f>COUNTIF(Interface!$O$18:$O$23,$A224)</f>
        <v>0</v>
      </c>
      <c r="AN224" s="322" t="e">
        <f ca="1">_xludf.Image("https://ddragon.leagueoflegends.com/cdn/12.22.1/img/item/2140.png")</f>
        <v>#NAME?</v>
      </c>
      <c r="AO224" s="322" t="b">
        <f t="shared" si="88"/>
        <v>0</v>
      </c>
      <c r="AP224" s="329">
        <f t="shared" si="89"/>
        <v>3</v>
      </c>
    </row>
    <row r="225" spans="1:42" ht="13.2">
      <c r="A225" s="316"/>
      <c r="B225" s="324"/>
      <c r="C225" s="324"/>
      <c r="D225" s="324"/>
      <c r="E225" s="324"/>
      <c r="F225" s="324"/>
      <c r="G225" s="324"/>
      <c r="H225" s="324"/>
      <c r="I225" s="324"/>
      <c r="J225" s="324"/>
      <c r="K225" s="324"/>
      <c r="L225" s="324"/>
      <c r="M225" s="324"/>
      <c r="N225" s="324"/>
      <c r="O225" s="324"/>
      <c r="P225" s="324"/>
      <c r="Q225" s="324"/>
      <c r="R225" s="324"/>
      <c r="S225" s="324"/>
      <c r="T225" s="324"/>
      <c r="U225" s="324"/>
      <c r="V225" s="324"/>
      <c r="W225" s="324"/>
      <c r="X225" s="324"/>
      <c r="Y225" s="324"/>
      <c r="Z225" s="324"/>
      <c r="AA225" s="324"/>
      <c r="AB225" s="324"/>
      <c r="AC225" s="324"/>
      <c r="AD225" s="324"/>
      <c r="AE225" s="324"/>
      <c r="AF225" s="324"/>
      <c r="AG225" s="324"/>
      <c r="AH225" s="324"/>
      <c r="AI225" s="325"/>
      <c r="AJ225" s="325"/>
      <c r="AK225" s="325"/>
      <c r="AL225" s="325"/>
      <c r="AM225" s="375"/>
      <c r="AN225" s="322"/>
      <c r="AO225" s="322"/>
      <c r="AP225" s="371"/>
    </row>
    <row r="226" spans="1:42" ht="13.2">
      <c r="A226" s="376" t="s">
        <v>750</v>
      </c>
      <c r="B226" s="377">
        <f t="array" ref="B226">IF(ItemSet=1,SUM(B2:B225*$AI2:$AI225),IF(ItemSet=2,SUM(B2:B225*$AJ2:$AJ225),IF(ItemSet=3,SUM(B2:B225*$AK2:$AK225),IF(ItemSet=4,SUM(B2:B225*$AL2:$AL225),0))))</f>
        <v>0</v>
      </c>
      <c r="C226" s="377">
        <f t="array" ref="C226">IF(ItemSet=1,SUM(C2:C225*$AI2:$AI225),IF(ItemSet=2,SUM(C2:C225*$AJ2:$AJ225),IF(ItemSet=3,SUM(C2:C225*$AK2:$AK225),IF(ItemSet=4,SUM(C2:C225*$AL2:$AL225),0))))</f>
        <v>0</v>
      </c>
      <c r="D226" s="377">
        <f t="array" ref="D226">IF(ItemSet=1,SUM(D2:D225*$AI2:$AI225),IF(ItemSet=2,SUM(D2:D225*$AJ2:$AJ225),IF(ItemSet=3,SUM(D2:D225*$AK2:$AK225),IF(ItemSet=4,SUM(D2:D225*$AL2:$AL225),0))))</f>
        <v>0</v>
      </c>
      <c r="E226" s="377">
        <f t="array" ref="E226">IF(ItemSet=1,SUM(E2:E225*$AI2:$AI225),IF(ItemSet=2,SUM(E2:E225*$AJ2:$AJ225),IF(ItemSet=3,SUM(E2:E225*$AK2:$AK225),IF(ItemSet=4,SUM(E2:E225*$AL2:$AL225),0))))</f>
        <v>0</v>
      </c>
      <c r="F226" s="377">
        <f t="array" ref="F226">IF(ItemSet=1,SUM(F2:F225*$AI2:$AI225),IF(ItemSet=2,SUM(F2:F225*$AJ2:$AJ225),IF(ItemSet=3,SUM(F2:F225*$AK2:$AK225),IF(ItemSet=4,SUM(F2:F225*$AL2:$AL225),0))))</f>
        <v>0</v>
      </c>
      <c r="G226" s="377">
        <f t="array" ref="G226">IF(ItemSet=1,SUM(G2:G225*$AI2:$AI225),IF(ItemSet=2,SUM(G2:G225*$AJ2:$AJ225),IF(ItemSet=3,SUM(G2:G225*$AK2:$AK225),IF(ItemSet=4,SUM(G2:G225*$AL2:$AL225),0))))</f>
        <v>0</v>
      </c>
      <c r="H226" s="377">
        <f t="array" ref="H226">IF(ItemSet=1,SUM(H2:H225*$AI2:$AI225),IF(ItemSet=2,SUM(H2:H225*$AJ2:$AJ225),IF(ItemSet=3,SUM(H2:H225*$AK2:$AK225),IF(ItemSet=4,SUM(H2:H225*$AL2:$AL225),0))))</f>
        <v>0</v>
      </c>
      <c r="I226" s="377">
        <f t="array" ref="I226">IF(ItemSet=1,SUM(I2:I225*$AI2:$AI225),IF(ItemSet=2,SUM(I2:I225*$AJ2:$AJ225),IF(ItemSet=3,SUM(I2:I225*$AK2:$AK225),IF(ItemSet=4,SUM(I2:I225*$AL2:$AL225),0))))</f>
        <v>0</v>
      </c>
      <c r="J226" s="377">
        <f t="array" ref="J226">IF(ItemSet=1,SUM(J2:J225*$AI2:$AI225),IF(ItemSet=2,SUM(J2:J225*$AJ2:$AJ225),IF(ItemSet=3,SUM(J2:J225*$AK2:$AK225),IF(ItemSet=4,SUM(J2:J225*$AL2:$AL225),0))))</f>
        <v>0</v>
      </c>
      <c r="K226" s="377">
        <f t="array" ref="K226">IF(ItemSet=1,SUM(K2:K225*$AI2:$AI225),IF(ItemSet=2,SUM(K2:K225*$AJ2:$AJ225),IF(ItemSet=3,SUM(K2:K225*$AK2:$AK225),IF(ItemSet=4,SUM(K2:K225*$AL2:$AL225),0)))) / 100</f>
        <v>0</v>
      </c>
      <c r="L226" s="377">
        <f t="array" ref="L226">IF(ItemSet=1,SUM(L2:L225*$AI2:$AI225),IF(ItemSet=2,SUM(L2:L225*$AJ2:$AJ225),IF(ItemSet=3,SUM(L2:L225*$AK2:$AK225),IF(ItemSet=4,SUM(L2:L225*$AL2:$AL225),0)))) / 100</f>
        <v>0</v>
      </c>
      <c r="M226" s="377">
        <f t="array" ref="M226">IF(ItemSet=1,SUM(M2:M225*$AI2:$AI225),IF(ItemSet=2,SUM(M2:M225*$AJ2:$AJ225),IF(ItemSet=3,SUM(M2:M225*$AK2:$AK225),IF(ItemSet=4,SUM(M2:M225*$AL2:$AL225),0)))) / 100</f>
        <v>0</v>
      </c>
      <c r="N226" s="377">
        <f>IF(ItemSet=1,SUMIF($AI2:$AI225,"&gt;0",N2:N225),IF(ItemSet=2,SUMIF($AJ2:$AJ225,"&gt;0",N2:N225),IF(ItemSet=3,SUMIF($AK2:$AK225,"&gt;0",N2:N225),IF(ItemSet=4,SUMIF($AL2:$AL225,"&gt;0",N2:N225),0)))) / 100</f>
        <v>0</v>
      </c>
      <c r="O226" s="377">
        <f>IF(ItemSet=1,SUMIF($AI2:$AI225,"&gt;0",O2:O225),IF(ItemSet=2,SUMIF($AJ2:$AJ225,"&gt;0",O2:O225),IF(ItemSet=3,SUMIF($AK2:$AK225,"&gt;0",O2:O225),IF(ItemSet=4,SUMIF($AL2:$AL225,"&gt;0",O2:O225),0))))</f>
        <v>0</v>
      </c>
      <c r="P226" s="377">
        <f>IF(ItemSet=1,SUMIF($AI2:$AI225,"&gt;0",P2:P225),IF(ItemSet=2,SUMIF($AJ2:$AJ225,"&gt;0",P2:P225),IF(ItemSet=3,SUMIF($AK2:$AK225,"&gt;0",P2:P225),IF(ItemSet=4,SUMIF($AL2:$AL225,"&gt;0",P2:P225),0))))</f>
        <v>0</v>
      </c>
      <c r="Q226" s="377">
        <f>IF(ItemSet=1,SUMIF($AI2:$AI225,"&gt;0",Q2:Q225),IF(ItemSet=2,SUMIF($AJ2:$AJ225,"&gt;0",Q2:Q225),IF(ItemSet=3,SUMIF($AK2:$AK225,"&gt;0",Q2:Q225),IF(ItemSet=4,SUMIF($AL2:$AL225,"&gt;0",Q2:Q225),0))))</f>
        <v>0</v>
      </c>
      <c r="R226" s="377">
        <f>IF(ItemSet=1,SUMIF($AI2:$AI225,"&gt;0",R2:R225),IF(ItemSet=2,SUMIF($AJ2:$AJ225,"&gt;0",R2:R225),IF(ItemSet=3,SUMIF($AK2:$AK225,"&gt;0",R2:R225),IF(ItemSet=4,SUMIF($AL2:$AL225,"&gt;0",R2:R225),0)))) / 100</f>
        <v>0</v>
      </c>
      <c r="S226" s="377">
        <f>IF(ItemSet=1,SUMIF($AI2:$AI225,"&gt;0",S2:S225),IF(ItemSet=2,SUMIF($AJ2:$AJ225,"&gt;0",S2:S225),IF(ItemSet=3,SUMIF($AK2:$AK225,"&gt;0",S2:S225),IF(ItemSet=4,SUMIF($AL2:$AL225,"&gt;0",S2:S225),0)))) / 100</f>
        <v>0</v>
      </c>
      <c r="T226" s="377">
        <f>IF(ItemSet=1,SUMIF($AI2:$AI225,"&gt;0",T2:T225),IF(ItemSet=2,SUMIF($AJ2:$AJ225,"&gt;0",T2:T225),IF(ItemSet=3,SUMIF($AK2:$AK225,"&gt;0",T2:T225),IF(ItemSet=4,SUMIF($AL2:$AL225,"&gt;0",T2:T225),0))))</f>
        <v>0</v>
      </c>
      <c r="U226" s="377">
        <f>IF(ItemSet=1,SUMIF($AI2:$AI225,"&gt;0",U2:U225),IF(ItemSet=2,SUMIF($AJ2:$AJ225,"&gt;0",U2:U225),IF(ItemSet=3,SUMIF($AK2:$AK225,"&gt;0",U2:U225),IF(ItemSet=4,SUMIF($AL2:$AL225,"&gt;0",U2:U225),0))))</f>
        <v>0</v>
      </c>
      <c r="V226" s="377">
        <f>IF(ItemSet=1,SUMIF($AI2:$AI225,"&gt;0",V2:V225),IF(ItemSet=2,SUMIF($AJ2:$AJ225,"&gt;0",V2:V225),IF(ItemSet=3,SUMIF($AK2:$AK225,"&gt;0",V2:V225),IF(ItemSet=4,SUMIF($AL2:$AL225,"&gt;0",V2:V225),0))))</f>
        <v>0</v>
      </c>
      <c r="W226" s="377">
        <f>IF(ItemSet=1,SUMIF($AI2:$AI225,"&gt;0",W2:W225),IF(ItemSet=2,SUMIF($AJ2:$AJ225,"&gt;0",W2:W225),IF(ItemSet=3,SUMIF($AK2:$AK225,"&gt;0",W2:W225),IF(ItemSet=4,SUMIF($AL2:$AL225,"&gt;0",W2:W225),0))))</f>
        <v>0</v>
      </c>
      <c r="X226" s="377" t="e">
        <f ca="1">IF(ItemSet=1,_xludf.MAXIFS(X2:X223,$AI2:$AI223,"&gt;0"),IF(ItemSet=2,_xludf.MAXIFS(X2:X223,$AJ2:$AJ223,"&gt;0"),0))</f>
        <v>#NAME?</v>
      </c>
      <c r="Y226" s="377" t="e">
        <f ca="1">IF(ItemSet=1,(100-_xludf.MAXIFS(Y2:Y159,$AI2:$AI159,"&gt;0"))*(100-_xludf.MAXIFS(Y161:Y223,$AI161:$AI223,"&gt;0")),IF(ItemSet=2,(100-_xludf.MAXIFS(Y2:Y159,$AJ2:$AJ159,"&gt;0"))*(100-_xludf.MAXIFS(Y161:Y223,$AJ161:$AJ223,"&gt;0")),10000)) / 10000</f>
        <v>#NAME?</v>
      </c>
      <c r="Z226" s="377" t="e">
        <f ca="1">IF(ItemSet=1,(100-_xludf.MAXIFS(Z2:Z159,$AI2:$AI159,"&gt;0"))*(100-_xludf.MAXIFS(Z161:Z224,$AI161:$AI224,"&gt;0")),IF(ItemSet=2,(100-_xludf.MAXIFS(Z2:Z159,$AJ2:$AJ159,"&gt;0"))*(100-_xludf.MAXIFS(Z161:Z224,$AJ161:$AJ224,"&gt;0")),10000)) / 10000</f>
        <v>#NAME?</v>
      </c>
      <c r="AA226" s="377" t="e">
        <f ca="1">IF(ItemSet=1,_xludf.MAXIFS(AA2:AA225,$AI2:$AI225,"&gt;0"),IF(ItemSet=2,_xludf.MAXIFS(AA2:AA225,$AJ2:$AJ225,"&gt;0"),0)) / 100</f>
        <v>#NAME?</v>
      </c>
      <c r="AB226" s="377">
        <f>IF(ItemSet=1,SUMIF($AI2:$AI225,"&gt;0",AB2:AB225),IF(ItemSet=2,SUMIF($AJ2:$AJ225,"&gt;0",AB2:AB225),0)) / 100</f>
        <v>0</v>
      </c>
      <c r="AC226" s="377">
        <f t="array" ref="AC226">1+IF(ItemSet=1,SUM(AC2:AC225*$AI2:$AI225),IF(ItemSet=2,SUM(AC2:AC225*$AJ2:$AJ225),IF(ItemSet=3,SUM(AC2:AC225*$AK2:$AK225),IF(ItemSet=4,SUM(AC2:AC225*$AL2:$AL225),1)))) / 100</f>
        <v>1</v>
      </c>
      <c r="AD226" s="377">
        <f t="array" ref="AD226">1+IF(ItemSet=1,SUM(AD2:AD225*$AI2:$AI225),IF(ItemSet=2,SUM(AD2:AD225*$AJ2:$AJ225),IF(ItemSet=3,SUM(AD2:AD225*$AK2:$AK225),IF(ItemSet=4,SUM(AD2:AD225*$AL2:$AL225),1)))) / 100</f>
        <v>1</v>
      </c>
      <c r="AE226" s="377">
        <f>IF(ItemSet=1,SUMIF($AI2:$AI225,"&gt;0",AE2:AE225),IF(ItemSet=2,SUMIF($AJ2:$AJ225,"&gt;0",AE2:AE225),IF(ItemSet=3,SUMIF($AK2:$AK225,"&gt;0",AE2:AE225),IF(ItemSet=4,SUMIF($AL2:$AL225,"&gt;0",AE2:AE225),0))))</f>
        <v>0</v>
      </c>
      <c r="AF226" s="377" t="e">
        <f ca="1">IF(ItemSet=1,(100-_xludf.MAXIFS(AF2:AF159,$AI2:$AI159,"&gt;0"))*(100-_xludf.MAXIFS(AF161:AF223,$AI161:$AI223,"&gt;0")),IF(ItemSet=2,(100-_xludf.MAXIFS(AF2:AF159,$AJ2:$AJ159,"&gt;0"))*(100-_xludf.MAXIFS(AF161:AF223,$AJ161:$AJ223,"&gt;0")),10000)) / 10000</f>
        <v>#NAME?</v>
      </c>
      <c r="AG226" s="377" t="e">
        <f ca="1">IF(ItemSet=1,_xludf.MAXIFS(AG2:AG225,$AI2:$AI225,"&gt;0"),IF(ItemSet=2,_xludf.MAXIFS(AG2:AG225,$AJ2:$AJ225,"&gt;0"),0))</f>
        <v>#NAME?</v>
      </c>
      <c r="AH226" s="377">
        <f>IF(ItemSet=1,SUMIF($AI2:$AI225,"&gt;0",AH2:AH225),IF(ItemSet=2,SUMIF($AJ2:$AJ225,"&gt;0",AH2:AH225),0))</f>
        <v>0</v>
      </c>
      <c r="AI226" s="378"/>
      <c r="AJ226" s="378"/>
      <c r="AK226" s="378"/>
      <c r="AL226" s="378"/>
      <c r="AM226" s="379"/>
      <c r="AN226" s="380"/>
      <c r="AO226" s="381">
        <f t="array" ref="AO226">SUM(AI2:AL225*AO2:AO225)</f>
        <v>0</v>
      </c>
      <c r="AP226" s="382"/>
    </row>
    <row r="227" spans="1:42" ht="13.2">
      <c r="A227" s="316" t="s">
        <v>751</v>
      </c>
      <c r="B227" s="324"/>
      <c r="C227" s="324">
        <f t="array" ref="C227">SUM(C2:C225*$AM2:$AM225) - (IF(OR(AM165,AM195),100,0))</f>
        <v>0</v>
      </c>
      <c r="D227" s="324"/>
      <c r="E227" s="324"/>
      <c r="F227" s="324"/>
      <c r="G227" s="324"/>
      <c r="H227" s="324"/>
      <c r="I227" s="324">
        <f t="array" ref="I227">SUM(I2:I225*$AM2:$AM225) - IF(OR(AM215,AM185),5,0) * Legendary</f>
        <v>0</v>
      </c>
      <c r="J227" s="324">
        <f t="array" ref="J227">SUM(J2:J225*$AM2:$AM225) - IF(OR(AM215,AM185),5,0) * Legendary</f>
        <v>0</v>
      </c>
      <c r="K227" s="324"/>
      <c r="L227" s="324"/>
      <c r="M227" s="324"/>
      <c r="N227" s="324"/>
      <c r="O227" s="324"/>
      <c r="P227" s="324"/>
      <c r="Q227" s="324"/>
      <c r="R227" s="324"/>
      <c r="S227" s="324"/>
      <c r="T227" s="324"/>
      <c r="U227" s="324"/>
      <c r="V227" s="324"/>
      <c r="W227" s="324"/>
      <c r="X227" s="324"/>
      <c r="Y227" s="324"/>
      <c r="Z227" s="324"/>
      <c r="AA227" s="324"/>
      <c r="AB227" s="324"/>
      <c r="AC227" s="324"/>
      <c r="AD227" s="324"/>
      <c r="AE227" s="324"/>
      <c r="AF227" s="324"/>
      <c r="AG227" s="324"/>
      <c r="AH227" s="324"/>
      <c r="AI227" s="325"/>
      <c r="AJ227" s="325"/>
      <c r="AK227" s="325"/>
      <c r="AL227" s="325"/>
      <c r="AM227" s="375"/>
      <c r="AN227" s="322"/>
      <c r="AO227" s="322"/>
      <c r="AP227" s="371"/>
    </row>
  </sheetData>
  <conditionalFormatting sqref="A1:AP227">
    <cfRule type="cellIs" dxfId="0" priority="2" operator="equal">
      <formula>0</formula>
    </cfRule>
  </conditionalFormatting>
  <conditionalFormatting sqref="AP1:AP227">
    <cfRule type="colorScale" priority="1">
      <colorScale>
        <cfvo type="min"/>
        <cfvo type="percentile" val="50"/>
        <cfvo type="max"/>
        <color rgb="FFE06666"/>
        <color rgb="FFFFD966"/>
        <color rgb="FF93C47D"/>
      </colorScale>
    </cfRule>
  </conditionalFormatting>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18</vt:i4>
      </vt:variant>
      <vt:variant>
        <vt:lpstr>Plages nommées</vt:lpstr>
      </vt:variant>
      <vt:variant>
        <vt:i4>157</vt:i4>
      </vt:variant>
    </vt:vector>
  </HeadingPairs>
  <TitlesOfParts>
    <vt:vector size="175" baseType="lpstr">
      <vt:lpstr>Instruction</vt:lpstr>
      <vt:lpstr>Interface</vt:lpstr>
      <vt:lpstr>Very basic Fight Sim</vt:lpstr>
      <vt:lpstr>Update</vt:lpstr>
      <vt:lpstr>Best2Items</vt:lpstr>
      <vt:lpstr>Calc</vt:lpstr>
      <vt:lpstr>Champs</vt:lpstr>
      <vt:lpstr>ChampInfo</vt:lpstr>
      <vt:lpstr>Items</vt:lpstr>
      <vt:lpstr>Runes</vt:lpstr>
      <vt:lpstr>Log</vt:lpstr>
      <vt:lpstr>Gold</vt:lpstr>
      <vt:lpstr>DatapullerCalc</vt:lpstr>
      <vt:lpstr>DatapullerChamp</vt:lpstr>
      <vt:lpstr>DatapullerLog</vt:lpstr>
      <vt:lpstr>DatapullerRune</vt:lpstr>
      <vt:lpstr>DatapullerChampInfo</vt:lpstr>
      <vt:lpstr>DatapullerItem</vt:lpstr>
      <vt:lpstr>B_Ardent</vt:lpstr>
      <vt:lpstr>B_Chem</vt:lpstr>
      <vt:lpstr>B_Cloud</vt:lpstr>
      <vt:lpstr>B_Elder</vt:lpstr>
      <vt:lpstr>B_Hex</vt:lpstr>
      <vt:lpstr>B_Infernal</vt:lpstr>
      <vt:lpstr>B_Mountain</vt:lpstr>
      <vt:lpstr>B_Ocean</vt:lpstr>
      <vt:lpstr>B_RecentHit</vt:lpstr>
      <vt:lpstr>C_Aphelios_Stacks</vt:lpstr>
      <vt:lpstr>C_Aphelios_W1</vt:lpstr>
      <vt:lpstr>C_Aphelios_W2</vt:lpstr>
      <vt:lpstr>C_SylasUltimate</vt:lpstr>
      <vt:lpstr>E_AR</vt:lpstr>
      <vt:lpstr>E_BoAR</vt:lpstr>
      <vt:lpstr>E_BoHp</vt:lpstr>
      <vt:lpstr>E_BoMR</vt:lpstr>
      <vt:lpstr>E_CHP</vt:lpstr>
      <vt:lpstr>E_CHPV</vt:lpstr>
      <vt:lpstr>E_IT_AR</vt:lpstr>
      <vt:lpstr>E_IT_HP</vt:lpstr>
      <vt:lpstr>E_IT_MR</vt:lpstr>
      <vt:lpstr>E_Level</vt:lpstr>
      <vt:lpstr>E_MHP</vt:lpstr>
      <vt:lpstr>E_MisHPV</vt:lpstr>
      <vt:lpstr>E_MR</vt:lpstr>
      <vt:lpstr>E_Name</vt:lpstr>
      <vt:lpstr>ForceBit</vt:lpstr>
      <vt:lpstr>Gametime</vt:lpstr>
      <vt:lpstr>IT_AD</vt:lpstr>
      <vt:lpstr>IT_AH</vt:lpstr>
      <vt:lpstr>IT_AP</vt:lpstr>
      <vt:lpstr>IT_APEN</vt:lpstr>
      <vt:lpstr>IT_AR</vt:lpstr>
      <vt:lpstr>IT_AS</vt:lpstr>
      <vt:lpstr>IT_CDMG</vt:lpstr>
      <vt:lpstr>IT_Cost</vt:lpstr>
      <vt:lpstr>IT_Cost2</vt:lpstr>
      <vt:lpstr>IT_Crit</vt:lpstr>
      <vt:lpstr>IT_FlatMS</vt:lpstr>
      <vt:lpstr>IT_HP</vt:lpstr>
      <vt:lpstr>IT_HPR</vt:lpstr>
      <vt:lpstr>IT_Leth</vt:lpstr>
      <vt:lpstr>IT_LS</vt:lpstr>
      <vt:lpstr>IT_MOD_Heal</vt:lpstr>
      <vt:lpstr>IT_MOD_Magic</vt:lpstr>
      <vt:lpstr>IT_MOD_Phys</vt:lpstr>
      <vt:lpstr>IT_MP</vt:lpstr>
      <vt:lpstr>IT_Mpen</vt:lpstr>
      <vt:lpstr>IT_MPenP</vt:lpstr>
      <vt:lpstr>IT_MPR</vt:lpstr>
      <vt:lpstr>IT_MR</vt:lpstr>
      <vt:lpstr>IT_MS</vt:lpstr>
      <vt:lpstr>IT_OH_Magic</vt:lpstr>
      <vt:lpstr>IT_OH_Phys</vt:lpstr>
      <vt:lpstr>IT_Proc_Energy</vt:lpstr>
      <vt:lpstr>IT_Proc_Magic</vt:lpstr>
      <vt:lpstr>IT_Proc_Phys</vt:lpstr>
      <vt:lpstr>IT_Shield</vt:lpstr>
      <vt:lpstr>IT_Shoe</vt:lpstr>
      <vt:lpstr>IT_SV</vt:lpstr>
      <vt:lpstr>IT_TC</vt:lpstr>
      <vt:lpstr>ItemSet</vt:lpstr>
      <vt:lpstr>Kills</vt:lpstr>
      <vt:lpstr>Language</vt:lpstr>
      <vt:lpstr>Legendary</vt:lpstr>
      <vt:lpstr>Minion</vt:lpstr>
      <vt:lpstr>MOD_Heal</vt:lpstr>
      <vt:lpstr>MOD_Hit</vt:lpstr>
      <vt:lpstr>MOD_Magic</vt:lpstr>
      <vt:lpstr>MOD_OH</vt:lpstr>
      <vt:lpstr>MOD_Phys</vt:lpstr>
      <vt:lpstr>MOD_SelfHeal</vt:lpstr>
      <vt:lpstr>MOD_True</vt:lpstr>
      <vt:lpstr>N_Chem</vt:lpstr>
      <vt:lpstr>N_Cloud</vt:lpstr>
      <vt:lpstr>N_Hex</vt:lpstr>
      <vt:lpstr>N_Infernal</vt:lpstr>
      <vt:lpstr>N_Mountain</vt:lpstr>
      <vt:lpstr>N_Ocean</vt:lpstr>
      <vt:lpstr>Name</vt:lpstr>
      <vt:lpstr>OH_Magic</vt:lpstr>
      <vt:lpstr>OH_Phys</vt:lpstr>
      <vt:lpstr>OH_True</vt:lpstr>
      <vt:lpstr>P_E</vt:lpstr>
      <vt:lpstr>P_Q</vt:lpstr>
      <vt:lpstr>P_R</vt:lpstr>
      <vt:lpstr>P_W</vt:lpstr>
      <vt:lpstr>R_Adap</vt:lpstr>
      <vt:lpstr>R_AH</vt:lpstr>
      <vt:lpstr>R_AR</vt:lpstr>
      <vt:lpstr>R_AS</vt:lpstr>
      <vt:lpstr>R_HP</vt:lpstr>
      <vt:lpstr>R_MOD</vt:lpstr>
      <vt:lpstr>R_MP</vt:lpstr>
      <vt:lpstr>R_MR</vt:lpstr>
      <vt:lpstr>R_MS</vt:lpstr>
      <vt:lpstr>R_PTAMOD</vt:lpstr>
      <vt:lpstr>R_Ultimate</vt:lpstr>
      <vt:lpstr>S_BC</vt:lpstr>
      <vt:lpstr>S_Bounty</vt:lpstr>
      <vt:lpstr>S_Conq</vt:lpstr>
      <vt:lpstr>S_Harvest</vt:lpstr>
      <vt:lpstr>S_Legend</vt:lpstr>
      <vt:lpstr>S_Mejai</vt:lpstr>
      <vt:lpstr>Sc_Lin</vt:lpstr>
      <vt:lpstr>Self_AD</vt:lpstr>
      <vt:lpstr>Self_AH</vt:lpstr>
      <vt:lpstr>Self_AP</vt:lpstr>
      <vt:lpstr>Self_APenF</vt:lpstr>
      <vt:lpstr>Self_AR</vt:lpstr>
      <vt:lpstr>Self_AS</vt:lpstr>
      <vt:lpstr>Self_AvgAA</vt:lpstr>
      <vt:lpstr>Self_BaAD</vt:lpstr>
      <vt:lpstr>Self_BaMS</vt:lpstr>
      <vt:lpstr>Self_BoAD</vt:lpstr>
      <vt:lpstr>Self_BoAR</vt:lpstr>
      <vt:lpstr>Self_BoAS</vt:lpstr>
      <vt:lpstr>Self_BoHP</vt:lpstr>
      <vt:lpstr>Self_BoMP</vt:lpstr>
      <vt:lpstr>Self_BoMR</vt:lpstr>
      <vt:lpstr>Self_BoMS</vt:lpstr>
      <vt:lpstr>Self_BoMSP</vt:lpstr>
      <vt:lpstr>Self_CHPP</vt:lpstr>
      <vt:lpstr>Self_Crit</vt:lpstr>
      <vt:lpstr>Self_CritDMG</vt:lpstr>
      <vt:lpstr>Self_CritHit</vt:lpstr>
      <vt:lpstr>Self_DPS</vt:lpstr>
      <vt:lpstr>Self_Gold</vt:lpstr>
      <vt:lpstr>Self_HitDmg</vt:lpstr>
      <vt:lpstr>Self_HPR</vt:lpstr>
      <vt:lpstr>Self_Leth</vt:lpstr>
      <vt:lpstr>Self_Level</vt:lpstr>
      <vt:lpstr>Self_LS</vt:lpstr>
      <vt:lpstr>Self_MaxCS</vt:lpstr>
      <vt:lpstr>Self_MaxGold</vt:lpstr>
      <vt:lpstr>Self_MHP</vt:lpstr>
      <vt:lpstr>Self_MisHPV</vt:lpstr>
      <vt:lpstr>Self_MP</vt:lpstr>
      <vt:lpstr>Self_MpenF</vt:lpstr>
      <vt:lpstr>Self_MPR</vt:lpstr>
      <vt:lpstr>Self_MR</vt:lpstr>
      <vt:lpstr>Self_MS</vt:lpstr>
      <vt:lpstr>Self_Proc_item</vt:lpstr>
      <vt:lpstr>Self_Proc_Rune</vt:lpstr>
      <vt:lpstr>Self_Proc_Summ</vt:lpstr>
      <vt:lpstr>Self_Shield</vt:lpstr>
      <vt:lpstr>Self_SV</vt:lpstr>
      <vt:lpstr>Self_TC</vt:lpstr>
      <vt:lpstr>Steroid_E</vt:lpstr>
      <vt:lpstr>Steroid_Form</vt:lpstr>
      <vt:lpstr>Steroid_Items</vt:lpstr>
      <vt:lpstr>Steroid_P</vt:lpstr>
      <vt:lpstr>Steroid_Q</vt:lpstr>
      <vt:lpstr>Steroid_R</vt:lpstr>
      <vt:lpstr>Steroid_Runes</vt:lpstr>
      <vt:lpstr>Steroid_W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Sequier, Hugo</dc:creator>
  <cp:lastModifiedBy>Sequier, Hugo</cp:lastModifiedBy>
  <dcterms:created xsi:type="dcterms:W3CDTF">2023-06-19T14:59:29Z</dcterms:created>
  <dcterms:modified xsi:type="dcterms:W3CDTF">2023-06-19T15:32:15Z</dcterms:modified>
</cp:coreProperties>
</file>