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s Sf Origen webDetailers Hs" sheetId="1" r:id="rId4"/>
    <sheet state="visible" name="Miembros de campaña PRVE" sheetId="2" r:id="rId5"/>
    <sheet state="visible" name="Estado de leads de campaña PRVE" sheetId="3" r:id="rId6"/>
    <sheet state="visible" name="SIC - FLOW! - Solicitudes BOFU " sheetId="4" r:id="rId7"/>
    <sheet state="visible" name="JoinMQL" sheetId="5" r:id="rId8"/>
    <sheet state="visible" name="Results" sheetId="6" r:id="rId9"/>
    <sheet state="visible" name="CTC Reporte ofertas año en curs" sheetId="7" r:id="rId10"/>
  </sheets>
  <definedNames/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<sst xmlns="http://schemas.openxmlformats.org/spreadsheetml/2006/main" count="5520" uniqueCount="2077">
  <si>
    <t>Correo electrónico pseudo</t>
  </si>
  <si>
    <t>Fecha de creación</t>
  </si>
  <si>
    <t>Estado</t>
  </si>
  <si>
    <t>946@gmail.com</t>
  </si>
  <si>
    <t>Convertido</t>
  </si>
  <si>
    <t>935@gmail.com</t>
  </si>
  <si>
    <t>Descartado</t>
  </si>
  <si>
    <t>933@orsei.es</t>
  </si>
  <si>
    <t>925@eco-voltaica.com</t>
  </si>
  <si>
    <t>904@inboundcycle.com</t>
  </si>
  <si>
    <t>886@gmail.com</t>
  </si>
  <si>
    <t>884@enersos.es</t>
  </si>
  <si>
    <t>878@masteringenieria.com</t>
  </si>
  <si>
    <t>868@gmail.com</t>
  </si>
  <si>
    <t>862@fpcm.es</t>
  </si>
  <si>
    <t>SQL</t>
  </si>
  <si>
    <t>823@gmail.com</t>
  </si>
  <si>
    <t>800@taubertek.com</t>
  </si>
  <si>
    <t>781@gmail.com</t>
  </si>
  <si>
    <t>773@perequart.com</t>
  </si>
  <si>
    <t>768@gmail.com</t>
  </si>
  <si>
    <t>Nuevo</t>
  </si>
  <si>
    <t>749@gmail.com</t>
  </si>
  <si>
    <t>735@serveiskronier55.com</t>
  </si>
  <si>
    <t>731@bonoboenergy.com</t>
  </si>
  <si>
    <t>713@gmail.com</t>
  </si>
  <si>
    <t>699@unisystems.es</t>
  </si>
  <si>
    <t>684@gmail.com</t>
  </si>
  <si>
    <t>668@dipucordoba.es</t>
  </si>
  <si>
    <t>667@ces2010.es</t>
  </si>
  <si>
    <t>654@staperpetua.cat</t>
  </si>
  <si>
    <t>642@ecoviv.eu</t>
  </si>
  <si>
    <t>635@coneq.es</t>
  </si>
  <si>
    <t>634@easycharger.es</t>
  </si>
  <si>
    <t>625@hotmail.com</t>
  </si>
  <si>
    <t>609@ritelecenergia.es</t>
  </si>
  <si>
    <t>608@sgingenieros.es</t>
  </si>
  <si>
    <t>595@centroasturianobarcelona.com</t>
  </si>
  <si>
    <t>583@iesmontsia.org</t>
  </si>
  <si>
    <t>567@sonovatec.com</t>
  </si>
  <si>
    <t>565@gmail.com</t>
  </si>
  <si>
    <t>526@gmail.com</t>
  </si>
  <si>
    <t>521@gmail.com</t>
  </si>
  <si>
    <t>51@yahoo.es</t>
  </si>
  <si>
    <t>470@gmail.com</t>
  </si>
  <si>
    <t>4691@promocionescinca.es</t>
  </si>
  <si>
    <t>4690@santarita-associados.pt</t>
  </si>
  <si>
    <t>Contactado</t>
  </si>
  <si>
    <t>4689@ass.pt</t>
  </si>
  <si>
    <t>4688@grupocastro.com</t>
  </si>
  <si>
    <t>4687@gmail.com</t>
  </si>
  <si>
    <t>4686@v-consulting.es</t>
  </si>
  <si>
    <t>4685@hotmail.com</t>
  </si>
  <si>
    <t>En seguimiento</t>
  </si>
  <si>
    <t>4684@muradgarcia.com</t>
  </si>
  <si>
    <t>4683@ark.pt</t>
  </si>
  <si>
    <t>4682@alfredsmart.com</t>
  </si>
  <si>
    <t>4681@hotmail.es</t>
  </si>
  <si>
    <t>4680@gmail.com</t>
  </si>
  <si>
    <t>468@yahoo.es</t>
  </si>
  <si>
    <t>4679@brico.es</t>
  </si>
  <si>
    <t>4678@gmail.com</t>
  </si>
  <si>
    <t>4677@mundoduchas.es</t>
  </si>
  <si>
    <t>4676@kevingston.com</t>
  </si>
  <si>
    <t>4675@hetlandinvest.com</t>
  </si>
  <si>
    <t>4674@mediter-obras.com</t>
  </si>
  <si>
    <t>4673@gmail.com</t>
  </si>
  <si>
    <t>4672@me.com</t>
  </si>
  <si>
    <t>4671@prim.es</t>
  </si>
  <si>
    <t>4670@loftcero.com</t>
  </si>
  <si>
    <t>4669@telefonica.net</t>
  </si>
  <si>
    <t>4668@gmail.com</t>
  </si>
  <si>
    <t>4667@odum.es</t>
  </si>
  <si>
    <t>4666@diadeobras.com</t>
  </si>
  <si>
    <t>4665@gruponovolux.com</t>
  </si>
  <si>
    <t>4664@inspepe.es</t>
  </si>
  <si>
    <t>4663@hotmail.com</t>
  </si>
  <si>
    <t>4662@gmail.com</t>
  </si>
  <si>
    <t>4661@gmail.com</t>
  </si>
  <si>
    <t>4660@mavelectricitat.com</t>
  </si>
  <si>
    <t>4659@bluehause.es</t>
  </si>
  <si>
    <t>4658@hotmail.com</t>
  </si>
  <si>
    <t>4657@gmail.com</t>
  </si>
  <si>
    <t>4656@gmail.com</t>
  </si>
  <si>
    <t>4655@ponte-arosa.com</t>
  </si>
  <si>
    <t>4654@hotmail.com</t>
  </si>
  <si>
    <t>4653@reforma.me</t>
  </si>
  <si>
    <t>4652@ires.es</t>
  </si>
  <si>
    <t>4651@gmail.com</t>
  </si>
  <si>
    <t>4650@gmail.com</t>
  </si>
  <si>
    <t>4649@mbylabsolutions.com</t>
  </si>
  <si>
    <t>4648@gmail.com</t>
  </si>
  <si>
    <t>4647@gmail.com</t>
  </si>
  <si>
    <t>4646@gmail.com</t>
  </si>
  <si>
    <t>4645@fan2tec.com</t>
  </si>
  <si>
    <t>4644@ibn.com.es</t>
  </si>
  <si>
    <t>4643@electrofernandez.es</t>
  </si>
  <si>
    <t>4642@gmail.com</t>
  </si>
  <si>
    <t>4641@ecofret.es</t>
  </si>
  <si>
    <t>4640@fincaslaplana.com</t>
  </si>
  <si>
    <t>4639@indecoglobal.es</t>
  </si>
  <si>
    <t>4638@gmail.com</t>
  </si>
  <si>
    <t>4637@infemar.com</t>
  </si>
  <si>
    <t>4636@leadside.es</t>
  </si>
  <si>
    <t>4635@coiico.es</t>
  </si>
  <si>
    <t>4634@coititf.es</t>
  </si>
  <si>
    <t>4633@apalmeria.com</t>
  </si>
  <si>
    <t>4632@belgon.es</t>
  </si>
  <si>
    <t>4631@hotel-florida.es</t>
  </si>
  <si>
    <t>4630@lesrivages.es</t>
  </si>
  <si>
    <t>4629@gmail.com</t>
  </si>
  <si>
    <t>4628@gmail.com</t>
  </si>
  <si>
    <t>4627@holidayshomegroup.com</t>
  </si>
  <si>
    <t>4626@grupolaquinta.com</t>
  </si>
  <si>
    <t>4625@live.com</t>
  </si>
  <si>
    <t>4624@gamil.com</t>
  </si>
  <si>
    <t>4623@grupocobra.com</t>
  </si>
  <si>
    <t>4622@amelto.com</t>
  </si>
  <si>
    <t>4621@hotmail.com</t>
  </si>
  <si>
    <t>4620@amialbacete.es</t>
  </si>
  <si>
    <t>4619@thader.net</t>
  </si>
  <si>
    <t>4618@grupolirola.com</t>
  </si>
  <si>
    <t>4617@acciona.com</t>
  </si>
  <si>
    <t>4616@idimiberia.com</t>
  </si>
  <si>
    <t>4615@vialterra.com</t>
  </si>
  <si>
    <t>4614@hotmail.es</t>
  </si>
  <si>
    <t>4613@arquitectosdecadiz.com</t>
  </si>
  <si>
    <t>4612@gmail.com</t>
  </si>
  <si>
    <t>4611@contratasgutierrez.es</t>
  </si>
  <si>
    <t>4610@gmail.com</t>
  </si>
  <si>
    <t>4609@2marquitectura.es</t>
  </si>
  <si>
    <t>4608@neutra.studio</t>
  </si>
  <si>
    <t>4607@hotmail.com</t>
  </si>
  <si>
    <t>4606@gmail.com</t>
  </si>
  <si>
    <t>4605@gmail.com</t>
  </si>
  <si>
    <t>4604@grupoabu.es</t>
  </si>
  <si>
    <t>4603@hotmail.com</t>
  </si>
  <si>
    <t>4602@gmail.com</t>
  </si>
  <si>
    <t>4601@mlopezarquitectura.com</t>
  </si>
  <si>
    <t>4600@arquitop.net</t>
  </si>
  <si>
    <t>4599@hotmail.com</t>
  </si>
  <si>
    <t>4598@gmail.com</t>
  </si>
  <si>
    <t>4597@yahoo.es</t>
  </si>
  <si>
    <t>4596@gmail.com</t>
  </si>
  <si>
    <t>4595@hotmail.com</t>
  </si>
  <si>
    <t>4594@himelec.es</t>
  </si>
  <si>
    <t>4593@gmail.com</t>
  </si>
  <si>
    <t>4592@betelcomunicaciones.com</t>
  </si>
  <si>
    <t>4591@gmail.com</t>
  </si>
  <si>
    <t>4590@hotmail.com</t>
  </si>
  <si>
    <t>4589@gmail.com</t>
  </si>
  <si>
    <t>4588@tecmagenil.es</t>
  </si>
  <si>
    <t>4587@gmail.com</t>
  </si>
  <si>
    <t>4586@gamil.com</t>
  </si>
  <si>
    <t>4585@gmail.com</t>
  </si>
  <si>
    <t>4584@gmail.com</t>
  </si>
  <si>
    <t>4583@gmail.com</t>
  </si>
  <si>
    <t>4582@gmail.com</t>
  </si>
  <si>
    <t>4581@rediarq.com</t>
  </si>
  <si>
    <t>4580@generaservicios.com</t>
  </si>
  <si>
    <t>4579@ingecan.net</t>
  </si>
  <si>
    <t>4578@integrareforma.es</t>
  </si>
  <si>
    <t>4577@a4plus.es</t>
  </si>
  <si>
    <t>4576@incocan.com</t>
  </si>
  <si>
    <t>4575@gmail.com</t>
  </si>
  <si>
    <t>4574@gmail.com</t>
  </si>
  <si>
    <t>4573@gmail.com</t>
  </si>
  <si>
    <t>4572@gmail.com</t>
  </si>
  <si>
    <t>4571@gmail.com</t>
  </si>
  <si>
    <t>4570@atlasluxuryliving.com</t>
  </si>
  <si>
    <t>4569@gmail.com</t>
  </si>
  <si>
    <t>4568@insece.es</t>
  </si>
  <si>
    <t>4567@sigmattecnologiavinicola.com</t>
  </si>
  <si>
    <t>4566@franciscocabeza.com</t>
  </si>
  <si>
    <t>4565@gmail.com</t>
  </si>
  <si>
    <t>4564@hotmail.com</t>
  </si>
  <si>
    <t>4563@hotmail.com</t>
  </si>
  <si>
    <t>4562@hotmail.com</t>
  </si>
  <si>
    <t>4561@hotmail.com</t>
  </si>
  <si>
    <t>4560@gmail.com</t>
  </si>
  <si>
    <t>4559@gmail.com</t>
  </si>
  <si>
    <t>4558@hotmail.com</t>
  </si>
  <si>
    <t>4557@elctsur.com</t>
  </si>
  <si>
    <t>4556@hotmail.com</t>
  </si>
  <si>
    <t>4555@yahoo.es</t>
  </si>
  <si>
    <t>4554@hotmail.com</t>
  </si>
  <si>
    <t>4553@hotmail.com</t>
  </si>
  <si>
    <t>4552@avanzasi.es</t>
  </si>
  <si>
    <t>4551@ntac.es</t>
  </si>
  <si>
    <t>4550@gmail.com</t>
  </si>
  <si>
    <t>4549@energy-plus.es</t>
  </si>
  <si>
    <t>4548@livensaliving.com</t>
  </si>
  <si>
    <t>4547@hotmail.es</t>
  </si>
  <si>
    <t>4546@ya.com</t>
  </si>
  <si>
    <t>4545@hotmail.com</t>
  </si>
  <si>
    <t>4544@visaljo.es</t>
  </si>
  <si>
    <t>4543@hotmail.es</t>
  </si>
  <si>
    <t>4542@innovo.es</t>
  </si>
  <si>
    <t>4541@xpresacorp.com</t>
  </si>
  <si>
    <t>4540@partbypart.eu</t>
  </si>
  <si>
    <t>4539@bisesolutions.com</t>
  </si>
  <si>
    <t>4538@viarquitecte.cat</t>
  </si>
  <si>
    <t>4537@rafajimenezarquitectura.com</t>
  </si>
  <si>
    <t>4536@coac.cat</t>
  </si>
  <si>
    <t>4535@telefonica.net</t>
  </si>
  <si>
    <t>4534@rodonarquitectes.com</t>
  </si>
  <si>
    <t>4533@ribas-arquitectos.com</t>
  </si>
  <si>
    <t>4532@on-a.es</t>
  </si>
  <si>
    <t>4531@coac.net</t>
  </si>
  <si>
    <t>4530@coac.cat</t>
  </si>
  <si>
    <t>4529@vivasarquitectos.com</t>
  </si>
  <si>
    <t>4528@fabregatfabregat.com</t>
  </si>
  <si>
    <t>4527@coac.net</t>
  </si>
  <si>
    <t>4526@coac.net</t>
  </si>
  <si>
    <t>4525@jordibellmunt.com</t>
  </si>
  <si>
    <t>4524@gmail.com</t>
  </si>
  <si>
    <t>4523@coac.es</t>
  </si>
  <si>
    <t>4522@gmail.com</t>
  </si>
  <si>
    <t>4521@opalus.es</t>
  </si>
  <si>
    <t>4520@agparquitectes.com</t>
  </si>
  <si>
    <t>4519@puentechina.com</t>
  </si>
  <si>
    <t>4518@estudiofabric.com</t>
  </si>
  <si>
    <t>4517@gruparteco.com</t>
  </si>
  <si>
    <t>4516@contractsolutions.cat</t>
  </si>
  <si>
    <t>4515@laboqueria.net</t>
  </si>
  <si>
    <t>4514@feelathomeapartments.com</t>
  </si>
  <si>
    <t>4513@interiorism-oh.com</t>
  </si>
  <si>
    <t>4512@schwalgien.com</t>
  </si>
  <si>
    <t>4511@gmail.com</t>
  </si>
  <si>
    <t>4510@x-ai.es</t>
  </si>
  <si>
    <t>4509@gl-ingenieros.es</t>
  </si>
  <si>
    <t>4508@aparellador.cat</t>
  </si>
  <si>
    <t>4507@inatica.com</t>
  </si>
  <si>
    <t>4506@altusa.net</t>
  </si>
  <si>
    <t>4505@xn--instalacionspatio-uxb.com</t>
  </si>
  <si>
    <t>4504@jarimany.com</t>
  </si>
  <si>
    <t>4503@silleriaverges.com</t>
  </si>
  <si>
    <t>4502@msn.com</t>
  </si>
  <si>
    <t>4501@imarsi.com</t>
  </si>
  <si>
    <t>4500@hotmail.com</t>
  </si>
  <si>
    <t>450@gmail.com</t>
  </si>
  <si>
    <t>45@acotech.es</t>
  </si>
  <si>
    <t>4499@obycall.com</t>
  </si>
  <si>
    <t>4498@yahoo.es</t>
  </si>
  <si>
    <t>4497@roglans.cat</t>
  </si>
  <si>
    <t>4496@terra.com</t>
  </si>
  <si>
    <t>4495@grupopardo.com</t>
  </si>
  <si>
    <t>4494@gmail.com</t>
  </si>
  <si>
    <t>4493@coleccionalexandra.com</t>
  </si>
  <si>
    <t>4492@gmail.com</t>
  </si>
  <si>
    <t>4491@tmtarquitectos.com</t>
  </si>
  <si>
    <t>4490@vitorsan.es</t>
  </si>
  <si>
    <t>4489@gruphac.com</t>
  </si>
  <si>
    <t>4488@scenicweb.es</t>
  </si>
  <si>
    <t>4487@grupolobe.com</t>
  </si>
  <si>
    <t>4486@gruposafadi.es</t>
  </si>
  <si>
    <t>4485@yahoo.es</t>
  </si>
  <si>
    <t>4484@angulovidal.es</t>
  </si>
  <si>
    <t>4483@globalpropiedad.com</t>
  </si>
  <si>
    <t>4482@solerhabitat.es</t>
  </si>
  <si>
    <t>4481@pnardis.es</t>
  </si>
  <si>
    <t>4480@franclausell.com</t>
  </si>
  <si>
    <t>448@gmail.com</t>
  </si>
  <si>
    <t>4479@albaluz.es</t>
  </si>
  <si>
    <t>4478@urbania-developer.com</t>
  </si>
  <si>
    <t>4477@gmail.com</t>
  </si>
  <si>
    <t>4476@studio-psd.com</t>
  </si>
  <si>
    <t>4475@gapinteriorismo.com</t>
  </si>
  <si>
    <t>4474@elecnor.com</t>
  </si>
  <si>
    <t>4473@areadesarrollo.com</t>
  </si>
  <si>
    <t>4472@vilor.net</t>
  </si>
  <si>
    <t>4471@trasejar.com</t>
  </si>
  <si>
    <t>4470@gmediterranea.com</t>
  </si>
  <si>
    <t>4469@alcalans.net</t>
  </si>
  <si>
    <t>4468@sweethoteles.com</t>
  </si>
  <si>
    <t>4467@vgarquitectos.es</t>
  </si>
  <si>
    <t>4466@benisur.com</t>
  </si>
  <si>
    <t>4465@femllumobras.com</t>
  </si>
  <si>
    <t>4464@jsjarquitectos.com</t>
  </si>
  <si>
    <t>4463@grafenoarquitectura.es</t>
  </si>
  <si>
    <t>4462@morantarq.es</t>
  </si>
  <si>
    <t>4461@prygesa.es</t>
  </si>
  <si>
    <t>4460@detalleconstructivo.com</t>
  </si>
  <si>
    <t>4459@gmail.com</t>
  </si>
  <si>
    <t>4458@habitat.es</t>
  </si>
  <si>
    <t>4457@gimecons.com</t>
  </si>
  <si>
    <t>4456@promocionesjabm.com</t>
  </si>
  <si>
    <t>4455@wre.es</t>
  </si>
  <si>
    <t>4454@construbecker.es</t>
  </si>
  <si>
    <t>4453@arquima.net</t>
  </si>
  <si>
    <t>4452@avanzaurbana.com</t>
  </si>
  <si>
    <t>4451@volia.es</t>
  </si>
  <si>
    <t>4450@bennuinteriorismo.com</t>
  </si>
  <si>
    <t>4449@estudioacotados.es</t>
  </si>
  <si>
    <t>4448@grupotesela.com</t>
  </si>
  <si>
    <t>4447@hotmail.com</t>
  </si>
  <si>
    <t>4446@maqla.com</t>
  </si>
  <si>
    <t>4445@cristinamoya.com</t>
  </si>
  <si>
    <t>4444@gmail.com</t>
  </si>
  <si>
    <t>4443@dicamgroup.com</t>
  </si>
  <si>
    <t>4442@vergarainteriores.com</t>
  </si>
  <si>
    <t>4441@olmos-estudio.com</t>
  </si>
  <si>
    <t>4440@binera.es</t>
  </si>
  <si>
    <t>4439@grupojg.com</t>
  </si>
  <si>
    <t>4438@einalba.com</t>
  </si>
  <si>
    <t>4437@antcle.com</t>
  </si>
  <si>
    <t>4436@gmail.com</t>
  </si>
  <si>
    <t>4435@generalolis.com</t>
  </si>
  <si>
    <t>4434@atrikum.es</t>
  </si>
  <si>
    <t>4433@usj.cat</t>
  </si>
  <si>
    <t>4432@gmail.com</t>
  </si>
  <si>
    <t>4431@tinet.org</t>
  </si>
  <si>
    <t>4430@gesener.com</t>
  </si>
  <si>
    <t>4429@gid.cat</t>
  </si>
  <si>
    <t>4428@enginyeria-classea.cat</t>
  </si>
  <si>
    <t>4427@gmail.com</t>
  </si>
  <si>
    <t>4426@gmail.com</t>
  </si>
  <si>
    <t>4425@enginyeriajd.com</t>
  </si>
  <si>
    <t>4424@gmail.com</t>
  </si>
  <si>
    <t>4423@m7enginyers.com</t>
  </si>
  <si>
    <t>4422@ordeic.com</t>
  </si>
  <si>
    <t>4421@s3e.cat</t>
  </si>
  <si>
    <t>4420@gmail.com</t>
  </si>
  <si>
    <t>4419@yahoo.com</t>
  </si>
  <si>
    <t>4418@cqinternational.es</t>
  </si>
  <si>
    <t>4417@smenginyeria.com</t>
  </si>
  <si>
    <t>4416@gmail.com</t>
  </si>
  <si>
    <t>4415@hotmail.com</t>
  </si>
  <si>
    <t>4414@villaconsulting.es</t>
  </si>
  <si>
    <t>4413@iemora.com</t>
  </si>
  <si>
    <t>4412@hotmail.com</t>
  </si>
  <si>
    <t>4411@fotorito.com</t>
  </si>
  <si>
    <t>4410@gmail.com</t>
  </si>
  <si>
    <t>4409@xmfontaneria.com</t>
  </si>
  <si>
    <t>4408@sasgayachts.com</t>
  </si>
  <si>
    <t>4407@hotmail.com</t>
  </si>
  <si>
    <t>4406@coaib.es</t>
  </si>
  <si>
    <t>4405@buscasolutions.com</t>
  </si>
  <si>
    <t>4404@arquired.es</t>
  </si>
  <si>
    <t>4403@taujaelectric.com</t>
  </si>
  <si>
    <t>4402@theexcellencecollection.com</t>
  </si>
  <si>
    <t>4401@ecoilles3.com</t>
  </si>
  <si>
    <t>4400@telefonica.net</t>
  </si>
  <si>
    <t>4399@acabot.com</t>
  </si>
  <si>
    <t>4398@acabot.com</t>
  </si>
  <si>
    <t>4397@acabot.com</t>
  </si>
  <si>
    <t>4396@acabot.com</t>
  </si>
  <si>
    <t>4395@acabot.com</t>
  </si>
  <si>
    <t>4394@acabot.com</t>
  </si>
  <si>
    <t>4393@acabot.com</t>
  </si>
  <si>
    <t>4392@bongrup.es</t>
  </si>
  <si>
    <t>4391@bongrup.es</t>
  </si>
  <si>
    <t>4390@bongrup.es</t>
  </si>
  <si>
    <t>4389@bongrup.es</t>
  </si>
  <si>
    <t>4388@bongrup.es</t>
  </si>
  <si>
    <t>4387@bongrup.es</t>
  </si>
  <si>
    <t>4386@bongrup.es</t>
  </si>
  <si>
    <t>4385@bongrup.es</t>
  </si>
  <si>
    <t>4384@bongrup.es</t>
  </si>
  <si>
    <t>4383@instaladora2001.es</t>
  </si>
  <si>
    <t>4382@gmail.com</t>
  </si>
  <si>
    <t>4381@acabot.com</t>
  </si>
  <si>
    <t>4380@mgelectricidad.es</t>
  </si>
  <si>
    <t>4379@jucarhomes.com</t>
  </si>
  <si>
    <t>4378@gennia.es</t>
  </si>
  <si>
    <t>4377@gfr-engenharia.pt</t>
  </si>
  <si>
    <t>4376@nnarq.com</t>
  </si>
  <si>
    <t>4375@khora.pt</t>
  </si>
  <si>
    <t>4374@archimais.com</t>
  </si>
  <si>
    <t>4373@opera-projects.com</t>
  </si>
  <si>
    <t>4372@silvadias-arquitectos.pt</t>
  </si>
  <si>
    <t>4371@transforgroup.com</t>
  </si>
  <si>
    <t>4370@gmail.com</t>
  </si>
  <si>
    <t>4369@gotvee.com</t>
  </si>
  <si>
    <t>4368@diogofigueiredo.com</t>
  </si>
  <si>
    <t>4367@arquiled.com</t>
  </si>
  <si>
    <t>4366@gmail.com</t>
  </si>
  <si>
    <t>4365@airesmateus.com</t>
  </si>
  <si>
    <t>4364@technoedif.com</t>
  </si>
  <si>
    <t>4363@vanguardeagle.com</t>
  </si>
  <si>
    <t>4362@eu.jll.com</t>
  </si>
  <si>
    <t>4361@mntc-arquitetura.pt</t>
  </si>
  <si>
    <t>4360@prosirtec.pt</t>
  </si>
  <si>
    <t>4359@gmail.com</t>
  </si>
  <si>
    <t>4358@arq2t.com</t>
  </si>
  <si>
    <t>4357@ecube.pt</t>
  </si>
  <si>
    <t>4356@natural-works.com</t>
  </si>
  <si>
    <t>4355@gmail.com</t>
  </si>
  <si>
    <t>4354@gmail.com</t>
  </si>
  <si>
    <t>4353@appletondomingos.pt</t>
  </si>
  <si>
    <t>4352@pt.dsv.com</t>
  </si>
  <si>
    <t>4351@cbre.com</t>
  </si>
  <si>
    <t>4350@smcarquitectos.pt</t>
  </si>
  <si>
    <t>4349@ateliercatarina.com</t>
  </si>
  <si>
    <t>4348@omf.pt</t>
  </si>
  <si>
    <t>4347@constructorasanjose.com</t>
  </si>
  <si>
    <t>4346@gmail.com</t>
  </si>
  <si>
    <t>4345@sapo.pt</t>
  </si>
  <si>
    <t>4344@veranunes.com</t>
  </si>
  <si>
    <t>4343@artsolutions-group.com</t>
  </si>
  <si>
    <t>4342@gmail.com</t>
  </si>
  <si>
    <t>4341@gmail.com</t>
  </si>
  <si>
    <t>4340@gmail.com</t>
  </si>
  <si>
    <t>4339@villafelpos.com</t>
  </si>
  <si>
    <t>4338@marfi.pt</t>
  </si>
  <si>
    <t>4337@gmail.com</t>
  </si>
  <si>
    <t>4336@gmail.com</t>
  </si>
  <si>
    <t>4335@vc.fozvintage.pt</t>
  </si>
  <si>
    <t>4334@gmail.com</t>
  </si>
  <si>
    <t>4333@grupo-sanjose.com</t>
  </si>
  <si>
    <t>4332@osborn-unipol.pt</t>
  </si>
  <si>
    <t>4331@ua.pt</t>
  </si>
  <si>
    <t>4330@fiuzatec.pt</t>
  </si>
  <si>
    <t>4329@artmoon.pt</t>
  </si>
  <si>
    <t>4328@gmail.com</t>
  </si>
  <si>
    <t>4327@brandaoepereira.eu</t>
  </si>
  <si>
    <t>4326@lmge.pt</t>
  </si>
  <si>
    <t>4325@portobay.pt</t>
  </si>
  <si>
    <t>4324@hotmail.com</t>
  </si>
  <si>
    <t>4323@kairos.com.pt</t>
  </si>
  <si>
    <t>4322@portopalaciohotel.pt</t>
  </si>
  <si>
    <t>4321@lisourique.com</t>
  </si>
  <si>
    <t>4320@gmail.com</t>
  </si>
  <si>
    <t>4319@make-industry.pt</t>
  </si>
  <si>
    <t>4318@angroup.pt</t>
  </si>
  <si>
    <t>4317@uncaria.pt</t>
  </si>
  <si>
    <t>4316@falaatelier.com</t>
  </si>
  <si>
    <t>4315@rarcon.com</t>
  </si>
  <si>
    <t>4314@hotmail.com</t>
  </si>
  <si>
    <t>4313@alinhadavizinha.pt</t>
  </si>
  <si>
    <t>4312@hotmail.com</t>
  </si>
  <si>
    <t>4311@viriato.eu</t>
  </si>
  <si>
    <t>4310@eengenharia.pt</t>
  </si>
  <si>
    <t>4309@gmail.com</t>
  </si>
  <si>
    <t>4308@invenio.pt</t>
  </si>
  <si>
    <t>4307@mofase.pt</t>
  </si>
  <si>
    <t>4306@fch.pt</t>
  </si>
  <si>
    <t>4305@lfengenharia.pt</t>
  </si>
  <si>
    <t>4304@gustavoguimaraes.org</t>
  </si>
  <si>
    <t>4303@gaen.pt</t>
  </si>
  <si>
    <t>4302@arliz.com</t>
  </si>
  <si>
    <t>4301@mimicnature.pt</t>
  </si>
  <si>
    <t>4300@arlo.pt</t>
  </si>
  <si>
    <t>4299@joaoferros.com</t>
  </si>
  <si>
    <t>4298@arquitecturadesign.com</t>
  </si>
  <si>
    <t>4297@blackct.pt</t>
  </si>
  <si>
    <t>4296@ponto4.pt</t>
  </si>
  <si>
    <t>4295@1870.pt</t>
  </si>
  <si>
    <t>4294@mimool.pt</t>
  </si>
  <si>
    <t>4293@medika.pt</t>
  </si>
  <si>
    <t>4292@fortera.pt</t>
  </si>
  <si>
    <t>4291@hotmail.com</t>
  </si>
  <si>
    <t>4290@qualive.co</t>
  </si>
  <si>
    <t>4289@norteproject.pt</t>
  </si>
  <si>
    <t>4288@gmail.com</t>
  </si>
  <si>
    <t>4287@gmail.com</t>
  </si>
  <si>
    <t>4286@make.pt</t>
  </si>
  <si>
    <t>4285@gmail.com</t>
  </si>
  <si>
    <t>4284@tcpi.pt</t>
  </si>
  <si>
    <t>4283@hotmail.com</t>
  </si>
  <si>
    <t>4282@hotmail.com</t>
  </si>
  <si>
    <t>4281@sunever.pt</t>
  </si>
  <si>
    <t>4280@electrosiluz.pt</t>
  </si>
  <si>
    <t>4279@gmail.com</t>
  </si>
  <si>
    <t>4278@prime-portugal.com</t>
  </si>
  <si>
    <t>4277@calarquitectos.pt</t>
  </si>
  <si>
    <t>4276@tuu.pt</t>
  </si>
  <si>
    <t>4275@gmail.com</t>
  </si>
  <si>
    <t>4274@gmail.com</t>
  </si>
  <si>
    <t>4273@enbergar.com</t>
  </si>
  <si>
    <t>4272@dosemas.com</t>
  </si>
  <si>
    <t>4271@lusquinos.es</t>
  </si>
  <si>
    <t>4270@chaoarquitectos.com</t>
  </si>
  <si>
    <t>427@gmail.com</t>
  </si>
  <si>
    <t>4269@gespronor.es</t>
  </si>
  <si>
    <t>4268@coag.es</t>
  </si>
  <si>
    <t>4267@gmail.com</t>
  </si>
  <si>
    <t>4266@electriporgalicia.com</t>
  </si>
  <si>
    <t>4265@selnor.es</t>
  </si>
  <si>
    <t>4264@mainsolutions.es</t>
  </si>
  <si>
    <t>4263@gmail.com</t>
  </si>
  <si>
    <t>4262@gmail.com</t>
  </si>
  <si>
    <t>4261@infonegocio.com</t>
  </si>
  <si>
    <t>4260@fulton.es</t>
  </si>
  <si>
    <t>4259@absorcionacustica.com</t>
  </si>
  <si>
    <t>4258@vavia.es</t>
  </si>
  <si>
    <t>4257@cointega.es</t>
  </si>
  <si>
    <t>4256@gmail.com</t>
  </si>
  <si>
    <t>4255@gmail.com</t>
  </si>
  <si>
    <t>4254@mitrium.com</t>
  </si>
  <si>
    <t>4253@yahoo.es</t>
  </si>
  <si>
    <t>4252@electricidadejp.com</t>
  </si>
  <si>
    <t>4251@gmail.com</t>
  </si>
  <si>
    <t>4250@gmail.com</t>
  </si>
  <si>
    <t>4249@gomezoviedo.com</t>
  </si>
  <si>
    <t>4248@andreamunozdiseno.com</t>
  </si>
  <si>
    <t>4247@hotmail.com</t>
  </si>
  <si>
    <t>4246@gmail.com</t>
  </si>
  <si>
    <t>4245@proinlecnorte.com</t>
  </si>
  <si>
    <t>4244@mail.com</t>
  </si>
  <si>
    <t>4243@hotmail.com</t>
  </si>
  <si>
    <t>4242@hotmail.com</t>
  </si>
  <si>
    <t>4241@gmail.com</t>
  </si>
  <si>
    <t>4240@cogitipalencia.com</t>
  </si>
  <si>
    <t>4239@gmail.com</t>
  </si>
  <si>
    <t>4238@coal.es</t>
  </si>
  <si>
    <t>4237@gmail.com</t>
  </si>
  <si>
    <t>4236@abala.es</t>
  </si>
  <si>
    <t>4235@orthem.com</t>
  </si>
  <si>
    <t>4234@hotmail.es</t>
  </si>
  <si>
    <t>4233@1aingenieros.com</t>
  </si>
  <si>
    <t>4232@1aingenieros.com</t>
  </si>
  <si>
    <t>4231@1aingenieros.com</t>
  </si>
  <si>
    <t>4230@foodteam.es</t>
  </si>
  <si>
    <t>4229@dimension-ing.net</t>
  </si>
  <si>
    <t>4228@dimension-ing.net</t>
  </si>
  <si>
    <t>4227@nuevo-espacio.net</t>
  </si>
  <si>
    <t>4226@muroarquitectos.com</t>
  </si>
  <si>
    <t>4225@yahoo.es</t>
  </si>
  <si>
    <t>4224@yahoo.es</t>
  </si>
  <si>
    <t>4223@gmail.com</t>
  </si>
  <si>
    <t>4222@icoiig.es</t>
  </si>
  <si>
    <t>4221@elviramanriquedelara.com</t>
  </si>
  <si>
    <t>4220@x-studio.es</t>
  </si>
  <si>
    <t>4219@engelvoelkers.com</t>
  </si>
  <si>
    <t>4218@checa-arquitectura.com</t>
  </si>
  <si>
    <t>4217@dicahome.es</t>
  </si>
  <si>
    <t>4216@gmail.com</t>
  </si>
  <si>
    <t>4215@yahoo.es</t>
  </si>
  <si>
    <t>4214@mac.com</t>
  </si>
  <si>
    <t>4213@gmail.com</t>
  </si>
  <si>
    <t>4212@romerayruiz.com</t>
  </si>
  <si>
    <t>4211@medicoslaspalmas.es</t>
  </si>
  <si>
    <t>4210@reforhotel.com</t>
  </si>
  <si>
    <t>4209@interleyinteriores.com</t>
  </si>
  <si>
    <t>4208@kaiproyectos.com</t>
  </si>
  <si>
    <t>4207@ambararquitectos.com</t>
  </si>
  <si>
    <t>4206@sembaestudio.com</t>
  </si>
  <si>
    <t>4205@mondalonreformas.com</t>
  </si>
  <si>
    <t>4204@hotmail.es</t>
  </si>
  <si>
    <t>4203@todoservicio.eu</t>
  </si>
  <si>
    <t>4202@gmail.com</t>
  </si>
  <si>
    <t>4201@gmail.com</t>
  </si>
  <si>
    <t>4200@gmail.com</t>
  </si>
  <si>
    <t>4199@amarillo-estudio.com</t>
  </si>
  <si>
    <t>4198@coaestudio.com</t>
  </si>
  <si>
    <t>4197@gmail.com</t>
  </si>
  <si>
    <t>4196@eduardoaleman.es</t>
  </si>
  <si>
    <t>4195@luishoteles.com</t>
  </si>
  <si>
    <t>4194@gmail.com</t>
  </si>
  <si>
    <t>4193@domosvii.com</t>
  </si>
  <si>
    <t>4192@construccionesyreformastravieso.com</t>
  </si>
  <si>
    <t>4191@eduardoaleman.es</t>
  </si>
  <si>
    <t>4190@gmail.com</t>
  </si>
  <si>
    <t>4189@outlook.es</t>
  </si>
  <si>
    <t>4188@gmail.com</t>
  </si>
  <si>
    <t>4187@gmail.com</t>
  </si>
  <si>
    <t>4186@estudiosergiomacias.com</t>
  </si>
  <si>
    <t>4185@gmail.com</t>
  </si>
  <si>
    <t>4184@hotmail.com</t>
  </si>
  <si>
    <t>4183@gmail.com</t>
  </si>
  <si>
    <t>4182@reformasnayer.es</t>
  </si>
  <si>
    <t>4181@yahoo.es</t>
  </si>
  <si>
    <t>4180@gmail.com</t>
  </si>
  <si>
    <t>418@proyectosict.net</t>
  </si>
  <si>
    <t>4179@gmail.com</t>
  </si>
  <si>
    <t>4178@gmail.com</t>
  </si>
  <si>
    <t>4177@hotmail.com</t>
  </si>
  <si>
    <t>4176@gmail.com</t>
  </si>
  <si>
    <t>4175@progesol.com</t>
  </si>
  <si>
    <t>4174@hotmail.com</t>
  </si>
  <si>
    <t>4173@gmail.com</t>
  </si>
  <si>
    <t>4172@gmail.com</t>
  </si>
  <si>
    <t>4171@gmail.com</t>
  </si>
  <si>
    <t>4170@aproyecto7.com</t>
  </si>
  <si>
    <t>4169@gmail.com</t>
  </si>
  <si>
    <t>4168@gmail.com</t>
  </si>
  <si>
    <t>4167@quantumenergia.es</t>
  </si>
  <si>
    <t>4166@ingm.es</t>
  </si>
  <si>
    <t>4165@gmail.com</t>
  </si>
  <si>
    <t>4164@gmail.com</t>
  </si>
  <si>
    <t>4163@yahoo.com</t>
  </si>
  <si>
    <t>4162@gmail.com</t>
  </si>
  <si>
    <t>4161@telefonica.net</t>
  </si>
  <si>
    <t>4160@enewtec.com</t>
  </si>
  <si>
    <t>416@dominguezelectricidad.es</t>
  </si>
  <si>
    <t>4159@gmail.com</t>
  </si>
  <si>
    <t>4158@todofontaneria.com</t>
  </si>
  <si>
    <t>4157@gmail.com</t>
  </si>
  <si>
    <t>4156@martaauyanet.com</t>
  </si>
  <si>
    <t>4155@cemosa.es</t>
  </si>
  <si>
    <t>4154@sgproyectos.es</t>
  </si>
  <si>
    <t>4153@galvezinteriores.com</t>
  </si>
  <si>
    <t>4152@scrconstrucciones.com</t>
  </si>
  <si>
    <t>4151@marbella.mobalpa.es</t>
  </si>
  <si>
    <t>4150@javierguerrero.net</t>
  </si>
  <si>
    <t>4149@gmail.com</t>
  </si>
  <si>
    <t>4148@construccionesmepabi.es</t>
  </si>
  <si>
    <t>4147@gmail.com</t>
  </si>
  <si>
    <t>4146@hotmail.com</t>
  </si>
  <si>
    <t>4145@ledecora.com</t>
  </si>
  <si>
    <t>4144@dielca.com</t>
  </si>
  <si>
    <t>4143@justosencinas.es</t>
  </si>
  <si>
    <t>4142@gmail.com</t>
  </si>
  <si>
    <t>4141@hotmail.com</t>
  </si>
  <si>
    <t>4140@rosmarino.es</t>
  </si>
  <si>
    <t>4139@gmail.com</t>
  </si>
  <si>
    <t>4138@gmail.com</t>
  </si>
  <si>
    <t>4137@clarosestudio.com</t>
  </si>
  <si>
    <t>4136@gmail.com</t>
  </si>
  <si>
    <t>4135@jicarsa.com</t>
  </si>
  <si>
    <t>4134@hotmail.com</t>
  </si>
  <si>
    <t>4133@gmail.com</t>
  </si>
  <si>
    <t>4132@gmail.com</t>
  </si>
  <si>
    <t>4131@cpi-kraft.com</t>
  </si>
  <si>
    <t>4130@archimarbella.es</t>
  </si>
  <si>
    <t>4129@aertecsolutions.com</t>
  </si>
  <si>
    <t>4128@dikaestudio.com</t>
  </si>
  <si>
    <t>4127@gmail.com</t>
  </si>
  <si>
    <t>4126@vivatech.es</t>
  </si>
  <si>
    <t>4125@ocwarchitects.com</t>
  </si>
  <si>
    <t>4124@gmail.com</t>
  </si>
  <si>
    <t>4123@nezhakanouni.com</t>
  </si>
  <si>
    <t>4122@casaymas.de</t>
  </si>
  <si>
    <t>4121@rudeco.es</t>
  </si>
  <si>
    <t>4120@gmail.com</t>
  </si>
  <si>
    <t>4119@aytofortuna.es</t>
  </si>
  <si>
    <t>4118@lookreformas.es</t>
  </si>
  <si>
    <t>4117@e-difica.com</t>
  </si>
  <si>
    <t>4116@disevarquitectura.com</t>
  </si>
  <si>
    <t>4115@emrm.net</t>
  </si>
  <si>
    <t>4114@mascuatrostudio.com</t>
  </si>
  <si>
    <t>4113@medinaazaharadecoracion.com</t>
  </si>
  <si>
    <t>4112@modulnovamarbella.com</t>
  </si>
  <si>
    <t>4111@edyre.com</t>
  </si>
  <si>
    <t>4110@gmail.com</t>
  </si>
  <si>
    <t>4109@gmail.com</t>
  </si>
  <si>
    <t>4108@hotmail.es</t>
  </si>
  <si>
    <t>4107@hotmail.com</t>
  </si>
  <si>
    <t>4106@gmail.com</t>
  </si>
  <si>
    <t>4105@gmail.com</t>
  </si>
  <si>
    <t>4104@remesal.com</t>
  </si>
  <si>
    <t>4103@ortizconstrucciones.com</t>
  </si>
  <si>
    <t>4102@gmail.com</t>
  </si>
  <si>
    <t>4101@gmail.com</t>
  </si>
  <si>
    <t>4100@hotmail.com</t>
  </si>
  <si>
    <t>4099@joca.es</t>
  </si>
  <si>
    <t>4098@gmail.com</t>
  </si>
  <si>
    <t>4097@gmail.com</t>
  </si>
  <si>
    <t>4096@earsa.mx</t>
  </si>
  <si>
    <t>4095@hotmail.com</t>
  </si>
  <si>
    <t>4094@ricrenovables.com</t>
  </si>
  <si>
    <t>4093@hotmail.com</t>
  </si>
  <si>
    <t>4092@gmail.com</t>
  </si>
  <si>
    <t>4091@hotmail.com</t>
  </si>
  <si>
    <t>4090@nila.es</t>
  </si>
  <si>
    <t>4089@gmail.com</t>
  </si>
  <si>
    <t>4088@hotmail.com</t>
  </si>
  <si>
    <t>4087@gmail.com</t>
  </si>
  <si>
    <t>4086@live.com</t>
  </si>
  <si>
    <t>4085@gmail.com</t>
  </si>
  <si>
    <t>4084@dacorecanarias.com</t>
  </si>
  <si>
    <t>4083@gmail.com</t>
  </si>
  <si>
    <t>4082@iluminacionesjesusnazareno.com</t>
  </si>
  <si>
    <t>4081@icloud.com</t>
  </si>
  <si>
    <t>4080@gmail.com</t>
  </si>
  <si>
    <t>4079@deltagroupdr.com</t>
  </si>
  <si>
    <t>4078@gmail.com</t>
  </si>
  <si>
    <t>4077@gmail.com</t>
  </si>
  <si>
    <t>4076@gmail.com</t>
  </si>
  <si>
    <t>4075@gmail.com</t>
  </si>
  <si>
    <t>4074@gmail.com</t>
  </si>
  <si>
    <t>4073@educarex.es</t>
  </si>
  <si>
    <t>4072@hotmail.com</t>
  </si>
  <si>
    <t>4071@gmail.com</t>
  </si>
  <si>
    <t>4070@hotmail.com</t>
  </si>
  <si>
    <t>4069@sedeno.es</t>
  </si>
  <si>
    <t>4068@gmail.com</t>
  </si>
  <si>
    <t>4067@gmail.com</t>
  </si>
  <si>
    <t>4066@gmail.com</t>
  </si>
  <si>
    <t>4065@hotmail.com</t>
  </si>
  <si>
    <t>4064@gmail.com</t>
  </si>
  <si>
    <t>4063@asptec.es</t>
  </si>
  <si>
    <t>4062@dipucordoba.es</t>
  </si>
  <si>
    <t>4061@gmail.com</t>
  </si>
  <si>
    <t>4060@gmail.com</t>
  </si>
  <si>
    <t>4059@gmail.com</t>
  </si>
  <si>
    <t>4058@gruporeimar.com</t>
  </si>
  <si>
    <t>4057@gmail.com</t>
  </si>
  <si>
    <t>4056@hotmail.com</t>
  </si>
  <si>
    <t>4055@gmail.com</t>
  </si>
  <si>
    <t>4054@gmail.com</t>
  </si>
  <si>
    <t>4053@gmail.com</t>
  </si>
  <si>
    <t>4052@hotmail.com</t>
  </si>
  <si>
    <t>4051@unex.es</t>
  </si>
  <si>
    <t>4050@hotmail.com</t>
  </si>
  <si>
    <t>4049@gmail.com</t>
  </si>
  <si>
    <t>4048@gmail.com</t>
  </si>
  <si>
    <t>4047@gmail.com</t>
  </si>
  <si>
    <t>4046@gmail.com</t>
  </si>
  <si>
    <t>4045@gmail.com</t>
  </si>
  <si>
    <t>4044@hotmail.es</t>
  </si>
  <si>
    <t>4043@gmail.com</t>
  </si>
  <si>
    <t>4042@gmail.com</t>
  </si>
  <si>
    <t>4041@gmail.com</t>
  </si>
  <si>
    <t>4040@hotmail.com</t>
  </si>
  <si>
    <t>4039@coto.pro</t>
  </si>
  <si>
    <t>4038@gmail.com</t>
  </si>
  <si>
    <t>4037@itecoingenieros.com</t>
  </si>
  <si>
    <t>4036@gmail.com</t>
  </si>
  <si>
    <t>4035@gmail.com</t>
  </si>
  <si>
    <t>4034@eurotorres.es</t>
  </si>
  <si>
    <t>4033@gmail.com</t>
  </si>
  <si>
    <t>4032@gmail.com</t>
  </si>
  <si>
    <t>4031@gmail.com</t>
  </si>
  <si>
    <t>4030@hotmail.com</t>
  </si>
  <si>
    <t>4029@gmail.com</t>
  </si>
  <si>
    <t>4028@hotmail.com</t>
  </si>
  <si>
    <t>4027@hotmail.com</t>
  </si>
  <si>
    <t>4026@etcarquitectura.com</t>
  </si>
  <si>
    <t>4025@gmail.com</t>
  </si>
  <si>
    <t>4024@gmail.com</t>
  </si>
  <si>
    <t>4023@hotmail.com</t>
  </si>
  <si>
    <t>4022@hotmail.es</t>
  </si>
  <si>
    <t>4021@gestionax.es</t>
  </si>
  <si>
    <t>4020@incoal.es</t>
  </si>
  <si>
    <t>4019@hansa.com.bo</t>
  </si>
  <si>
    <t>4018@eajerez.com</t>
  </si>
  <si>
    <t>4017@gmail.com</t>
  </si>
  <si>
    <t>4016@mdindustrial.es</t>
  </si>
  <si>
    <t>4015@acearquitectos.com</t>
  </si>
  <si>
    <t>4014@yahoo.com</t>
  </si>
  <si>
    <t>4013@gmail.com</t>
  </si>
  <si>
    <t>4012@juanfranjimenez.com</t>
  </si>
  <si>
    <t>4011@hotmail.com</t>
  </si>
  <si>
    <t>4010@gmail.com</t>
  </si>
  <si>
    <t>4009@ecoeficiente.com.uy</t>
  </si>
  <si>
    <t>4008@laparra51.com</t>
  </si>
  <si>
    <t>4007@gmail.com</t>
  </si>
  <si>
    <t>4006@ezzenza.com</t>
  </si>
  <si>
    <t>4005@outlook.com</t>
  </si>
  <si>
    <t>4004@gmail.com</t>
  </si>
  <si>
    <t>4003@gmail.com</t>
  </si>
  <si>
    <t>4002@outlook.es</t>
  </si>
  <si>
    <t>4001@gmail.com</t>
  </si>
  <si>
    <t>4000@hotmail.com</t>
  </si>
  <si>
    <t>3999@gmail.com</t>
  </si>
  <si>
    <t>3998@grupogestiondiez.es</t>
  </si>
  <si>
    <t>3997@hotmail.com</t>
  </si>
  <si>
    <t>3996@gmail.com</t>
  </si>
  <si>
    <t>3995@gmail.com</t>
  </si>
  <si>
    <t>3994@gmail.com</t>
  </si>
  <si>
    <t>3993@hotmail.com</t>
  </si>
  <si>
    <t>3992@yahoo.es</t>
  </si>
  <si>
    <t>3991@coiarm.es</t>
  </si>
  <si>
    <t>3990@gmail.com</t>
  </si>
  <si>
    <t>3989@gmail.com</t>
  </si>
  <si>
    <t>3988@gmail.com</t>
  </si>
  <si>
    <t>3987@ayra.es</t>
  </si>
  <si>
    <t>3986@andaluciacentro.com</t>
  </si>
  <si>
    <t>3985@outlook.es</t>
  </si>
  <si>
    <t>3984@outlook.es</t>
  </si>
  <si>
    <t>3983@gmail.com</t>
  </si>
  <si>
    <t>3982@gmail.com</t>
  </si>
  <si>
    <t>3981@gmail.com</t>
  </si>
  <si>
    <t>3980@acuariolinares.com</t>
  </si>
  <si>
    <t>3979@outlook.es</t>
  </si>
  <si>
    <t>3978@gmail.com</t>
  </si>
  <si>
    <t>3977@provideo.es</t>
  </si>
  <si>
    <t>3976@icloud.com</t>
  </si>
  <si>
    <t>3975@gmail.com</t>
  </si>
  <si>
    <t>3974@rotbyggarna.es</t>
  </si>
  <si>
    <t>3973@hotmail.com</t>
  </si>
  <si>
    <t>3972@tramasmas.com</t>
  </si>
  <si>
    <t>3971@tecbureau.com</t>
  </si>
  <si>
    <t>3970@farmaciacristobalcolon.com</t>
  </si>
  <si>
    <t>3969@nolose.com</t>
  </si>
  <si>
    <t>3968@donairearquitectos.net</t>
  </si>
  <si>
    <t>3967@unukhotel.com</t>
  </si>
  <si>
    <t>3966@gilmar.es</t>
  </si>
  <si>
    <t>3965@yahoo.com</t>
  </si>
  <si>
    <t>3964@byggen.es</t>
  </si>
  <si>
    <t>3963@urbeagestion.com</t>
  </si>
  <si>
    <t>3962@naxfor.com</t>
  </si>
  <si>
    <t>3961@kaulakstudio.com</t>
  </si>
  <si>
    <t>3960@outlook.com</t>
  </si>
  <si>
    <t>3959@an-lo.es</t>
  </si>
  <si>
    <t>3958@solidaconsultoria.com</t>
  </si>
  <si>
    <t>3957@gmail.com</t>
  </si>
  <si>
    <t>3956@buro4.es</t>
  </si>
  <si>
    <t>3955@jumat.es</t>
  </si>
  <si>
    <t>3954@tah29.es</t>
  </si>
  <si>
    <t>3953@coamalaga.es</t>
  </si>
  <si>
    <t>3952@planea.eu</t>
  </si>
  <si>
    <t>3951@lebaconstructora.es</t>
  </si>
  <si>
    <t>3950@coamalaga.es</t>
  </si>
  <si>
    <t>3949@beamestudio.com</t>
  </si>
  <si>
    <t>3948@jbravostudio.com</t>
  </si>
  <si>
    <t>3947@estudiorojas.com</t>
  </si>
  <si>
    <t>3946@terralarquitectos.es</t>
  </si>
  <si>
    <t>3945@eireinteriors.com</t>
  </si>
  <si>
    <t>3944@gmail.com</t>
  </si>
  <si>
    <t>3943@dosaceras.com</t>
  </si>
  <si>
    <t>3942@gmail.com</t>
  </si>
  <si>
    <t>3941@ferjimar.com</t>
  </si>
  <si>
    <t>3940@sringenieros.com</t>
  </si>
  <si>
    <t>394@yahoo.es</t>
  </si>
  <si>
    <t>3939@gmail.com</t>
  </si>
  <si>
    <t>3938@gmail.com</t>
  </si>
  <si>
    <t>3937@crabarquitectos.es</t>
  </si>
  <si>
    <t>3936@curcumaestudio.com</t>
  </si>
  <si>
    <t>3935@maybeiluminacion.com</t>
  </si>
  <si>
    <t>3934@inbasi.es</t>
  </si>
  <si>
    <t>3933@gmail.com</t>
  </si>
  <si>
    <t>3932@aslighting.es</t>
  </si>
  <si>
    <t>3931@soniapena.com</t>
  </si>
  <si>
    <t>3930@gisela.com</t>
  </si>
  <si>
    <t>3929@makarthy.com</t>
  </si>
  <si>
    <t>3928@salec.es</t>
  </si>
  <si>
    <t>3927@viparquitectes.com</t>
  </si>
  <si>
    <t>3926@yahoo.es</t>
  </si>
  <si>
    <t>3925@cobrusi.com</t>
  </si>
  <si>
    <t>3924@gmail.com</t>
  </si>
  <si>
    <t>3923@hotmail.com</t>
  </si>
  <si>
    <t>3922@gmail.com</t>
  </si>
  <si>
    <t>3921@gmail.com</t>
  </si>
  <si>
    <t>3920@sabadellmultiserveis.com</t>
  </si>
  <si>
    <t>3919@gmail.com</t>
  </si>
  <si>
    <t>3918@domuscabanas.com</t>
  </si>
  <si>
    <t>3917@estudicasaconfort.com</t>
  </si>
  <si>
    <t>3916@gmail.com</t>
  </si>
  <si>
    <t>3915@viveselectricitat.com</t>
  </si>
  <si>
    <t>3914@construner.com</t>
  </si>
  <si>
    <t>3913@kriptonbcn.com</t>
  </si>
  <si>
    <t>3912@gmail.com</t>
  </si>
  <si>
    <t>3911@camiloyserafin.es</t>
  </si>
  <si>
    <t>3910@elektracat.com</t>
  </si>
  <si>
    <t>3909@d-concepto.com</t>
  </si>
  <si>
    <t>3908@arqidis.com</t>
  </si>
  <si>
    <t>3907@arpemaproyectos.com</t>
  </si>
  <si>
    <t>3906@smart-nrg.es</t>
  </si>
  <si>
    <t>3905@obviobcn.com</t>
  </si>
  <si>
    <t>3904@gmail.com</t>
  </si>
  <si>
    <t>3903@gruptba.com</t>
  </si>
  <si>
    <t>3902@coac.net</t>
  </si>
  <si>
    <t>3901@barcelonactiva.cat</t>
  </si>
  <si>
    <t>3900@hotmail.com</t>
  </si>
  <si>
    <t>3899@qidstudio.es</t>
  </si>
  <si>
    <t>3898@esitec.cat</t>
  </si>
  <si>
    <t>3897@ctomasgracia.com</t>
  </si>
  <si>
    <t>3896@ecovat.com</t>
  </si>
  <si>
    <t>3895@juliaballus.cat</t>
  </si>
  <si>
    <t>3894@tragsa.es</t>
  </si>
  <si>
    <t>3893@apabcn.cat</t>
  </si>
  <si>
    <t>3892@constructoraqbc.com</t>
  </si>
  <si>
    <t>3891@msn.com</t>
  </si>
  <si>
    <t>3890@gmail.com</t>
  </si>
  <si>
    <t>3889@chm.es</t>
  </si>
  <si>
    <t>3888@hotmail.com</t>
  </si>
  <si>
    <t>3887@yahoo.com.ar</t>
  </si>
  <si>
    <t>3886@fcb-group.es</t>
  </si>
  <si>
    <t>3885@hpsa.es</t>
  </si>
  <si>
    <t>3884@aciertaretail.com</t>
  </si>
  <si>
    <t>3883@ctac.es</t>
  </si>
  <si>
    <t>3882@apabcn.cat</t>
  </si>
  <si>
    <t>3881@coac.net</t>
  </si>
  <si>
    <t>3880@ambientalia.es</t>
  </si>
  <si>
    <t>3879@matescan.es</t>
  </si>
  <si>
    <t>3878@sgt.cat</t>
  </si>
  <si>
    <t>3877@gmail.com</t>
  </si>
  <si>
    <t>3876@riberazona.com</t>
  </si>
  <si>
    <t>3875@grupogyo.es</t>
  </si>
  <si>
    <t>3874@uteconservaciorondes.com</t>
  </si>
  <si>
    <t>3873@bnc-tec.com</t>
  </si>
  <si>
    <t>3872@gmail.com</t>
  </si>
  <si>
    <t>3871@magamostudio.com</t>
  </si>
  <si>
    <t>3870@mgingenieros.com</t>
  </si>
  <si>
    <t>3869@coac.cat</t>
  </si>
  <si>
    <t>3868@amgintegral.es</t>
  </si>
  <si>
    <t>3867@funiber.org</t>
  </si>
  <si>
    <t>3866@comsa.com</t>
  </si>
  <si>
    <t>3865@creainteriors.com</t>
  </si>
  <si>
    <t>3864@tecmon.pro</t>
  </si>
  <si>
    <t>3863@gmail.com</t>
  </si>
  <si>
    <t>3862@gmail.com</t>
  </si>
  <si>
    <t>3861@gmail.com</t>
  </si>
  <si>
    <t>3860@gmail.com</t>
  </si>
  <si>
    <t>3859@jesusperales.es</t>
  </si>
  <si>
    <t>3858@sono.es</t>
  </si>
  <si>
    <t>3857@yahoo.es</t>
  </si>
  <si>
    <t>3856@deulonder.com</t>
  </si>
  <si>
    <t>3855@mariatuduri.com</t>
  </si>
  <si>
    <t>3854@kubicat.com</t>
  </si>
  <si>
    <t>3853@cemontseny.cat</t>
  </si>
  <si>
    <t>3852@outlook.es</t>
  </si>
  <si>
    <t>3851@gmail.com</t>
  </si>
  <si>
    <t>3850@vilor.net</t>
  </si>
  <si>
    <t>3849@bonaireiluminacion.com</t>
  </si>
  <si>
    <t>3848@gmail.com</t>
  </si>
  <si>
    <t>3847@engin.cat</t>
  </si>
  <si>
    <t>3846@coac.net</t>
  </si>
  <si>
    <t>3845@gmail.com</t>
  </si>
  <si>
    <t>3844@saltoki.es</t>
  </si>
  <si>
    <t>3843@iicv.es</t>
  </si>
  <si>
    <t>3842@gmail.com</t>
  </si>
  <si>
    <t>3841@hotmail.com</t>
  </si>
  <si>
    <t>3840@gmail.com</t>
  </si>
  <si>
    <t>3839@gnail.com</t>
  </si>
  <si>
    <t>3838@gmail.com</t>
  </si>
  <si>
    <t>3837@berrysar.cat</t>
  </si>
  <si>
    <t>3836@gmail.com</t>
  </si>
  <si>
    <t>3835@gmail.com</t>
  </si>
  <si>
    <t>3834@5pmstudio.com</t>
  </si>
  <si>
    <t>3833@bencinibarcelona.com</t>
  </si>
  <si>
    <t>3832@gmail.com</t>
  </si>
  <si>
    <t>3831@josoc.cat</t>
  </si>
  <si>
    <t>3830@el-tec.es</t>
  </si>
  <si>
    <t>3829@hotmail.com</t>
  </si>
  <si>
    <t>3828@gmail.com</t>
  </si>
  <si>
    <t>3827@gmail.com</t>
  </si>
  <si>
    <t>3826@yahoo.com</t>
  </si>
  <si>
    <t>3825@clicam.net</t>
  </si>
  <si>
    <t>3824@gmail.com</t>
  </si>
  <si>
    <t>3823@pallardo.com</t>
  </si>
  <si>
    <t>3822@hotmail.com</t>
  </si>
  <si>
    <t>3821@fundesplai.org</t>
  </si>
  <si>
    <t>3820@gmail.com</t>
  </si>
  <si>
    <t>3819@fridama.com</t>
  </si>
  <si>
    <t>3818@locastudio.eu</t>
  </si>
  <si>
    <t>3817@gmail.com</t>
  </si>
  <si>
    <t>3816@hods.es</t>
  </si>
  <si>
    <t>3815@envialog.com</t>
  </si>
  <si>
    <t>3814@flote.es</t>
  </si>
  <si>
    <t>3813@gmail.com</t>
  </si>
  <si>
    <t>3812@monacoirosich.com</t>
  </si>
  <si>
    <t>3811@cerrajerialaeconomica.es</t>
  </si>
  <si>
    <t>3810@ondaplay.com</t>
  </si>
  <si>
    <t>3809@gmail.com</t>
  </si>
  <si>
    <t>3808@ignasiconillas.com</t>
  </si>
  <si>
    <t>3807@simon.es</t>
  </si>
  <si>
    <t>3806@callejas.cat</t>
  </si>
  <si>
    <t>3805@gmail.com</t>
  </si>
  <si>
    <t>3804@grupoetxarte.com</t>
  </si>
  <si>
    <t>3803@gmail.com</t>
  </si>
  <si>
    <t>3802@gmail.com</t>
  </si>
  <si>
    <t>3801@gmail.com</t>
  </si>
  <si>
    <t>3800@decormobel.com</t>
  </si>
  <si>
    <t>3799@gmail.com</t>
  </si>
  <si>
    <t>3798@gmail.com</t>
  </si>
  <si>
    <t>3797@gmail.com</t>
  </si>
  <si>
    <t>3796@hotmail.com</t>
  </si>
  <si>
    <t>3795@gmail.com</t>
  </si>
  <si>
    <t>3794@gmail.com</t>
  </si>
  <si>
    <t>3793@gmail.com</t>
  </si>
  <si>
    <t>3792@gmail.com</t>
  </si>
  <si>
    <t>3791@veolia.com</t>
  </si>
  <si>
    <t>3790@hotmail.com</t>
  </si>
  <si>
    <t>3789@gmail.com</t>
  </si>
  <si>
    <t>3788@gmail.com</t>
  </si>
  <si>
    <t>3787@gmail.com</t>
  </si>
  <si>
    <t>3786@icloud.com</t>
  </si>
  <si>
    <t>3785@gmail.com</t>
  </si>
  <si>
    <t>3784@gmail.com</t>
  </si>
  <si>
    <t>3783@kplenergiasolar.com</t>
  </si>
  <si>
    <t>3782@gmail.com</t>
  </si>
  <si>
    <t>3781@gmail.com</t>
  </si>
  <si>
    <t>3780@gmail.com</t>
  </si>
  <si>
    <t>3779@gmail.com</t>
  </si>
  <si>
    <t>3778@gmail.com</t>
  </si>
  <si>
    <t>3777@savethechildren.org</t>
  </si>
  <si>
    <t>3776@gmail.com</t>
  </si>
  <si>
    <t>3775@adartse.com</t>
  </si>
  <si>
    <t>3774@gmail.com</t>
  </si>
  <si>
    <t>3773@gmail.com</t>
  </si>
  <si>
    <t>3772@bcncentroortodoncia.com</t>
  </si>
  <si>
    <t>3771@me.com</t>
  </si>
  <si>
    <t>3770@gmail.com</t>
  </si>
  <si>
    <t>3769@gmail.com</t>
  </si>
  <si>
    <t>3768@peritojudicial-inmo.com</t>
  </si>
  <si>
    <t>3767@hispanorusa.com</t>
  </si>
  <si>
    <t>3766@outlook.com</t>
  </si>
  <si>
    <t>3765@hotmail.com</t>
  </si>
  <si>
    <t>3764@gmail.com</t>
  </si>
  <si>
    <t>3763@gmail.com</t>
  </si>
  <si>
    <t>3762@hotmail.com</t>
  </si>
  <si>
    <t>3761@gmail.com</t>
  </si>
  <si>
    <t>3760@hotmail.com</t>
  </si>
  <si>
    <t>3759@coac.net</t>
  </si>
  <si>
    <t>3758@gmail.com</t>
  </si>
  <si>
    <t>3757@hotmail.com</t>
  </si>
  <si>
    <t>3756@hotmail.com</t>
  </si>
  <si>
    <t>3755@seprisma.com</t>
  </si>
  <si>
    <t>3754@coac.es</t>
  </si>
  <si>
    <t>3753@gmail.com</t>
  </si>
  <si>
    <t>3752@yahoo.es</t>
  </si>
  <si>
    <t>3751@gmail.com</t>
  </si>
  <si>
    <t>3750@gmail.com</t>
  </si>
  <si>
    <t>3749@hotmail.com</t>
  </si>
  <si>
    <t>3748@gmail.com</t>
  </si>
  <si>
    <t>3747@gmail.com</t>
  </si>
  <si>
    <t>3746@gmail.com</t>
  </si>
  <si>
    <t>3745@ebcn.cat</t>
  </si>
  <si>
    <t>3744@gmail.com</t>
  </si>
  <si>
    <t>3743@hotmail.com</t>
  </si>
  <si>
    <t>3742@gmail.com</t>
  </si>
  <si>
    <t>3741@hotmail.com</t>
  </si>
  <si>
    <t>3740@gmail.com</t>
  </si>
  <si>
    <t>3739@hotmail.com</t>
  </si>
  <si>
    <t>3738@gmail.com</t>
  </si>
  <si>
    <t>3737@gmail.com</t>
  </si>
  <si>
    <t>3736@hotmail.com</t>
  </si>
  <si>
    <t>3735@coac.net</t>
  </si>
  <si>
    <t>3734@hotmail.com</t>
  </si>
  <si>
    <t>3733@gmail.com</t>
  </si>
  <si>
    <t>3732@gmail.com</t>
  </si>
  <si>
    <t>3731@euncet.es</t>
  </si>
  <si>
    <t>3730@gmail.com</t>
  </si>
  <si>
    <t>373@eling.es</t>
  </si>
  <si>
    <t>3729@gmail.com</t>
  </si>
  <si>
    <t>3728@gmail.com</t>
  </si>
  <si>
    <t>3727@gmail.com</t>
  </si>
  <si>
    <t>3726@gmail.com</t>
  </si>
  <si>
    <t>3725@gmail.com</t>
  </si>
  <si>
    <t>3724@outlook.com</t>
  </si>
  <si>
    <t>3723@hotmail.com</t>
  </si>
  <si>
    <t>3722@gmail.com</t>
  </si>
  <si>
    <t>3721@gmail.com</t>
  </si>
  <si>
    <t>3720@hotmail.com</t>
  </si>
  <si>
    <t>3719@gmail.com</t>
  </si>
  <si>
    <t>3718@gmail.com</t>
  </si>
  <si>
    <t>3717@hotmail.com</t>
  </si>
  <si>
    <t>3716@tsit.es</t>
  </si>
  <si>
    <t>3715@gmail.com</t>
  </si>
  <si>
    <t>3714@gmail.com</t>
  </si>
  <si>
    <t>3713@gmail.com</t>
  </si>
  <si>
    <t>3712@gmail.com</t>
  </si>
  <si>
    <t>3711@detsun.com</t>
  </si>
  <si>
    <t>3710@tekmobel.com</t>
  </si>
  <si>
    <t>3709@outlook.es</t>
  </si>
  <si>
    <t>3708@gmail.com</t>
  </si>
  <si>
    <t>3707@gmail.com</t>
  </si>
  <si>
    <t>3706@hotmail.com</t>
  </si>
  <si>
    <t>3705@hotmail.com</t>
  </si>
  <si>
    <t>3704@alicar.es</t>
  </si>
  <si>
    <t>3703@web.de</t>
  </si>
  <si>
    <t>3702@hotmail.com</t>
  </si>
  <si>
    <t>3701@siros.cat</t>
  </si>
  <si>
    <t>3700@dekonstruct.es</t>
  </si>
  <si>
    <t>3699@simon.es</t>
  </si>
  <si>
    <t>3698@gmail.com</t>
  </si>
  <si>
    <t>3697@hotmail.com</t>
  </si>
  <si>
    <t>3696@yahoo.es</t>
  </si>
  <si>
    <t>3695@gestelsl.es</t>
  </si>
  <si>
    <t>3694@gmail.com</t>
  </si>
  <si>
    <t>3693@gmail.com</t>
  </si>
  <si>
    <t>3692@gmail.com</t>
  </si>
  <si>
    <t>3691@gmail.com</t>
  </si>
  <si>
    <t>3690@gmail.com</t>
  </si>
  <si>
    <t>3689@gmail.com</t>
  </si>
  <si>
    <t>3688@hotmail.com</t>
  </si>
  <si>
    <t>3687@gmail.com</t>
  </si>
  <si>
    <t>3686@hotmail.com</t>
  </si>
  <si>
    <t>3685@gmail.com</t>
  </si>
  <si>
    <t>3684@gmail.com</t>
  </si>
  <si>
    <t>3683@hotmail.com</t>
  </si>
  <si>
    <t>3682@gmail.com</t>
  </si>
  <si>
    <t>3681@yahoo.com</t>
  </si>
  <si>
    <t>3680@gmail.com</t>
  </si>
  <si>
    <t>3679@gmail.com</t>
  </si>
  <si>
    <t>3678@coac.net</t>
  </si>
  <si>
    <t>3677@yahoo.de</t>
  </si>
  <si>
    <t>3676@sbt-instalaciones.es</t>
  </si>
  <si>
    <t>3675@yahoo.es</t>
  </si>
  <si>
    <t>3674@revimon.com</t>
  </si>
  <si>
    <t>3673@gmail.com</t>
  </si>
  <si>
    <t>3672@outlook.com</t>
  </si>
  <si>
    <t>3671@gmail.com</t>
  </si>
  <si>
    <t>3670@gmail.com</t>
  </si>
  <si>
    <t>3669@gmail.com</t>
  </si>
  <si>
    <t>3668@gmail.com</t>
  </si>
  <si>
    <t>3667@hotmail.com</t>
  </si>
  <si>
    <t>3666@hotmail.com</t>
  </si>
  <si>
    <t>3665@gmail.com</t>
  </si>
  <si>
    <t>3664@hotmail.com</t>
  </si>
  <si>
    <t>3663@gmail.com</t>
  </si>
  <si>
    <t>3662@hotmail.com</t>
  </si>
  <si>
    <t>3661@gmail.com</t>
  </si>
  <si>
    <t>3660@gmail.com</t>
  </si>
  <si>
    <t>3659@gmail.com</t>
  </si>
  <si>
    <t>3658@gmail.com</t>
  </si>
  <si>
    <t>3657@hotmail.com</t>
  </si>
  <si>
    <t>3656@gmail.com</t>
  </si>
  <si>
    <t>3655@outlook.com</t>
  </si>
  <si>
    <t>3654@hotmail.com</t>
  </si>
  <si>
    <t>3653@gmail.com</t>
  </si>
  <si>
    <t>3652@gmail.com</t>
  </si>
  <si>
    <t>3651@gmail.com</t>
  </si>
  <si>
    <t>3650@serviciosigs.es</t>
  </si>
  <si>
    <t>3649@grupaldago.com</t>
  </si>
  <si>
    <t>3648@gmail.com</t>
  </si>
  <si>
    <t>3647@gmail.com</t>
  </si>
  <si>
    <t>3646@hotmail.com</t>
  </si>
  <si>
    <t>3645@tilcarasur.com</t>
  </si>
  <si>
    <t>3644@sece.com</t>
  </si>
  <si>
    <t>3643@apabcn.cat</t>
  </si>
  <si>
    <t>3642@hotmail.com</t>
  </si>
  <si>
    <t>3641@gruposur.es</t>
  </si>
  <si>
    <t>3640@decoinnova.com</t>
  </si>
  <si>
    <t>3639@airerealestate.es</t>
  </si>
  <si>
    <t>3638@coac.net</t>
  </si>
  <si>
    <t>3637@sezam.es</t>
  </si>
  <si>
    <t>3636@yahoo.es</t>
  </si>
  <si>
    <t>3635@gmail.com</t>
  </si>
  <si>
    <t>3634@gmail.com</t>
  </si>
  <si>
    <t>3633@anapaez.com</t>
  </si>
  <si>
    <t>3632@gbmgrup.com</t>
  </si>
  <si>
    <t>3631@nordicthink.com</t>
  </si>
  <si>
    <t>3630@coac.net</t>
  </si>
  <si>
    <t>3629@gmail.com</t>
  </si>
  <si>
    <t>3628@gmail.com</t>
  </si>
  <si>
    <t>3627@zapzertrade.com</t>
  </si>
  <si>
    <t>3626@matterdesign.es</t>
  </si>
  <si>
    <t>3625@algsat.es</t>
  </si>
  <si>
    <t>3624@merlyn.es</t>
  </si>
  <si>
    <t>3623@construccion.es</t>
  </si>
  <si>
    <t>3622@refomasparqueval.es</t>
  </si>
  <si>
    <t>3621@grupovalue.com</t>
  </si>
  <si>
    <t>3620@gmail.com</t>
  </si>
  <si>
    <t>3619@ecpaterna.com</t>
  </si>
  <si>
    <t>3618@nomahgroup.com</t>
  </si>
  <si>
    <t>3617@hotmail.com</t>
  </si>
  <si>
    <t>3616@pasapasinteriorismo.com</t>
  </si>
  <si>
    <t>3615@gmail.com</t>
  </si>
  <si>
    <t>3614@espacioam.com</t>
  </si>
  <si>
    <t>3613@gmail.com</t>
  </si>
  <si>
    <t>3612@mestalla.com.es</t>
  </si>
  <si>
    <t>3611@netdecoracion.es</t>
  </si>
  <si>
    <t>3610@creativamilenium.es</t>
  </si>
  <si>
    <t>361@trabajosadomicilio.es</t>
  </si>
  <si>
    <t>3609@disenahabilita.com</t>
  </si>
  <si>
    <t>3608@luxorespacios.com</t>
  </si>
  <si>
    <t>3607@vateaestudio.com</t>
  </si>
  <si>
    <t>3606@arquitectosrc.es</t>
  </si>
  <si>
    <t>3605@gmail.com</t>
  </si>
  <si>
    <t>3604@vpinilla.e.telefonica.net</t>
  </si>
  <si>
    <t>3603@telefonica.net</t>
  </si>
  <si>
    <t>3602@reformaseco.com</t>
  </si>
  <si>
    <t>3601@hotmail.com</t>
  </si>
  <si>
    <t>3600@yahoo.es</t>
  </si>
  <si>
    <t>3599@dhsolutions.es</t>
  </si>
  <si>
    <t>3598@baldoarquitectura.com</t>
  </si>
  <si>
    <t>3597@prefabricar.org</t>
  </si>
  <si>
    <t>3596@aparejadoresmadrid.org</t>
  </si>
  <si>
    <t>3595@hotmail.com</t>
  </si>
  <si>
    <t>3594@gmail.com</t>
  </si>
  <si>
    <t>3593@estudiokonzept.com</t>
  </si>
  <si>
    <t>3592@atelierarquitectos.es</t>
  </si>
  <si>
    <t>3591@decoracionesgarba.com</t>
  </si>
  <si>
    <t>3590@ignaciodeltoro.com</t>
  </si>
  <si>
    <t>3589@carrilongo.es</t>
  </si>
  <si>
    <t>3588@atalantagrupo.es</t>
  </si>
  <si>
    <t>3587@arquitectoasociados12.com</t>
  </si>
  <si>
    <t>3586@lacalifornie.es</t>
  </si>
  <si>
    <t>3585@saint-gobain.com</t>
  </si>
  <si>
    <t>3584@worley.com</t>
  </si>
  <si>
    <t>3583@gmail.com</t>
  </si>
  <si>
    <t>3582@sei-electricidad.es</t>
  </si>
  <si>
    <t>3581@gmail.com</t>
  </si>
  <si>
    <t>3580@shuttlecloud.com</t>
  </si>
  <si>
    <t>3579@tureforma.org</t>
  </si>
  <si>
    <t>3578@galansobrini.com</t>
  </si>
  <si>
    <t>3577@gmail.com</t>
  </si>
  <si>
    <t>3576@grupodgs.es</t>
  </si>
  <si>
    <t>3575@pidelo.com</t>
  </si>
  <si>
    <t>3574@saint-gobain.com</t>
  </si>
  <si>
    <t>3573@gmail.com</t>
  </si>
  <si>
    <t>3572@amarillocromo.com</t>
  </si>
  <si>
    <t>3571@gmail.com</t>
  </si>
  <si>
    <t>3570@suave.design</t>
  </si>
  <si>
    <t>3569@joseagenjo.com</t>
  </si>
  <si>
    <t>3568@pidelo.es</t>
  </si>
  <si>
    <t>3567@gmail.com</t>
  </si>
  <si>
    <t>3566@mitiska-reim.com</t>
  </si>
  <si>
    <t>3565@plazaloranca2.com</t>
  </si>
  <si>
    <t>3564@diemar.es</t>
  </si>
  <si>
    <t>3563@estudioama.es</t>
  </si>
  <si>
    <t>3562@solidaequipamientointegral.com</t>
  </si>
  <si>
    <t>3561@inside-pharmacy.com</t>
  </si>
  <si>
    <t>3560@proarcom.com</t>
  </si>
  <si>
    <t>3559@procasji.es</t>
  </si>
  <si>
    <t>3558@reformaspergola.com</t>
  </si>
  <si>
    <t>3557@aplusc.org</t>
  </si>
  <si>
    <t>3556@gramconstruccion.com</t>
  </si>
  <si>
    <t>3555@ceetrus.com</t>
  </si>
  <si>
    <t>3554@clinicasqualitydental.com</t>
  </si>
  <si>
    <t>3553@renattandgo.com</t>
  </si>
  <si>
    <t>3552@elganso.com</t>
  </si>
  <si>
    <t>3551@primark.es</t>
  </si>
  <si>
    <t>3550@giordano.com</t>
  </si>
  <si>
    <t>3549@poncearquitectura.com</t>
  </si>
  <si>
    <t>3548@vivagym.es</t>
  </si>
  <si>
    <t>3547@garriguesretail.com</t>
  </si>
  <si>
    <t>3546@munreco.com</t>
  </si>
  <si>
    <t>3545@tiendapoete.com</t>
  </si>
  <si>
    <t>3544@retailres.com</t>
  </si>
  <si>
    <t>3543@gmail.com</t>
  </si>
  <si>
    <t>3542@gmail.com</t>
  </si>
  <si>
    <t>3541@pangearetail.com</t>
  </si>
  <si>
    <t>3540@hotmail.com</t>
  </si>
  <si>
    <t>3539@vurpura.com</t>
  </si>
  <si>
    <t>3538@axia-sc.es</t>
  </si>
  <si>
    <t>3537@wokanoyekos.com</t>
  </si>
  <si>
    <t>3536@azorallom.com</t>
  </si>
  <si>
    <t>3535@ra-arquitectos.com</t>
  </si>
  <si>
    <t>3534@tempranocp.com</t>
  </si>
  <si>
    <t>3533@thelab-ra.es</t>
  </si>
  <si>
    <t>3532@oneshothotels.com</t>
  </si>
  <si>
    <t>3531@mazabi.es</t>
  </si>
  <si>
    <t>3530@gmail.com</t>
  </si>
  <si>
    <t>3529@azora.es</t>
  </si>
  <si>
    <t>3528@farandahotels.com</t>
  </si>
  <si>
    <t>3527@constructoravaldivia.com</t>
  </si>
  <si>
    <t>3526@kaizenhoteles.com</t>
  </si>
  <si>
    <t>3525@madridhosteleria.com</t>
  </si>
  <si>
    <t>3524@espirea.com</t>
  </si>
  <si>
    <t>3523@abya.es</t>
  </si>
  <si>
    <t>3522@abala.es</t>
  </si>
  <si>
    <t>3521@ceremiliano.com</t>
  </si>
  <si>
    <t>3520@montero-ins.com</t>
  </si>
  <si>
    <t>3519@gmail.com</t>
  </si>
  <si>
    <t>3518@equilis.net</t>
  </si>
  <si>
    <t>3517@siantrade.es</t>
  </si>
  <si>
    <t>3516@electronicaembajadores.com</t>
  </si>
  <si>
    <t>3515@gmail.com</t>
  </si>
  <si>
    <t>3514@hotmail.com</t>
  </si>
  <si>
    <t>3513@ekido-ingenieria.com</t>
  </si>
  <si>
    <t>3512@telefonica.net</t>
  </si>
  <si>
    <t>3511@soluinstalacionesb30.es</t>
  </si>
  <si>
    <t>3510@hotmail.com</t>
  </si>
  <si>
    <t>3509@hotmail.com</t>
  </si>
  <si>
    <t>3508@lopezymendieta.es</t>
  </si>
  <si>
    <t>3507@yahoo.es</t>
  </si>
  <si>
    <t>3506@hotmail.es</t>
  </si>
  <si>
    <t>3505@jomagar-prodelec.com</t>
  </si>
  <si>
    <t>3504@mantelecsa.com</t>
  </si>
  <si>
    <t>3503@gmielectricas.com</t>
  </si>
  <si>
    <t>3502@sergin.es</t>
  </si>
  <si>
    <t>3501@gmail.com</t>
  </si>
  <si>
    <t>3500@hotmail.es</t>
  </si>
  <si>
    <t>3499@oa-ob.com</t>
  </si>
  <si>
    <t>3498@cz49arquitectos.com</t>
  </si>
  <si>
    <t>3497@elecnor.es</t>
  </si>
  <si>
    <t>3496@buitrago.org</t>
  </si>
  <si>
    <t>3495@gmail.com</t>
  </si>
  <si>
    <t>3494@gaelo.es</t>
  </si>
  <si>
    <t>3493@boadillamultiservicios.com</t>
  </si>
  <si>
    <t>3492@telefonica.net</t>
  </si>
  <si>
    <t>3491@seranco.es</t>
  </si>
  <si>
    <t>3490@gmail.com</t>
  </si>
  <si>
    <t>3489@estudioelenacampos.com</t>
  </si>
  <si>
    <t>3488@backsteen.es</t>
  </si>
  <si>
    <t>3487@mthmarquitectura.com</t>
  </si>
  <si>
    <t>3486@estudioreciente.es</t>
  </si>
  <si>
    <t>3485@gmail.com</t>
  </si>
  <si>
    <t>3484@comsa.com</t>
  </si>
  <si>
    <t>3483@altolab.es</t>
  </si>
  <si>
    <t>3482@alvargonzalez.as</t>
  </si>
  <si>
    <t>3481@gmail.com</t>
  </si>
  <si>
    <t>3480@gmail.com</t>
  </si>
  <si>
    <t>3479@gmail.com</t>
  </si>
  <si>
    <t>3478@hotmail.com</t>
  </si>
  <si>
    <t>3477@yahoo.es</t>
  </si>
  <si>
    <t>3476@gmail.com</t>
  </si>
  <si>
    <t>3475@gmail.com</t>
  </si>
  <si>
    <t>3474@hotmail.es</t>
  </si>
  <si>
    <t>3473@campoarquitectos.es</t>
  </si>
  <si>
    <t>3472@gr4.pt</t>
  </si>
  <si>
    <t>3471@kabat.es</t>
  </si>
  <si>
    <t>3470@telefonica.net</t>
  </si>
  <si>
    <t>3469@hotmail.com</t>
  </si>
  <si>
    <t>3468@juanmapozuelo.com</t>
  </si>
  <si>
    <t>3467@proyeco.es</t>
  </si>
  <si>
    <t>3466@skua.eus</t>
  </si>
  <si>
    <t>3465@rodepa.es</t>
  </si>
  <si>
    <t>3464@mouroproducciones.com</t>
  </si>
  <si>
    <t>3463@husos.info</t>
  </si>
  <si>
    <t>3462@hotmail.com</t>
  </si>
  <si>
    <t>3461@gmail.com</t>
  </si>
  <si>
    <t>3460@2romostudio.com</t>
  </si>
  <si>
    <t>3459@entasis-arquitectos.com</t>
  </si>
  <si>
    <t>3458@horecaprofesional.com</t>
  </si>
  <si>
    <t>3457@live.com</t>
  </si>
  <si>
    <t>3456@indere2000.es</t>
  </si>
  <si>
    <t>3455@yahoo.es</t>
  </si>
  <si>
    <t>3454@hotmail.com</t>
  </si>
  <si>
    <t>3453@gmail.com</t>
  </si>
  <si>
    <t>3452@gtinstalaciones.com</t>
  </si>
  <si>
    <t>3451@hotmail.es</t>
  </si>
  <si>
    <t>3450@elecnor.com</t>
  </si>
  <si>
    <t>3449@arquidea.com</t>
  </si>
  <si>
    <t>3448@stad42.com</t>
  </si>
  <si>
    <t>3447@hotmail.com</t>
  </si>
  <si>
    <t>3446@arkaproyectos.com</t>
  </si>
  <si>
    <t>3445@planteaestudio.com</t>
  </si>
  <si>
    <t>3444@hola.plutarco</t>
  </si>
  <si>
    <t>3443@gmail.com</t>
  </si>
  <si>
    <t>3442@duococinas.com</t>
  </si>
  <si>
    <t>3441@gmail.com</t>
  </si>
  <si>
    <t>3440@gmail.com</t>
  </si>
  <si>
    <t>3439@yahoo.es</t>
  </si>
  <si>
    <t>3438@visiondiez.com</t>
  </si>
  <si>
    <t>3437@construccionesebro.com</t>
  </si>
  <si>
    <t>3436@gmail.com</t>
  </si>
  <si>
    <t>3435@sonsolesbravointeriorismo.com</t>
  </si>
  <si>
    <t>3434@fortesdelsol.com</t>
  </si>
  <si>
    <t>3433@gmail.com</t>
  </si>
  <si>
    <t>3432@santamartapavimentos.com</t>
  </si>
  <si>
    <t>3431@gmail.com</t>
  </si>
  <si>
    <t>3430@msn.com</t>
  </si>
  <si>
    <t>3429@gmail.com</t>
  </si>
  <si>
    <t>3428@hotmail.es</t>
  </si>
  <si>
    <t>3427@me.com</t>
  </si>
  <si>
    <t>3426@ihp-group.com</t>
  </si>
  <si>
    <t>3425@inydom.com</t>
  </si>
  <si>
    <t>3424@biznaestudio.es</t>
  </si>
  <si>
    <t>3423@outlook.es</t>
  </si>
  <si>
    <t>3422@gmail.com</t>
  </si>
  <si>
    <t>3421@yelmocines.es</t>
  </si>
  <si>
    <t>3420@gmail.com</t>
  </si>
  <si>
    <t>3419@telefonica.net</t>
  </si>
  <si>
    <t>3418@margalara.com</t>
  </si>
  <si>
    <t>3417@gmail.com</t>
  </si>
  <si>
    <t>3416@gcong.es</t>
  </si>
  <si>
    <t>3415@ccespacios.com</t>
  </si>
  <si>
    <t>3414@yahoo.es</t>
  </si>
  <si>
    <t>3413@alvaro13.net</t>
  </si>
  <si>
    <t>3412@gmail.com</t>
  </si>
  <si>
    <t>3411@volumstudio.com</t>
  </si>
  <si>
    <t>3410@gmail.com</t>
  </si>
  <si>
    <t>3409@senda.eu</t>
  </si>
  <si>
    <t>3408@gmail.com</t>
  </si>
  <si>
    <t>3407@icloud.com</t>
  </si>
  <si>
    <t>3406@electromontajescriptana.com</t>
  </si>
  <si>
    <t>3405@gmail.com</t>
  </si>
  <si>
    <t>3404@7steps.es</t>
  </si>
  <si>
    <t>3403@movistar.es</t>
  </si>
  <si>
    <t>3402@gmail.com</t>
  </si>
  <si>
    <t>3401@myuax.com</t>
  </si>
  <si>
    <t>3400@gmail.com</t>
  </si>
  <si>
    <t>3399@gmail.com</t>
  </si>
  <si>
    <t>3398@gmail.com</t>
  </si>
  <si>
    <t>3397@gmail.com</t>
  </si>
  <si>
    <t>3396@hotmail.com</t>
  </si>
  <si>
    <t>3395@gmail.com</t>
  </si>
  <si>
    <t>3394@hotmail.es</t>
  </si>
  <si>
    <t>3393@gmail.com</t>
  </si>
  <si>
    <t>3392@franciscosegarra.es</t>
  </si>
  <si>
    <t>3391@gmail.com</t>
  </si>
  <si>
    <t>3390@elecnor.com</t>
  </si>
  <si>
    <t>3389@dazia.com</t>
  </si>
  <si>
    <t>3388@gmail.com</t>
  </si>
  <si>
    <t>3387@electrovalleinstalaciones.es</t>
  </si>
  <si>
    <t>3386@hotmail.com</t>
  </si>
  <si>
    <t>3385@gmail.com</t>
  </si>
  <si>
    <t>3384@maberconsultores.com</t>
  </si>
  <si>
    <t>3383@hotmail.com</t>
  </si>
  <si>
    <t>3382@icloud.com</t>
  </si>
  <si>
    <t>3381@hotmail.com</t>
  </si>
  <si>
    <t>3380@gmail.com</t>
  </si>
  <si>
    <t>3379@gmail.com</t>
  </si>
  <si>
    <t>3378@gmail.com</t>
  </si>
  <si>
    <t>3377@gmail.com</t>
  </si>
  <si>
    <t>3376@live.com</t>
  </si>
  <si>
    <t>3375@gmail.com</t>
  </si>
  <si>
    <t>3374@naransoluciones.com</t>
  </si>
  <si>
    <t>3373@yahoo.es</t>
  </si>
  <si>
    <t>3372@hotmail.com</t>
  </si>
  <si>
    <t>3371@parros.es</t>
  </si>
  <si>
    <t>3370@hotmail.com</t>
  </si>
  <si>
    <t>3369@hotmail.com</t>
  </si>
  <si>
    <t>3368@gmail.com</t>
  </si>
  <si>
    <t>3367@gmail.com</t>
  </si>
  <si>
    <t>3366@cscec.dz</t>
  </si>
  <si>
    <t>3365@gmail.com</t>
  </si>
  <si>
    <t>3364@gmail.com</t>
  </si>
  <si>
    <t>3363@gmail.com</t>
  </si>
  <si>
    <t>3362@hotmail.com</t>
  </si>
  <si>
    <t>3361@gmail.com</t>
  </si>
  <si>
    <t>3360@gmail.com</t>
  </si>
  <si>
    <t>3359@gmail.com</t>
  </si>
  <si>
    <t>3358@gmail.com</t>
  </si>
  <si>
    <t>3357@gmail.com</t>
  </si>
  <si>
    <t>3356@gmail.com</t>
  </si>
  <si>
    <t>3355@gmail.com</t>
  </si>
  <si>
    <t>3354@krean.com</t>
  </si>
  <si>
    <t>3353@gmail.com</t>
  </si>
  <si>
    <t>3352@gmail.com</t>
  </si>
  <si>
    <t>3351@hotmail.com</t>
  </si>
  <si>
    <t>3350@motorlandaragon.com</t>
  </si>
  <si>
    <t>3349@soniprodj.com</t>
  </si>
  <si>
    <t>3348@hotmail.com</t>
  </si>
  <si>
    <t>3347@reformasjm.es</t>
  </si>
  <si>
    <t>3346@rehabitarte.es</t>
  </si>
  <si>
    <t>3345@arquinatura.net</t>
  </si>
  <si>
    <t>3344@gmail.com</t>
  </si>
  <si>
    <t>3343@tuelectricistamadrid.net</t>
  </si>
  <si>
    <t>3322@gmail.com</t>
  </si>
  <si>
    <t>3297@hotmail.com</t>
  </si>
  <si>
    <t>3284@efimarket.com</t>
  </si>
  <si>
    <t>3275@hotmail.com</t>
  </si>
  <si>
    <t>3240@gmail.com</t>
  </si>
  <si>
    <t>324@onsaze.es</t>
  </si>
  <si>
    <t>3199@gmail.com</t>
  </si>
  <si>
    <t>3193@metalux.es</t>
  </si>
  <si>
    <t>3190@aprenergia.es</t>
  </si>
  <si>
    <t>3170@hotmail.com</t>
  </si>
  <si>
    <t>3160@yahoo.com</t>
  </si>
  <si>
    <t>3157@hotmail.com</t>
  </si>
  <si>
    <t>3148@gmail.com</t>
  </si>
  <si>
    <t>3098@soc.redcitroen.com</t>
  </si>
  <si>
    <t>3096@hotmail.com</t>
  </si>
  <si>
    <t>3089@yahoo.es</t>
  </si>
  <si>
    <t>3086@gmail.com</t>
  </si>
  <si>
    <t>3052@elecnor.com</t>
  </si>
  <si>
    <t>3049@suris.es</t>
  </si>
  <si>
    <t>3046@gmail.com</t>
  </si>
  <si>
    <t>3040@icloud.com</t>
  </si>
  <si>
    <t>3037@gmail.com</t>
  </si>
  <si>
    <t>3026@gmail.com</t>
  </si>
  <si>
    <t>3025@ingenierosvigo.com</t>
  </si>
  <si>
    <t>3018@hotmail.com</t>
  </si>
  <si>
    <t>3012@diegodiazlopez.com</t>
  </si>
  <si>
    <t>2983@hotmail.com</t>
  </si>
  <si>
    <t>2971@gmail.com</t>
  </si>
  <si>
    <t>2966@gmail.com</t>
  </si>
  <si>
    <t>296@gmail.com</t>
  </si>
  <si>
    <t>2959@instalacionesfb.com</t>
  </si>
  <si>
    <t>2958@gmail.com</t>
  </si>
  <si>
    <t>2950@telematel.com</t>
  </si>
  <si>
    <t>2945@gmail.com</t>
  </si>
  <si>
    <t>2931@telefonica.net</t>
  </si>
  <si>
    <t>2919@gmail.com</t>
  </si>
  <si>
    <t>2914@aldaproyectos.es</t>
  </si>
  <si>
    <t>2879@hbalcells.com</t>
  </si>
  <si>
    <t>2874@broa.net</t>
  </si>
  <si>
    <t>2871@assinsta.com</t>
  </si>
  <si>
    <t>2860@soltecingenieros.com</t>
  </si>
  <si>
    <t>2830@mequintana.com</t>
  </si>
  <si>
    <t>2824@gmail.com</t>
  </si>
  <si>
    <t>2810@sensorstecnics.net</t>
  </si>
  <si>
    <t>2793@gmail.com</t>
  </si>
  <si>
    <t>2787@grupocematel.com</t>
  </si>
  <si>
    <t>278@urbaser.com</t>
  </si>
  <si>
    <t>2765@gmail.com</t>
  </si>
  <si>
    <t>2764@gmail.com</t>
  </si>
  <si>
    <t>2749@gmail.com</t>
  </si>
  <si>
    <t>2731@gmail.com</t>
  </si>
  <si>
    <t>273@gmail.com</t>
  </si>
  <si>
    <t>2684@hotmail.com</t>
  </si>
  <si>
    <t>2680@copitima.com</t>
  </si>
  <si>
    <t>2679@hotmail.com</t>
  </si>
  <si>
    <t>267@fiberlec.com</t>
  </si>
  <si>
    <t>2664@gmail.com</t>
  </si>
  <si>
    <t>2619@gmail.com</t>
  </si>
  <si>
    <t>260@hotmail.com</t>
  </si>
  <si>
    <t>2584@sistemasdeenergia.es</t>
  </si>
  <si>
    <t>250@inacces.com</t>
  </si>
  <si>
    <t>2490@mantenencies.com</t>
  </si>
  <si>
    <t>245@gmail.com</t>
  </si>
  <si>
    <t>2442@gmail.com</t>
  </si>
  <si>
    <t>242@outlook.es</t>
  </si>
  <si>
    <t>2408@me.com</t>
  </si>
  <si>
    <t>239@alfadesarrollo.com</t>
  </si>
  <si>
    <t>2366@energies.cat</t>
  </si>
  <si>
    <t>2330@gmail.com</t>
  </si>
  <si>
    <t>2299@protele.es</t>
  </si>
  <si>
    <t>2283@hotmail.com</t>
  </si>
  <si>
    <t>2229@enerluz.es</t>
  </si>
  <si>
    <t>2218@gmx.es</t>
  </si>
  <si>
    <t>2208@wp.pl</t>
  </si>
  <si>
    <t>2152@igkarratu.com</t>
  </si>
  <si>
    <t>2140@gmail.com</t>
  </si>
  <si>
    <t>213@guidogroup.com</t>
  </si>
  <si>
    <t>2124@gmail.com</t>
  </si>
  <si>
    <t>212@gmail.com</t>
  </si>
  <si>
    <t>2119@gmail.com</t>
  </si>
  <si>
    <t>2110@ingeconsulting.com</t>
  </si>
  <si>
    <t>2109@huelvanorte.es</t>
  </si>
  <si>
    <t>2083@gmail.com</t>
  </si>
  <si>
    <t>2082@hotmail.com</t>
  </si>
  <si>
    <t>2074@hotmail.com</t>
  </si>
  <si>
    <t>207@tecnicasyrecursos.com</t>
  </si>
  <si>
    <t>2057@gmail.com</t>
  </si>
  <si>
    <t>2032@masalo.biz</t>
  </si>
  <si>
    <t>2029@sonepar.es</t>
  </si>
  <si>
    <t>201@gmail.com</t>
  </si>
  <si>
    <t>1965@tienda-gasnatural.com</t>
  </si>
  <si>
    <t>1940@electromercantil.es</t>
  </si>
  <si>
    <t>1930@gmail.com</t>
  </si>
  <si>
    <t>1901@gmail.com</t>
  </si>
  <si>
    <t>19@grupoespacioindustrial.com</t>
  </si>
  <si>
    <t>185@asintec.info</t>
  </si>
  <si>
    <t>1800@hotmail.com</t>
  </si>
  <si>
    <t>1695@gruponortica.com</t>
  </si>
  <si>
    <t>1687@gestilar.com</t>
  </si>
  <si>
    <t>1626@adaliaradio.com</t>
  </si>
  <si>
    <t>1607@talesingenieria.es</t>
  </si>
  <si>
    <t>1603@gmail.com</t>
  </si>
  <si>
    <t>1559@strong.es</t>
  </si>
  <si>
    <t>1535@hotmail.com</t>
  </si>
  <si>
    <t>1515@expertline.es</t>
  </si>
  <si>
    <t>1510@adelanteenergia.es</t>
  </si>
  <si>
    <t>151@gmail.com</t>
  </si>
  <si>
    <t>1498@gmail.com</t>
  </si>
  <si>
    <t>1482@gmail.com</t>
  </si>
  <si>
    <t>1454@yahoo.es</t>
  </si>
  <si>
    <t>1433@apeme.es</t>
  </si>
  <si>
    <t>1414@gmail.com</t>
  </si>
  <si>
    <t>1411@ujaen.es</t>
  </si>
  <si>
    <t>140@yahoo.es</t>
  </si>
  <si>
    <t>1369@atribal.es</t>
  </si>
  <si>
    <t>1295@hotmail.es</t>
  </si>
  <si>
    <t>1273@telefonica.net</t>
  </si>
  <si>
    <t>1268@gamai.com</t>
  </si>
  <si>
    <t>1237@gmail.com</t>
  </si>
  <si>
    <t>1233@hotmail.com</t>
  </si>
  <si>
    <t>1226@agiceringenieros.es</t>
  </si>
  <si>
    <t>122@tecnimed.net</t>
  </si>
  <si>
    <t>12@gmail.com</t>
  </si>
  <si>
    <t>1117@hotmail.com</t>
  </si>
  <si>
    <t>1111@hotmail.com</t>
  </si>
  <si>
    <t>1108@enginyerstarragona.cat</t>
  </si>
  <si>
    <t>1104@gmail.com</t>
  </si>
  <si>
    <t>1089@gmail.com</t>
  </si>
  <si>
    <t>1079@outlook.es</t>
  </si>
  <si>
    <t>1075@gmail.com</t>
  </si>
  <si>
    <t>1064@abxat.com</t>
  </si>
  <si>
    <t>1039@yahoo.es</t>
  </si>
  <si>
    <t>1021@proturhotels.com</t>
  </si>
  <si>
    <t>Nombre de la campaña</t>
  </si>
  <si>
    <t>Id. de lead/contacto</t>
  </si>
  <si>
    <t>Fecha de primera asociación de miembro</t>
  </si>
  <si>
    <t>Tipo de lead</t>
  </si>
  <si>
    <t>CTC PRVE</t>
  </si>
  <si>
    <t>0031i00000VEAAT</t>
  </si>
  <si>
    <t>Contacto</t>
  </si>
  <si>
    <t>00Q1i000003ivzK</t>
  </si>
  <si>
    <t>Lead</t>
  </si>
  <si>
    <t>00Q1i000003ivAF</t>
  </si>
  <si>
    <t>00Q1i000003jI02</t>
  </si>
  <si>
    <t>00Q1i000003jzWN</t>
  </si>
  <si>
    <t>00Q1i000003kfLe</t>
  </si>
  <si>
    <t>3133@danfar.com</t>
  </si>
  <si>
    <t>00Q1i0000058daL</t>
  </si>
  <si>
    <t>3065@sarria.salesians.cat</t>
  </si>
  <si>
    <t>00Q1i000003ggvJ</t>
  </si>
  <si>
    <t>4692@guamar.es</t>
  </si>
  <si>
    <t>0031i00000KuyMz</t>
  </si>
  <si>
    <t>352@live.com.mx</t>
  </si>
  <si>
    <t>0031i00000KvEzB</t>
  </si>
  <si>
    <t>2311@deluxson.com</t>
  </si>
  <si>
    <t>0031i00000VCYyc</t>
  </si>
  <si>
    <t>3156@gmail.com</t>
  </si>
  <si>
    <t>0031i00000Wkqk8</t>
  </si>
  <si>
    <t>00Q1i000002eMRl</t>
  </si>
  <si>
    <t>690@dllgroup.com</t>
  </si>
  <si>
    <t>00Q1i000004osUT</t>
  </si>
  <si>
    <t>0031i00000KuxaT</t>
  </si>
  <si>
    <t>770@inmotiza.com</t>
  </si>
  <si>
    <t>0031i00000PlHtk</t>
  </si>
  <si>
    <t>4693@gmail.com</t>
  </si>
  <si>
    <t>00Q1i000003hHmD</t>
  </si>
  <si>
    <t>4694@gmail.com</t>
  </si>
  <si>
    <t>00Q1i000005aCB6</t>
  </si>
  <si>
    <t>563@salesianospamplona.net</t>
  </si>
  <si>
    <t>00Q1i000003kRrp</t>
  </si>
  <si>
    <t>0031i00000Kv1QW</t>
  </si>
  <si>
    <t>3036@romeroycantalejo.com</t>
  </si>
  <si>
    <t>0031i00000Kve9G</t>
  </si>
  <si>
    <t>4695@muntanerelectro.com</t>
  </si>
  <si>
    <t>00Q1i000002eMPO</t>
  </si>
  <si>
    <t>1092@cipfpcanastell.com</t>
  </si>
  <si>
    <t>00Q1i000002eMRA</t>
  </si>
  <si>
    <t>313@inelbo.eiffage.es</t>
  </si>
  <si>
    <t>00Q1i000003kSmx</t>
  </si>
  <si>
    <t>00Q1i000005amQz</t>
  </si>
  <si>
    <t>00Q1i000005burU</t>
  </si>
  <si>
    <t>2035@yahoo.es</t>
  </si>
  <si>
    <t>0031i00000W91ye</t>
  </si>
  <si>
    <t>0031i00000WjmXM</t>
  </si>
  <si>
    <t>00Q1i000003iA5c</t>
  </si>
  <si>
    <t>4696@gmail.com</t>
  </si>
  <si>
    <t>00Q1i000003jTKM</t>
  </si>
  <si>
    <t>00Q1i000005anYL</t>
  </si>
  <si>
    <t>0031i00000Kv32Q</t>
  </si>
  <si>
    <t>2369@cataliaga.com</t>
  </si>
  <si>
    <t>00Q1i000003irHw</t>
  </si>
  <si>
    <t>00Q1i000003kP43</t>
  </si>
  <si>
    <t>0031i00000Kv6fw</t>
  </si>
  <si>
    <t>2844@alamos.es</t>
  </si>
  <si>
    <t>0031i00000LDms8</t>
  </si>
  <si>
    <t>2674@coar.es</t>
  </si>
  <si>
    <t>0031i00000Witg8</t>
  </si>
  <si>
    <t>0031i00000YuzFI</t>
  </si>
  <si>
    <t>00Q1i000002evtO</t>
  </si>
  <si>
    <t>377@nouges.es</t>
  </si>
  <si>
    <t>00Q1i000002f847</t>
  </si>
  <si>
    <t>4697@yahoo.es</t>
  </si>
  <si>
    <t>00Q1i000004yq8x</t>
  </si>
  <si>
    <t>2498@adtelcom.es</t>
  </si>
  <si>
    <t>00Q1i000005amvi</t>
  </si>
  <si>
    <t>0031i00000Kup8J</t>
  </si>
  <si>
    <t>587@gescogestio.com</t>
  </si>
  <si>
    <t>0031i00000KurLB</t>
  </si>
  <si>
    <t>4698@ingenieriaconforma.com</t>
  </si>
  <si>
    <t>0031i00000KvCCV</t>
  </si>
  <si>
    <t>4699@telefonica.net</t>
  </si>
  <si>
    <t>0031i00000T8ERB</t>
  </si>
  <si>
    <t>0031i00000XSCdk</t>
  </si>
  <si>
    <t>0031i00000YuSc6</t>
  </si>
  <si>
    <t>00Q1i000003hawC</t>
  </si>
  <si>
    <t>2278@gmail.com</t>
  </si>
  <si>
    <t>00Q1i000003kVx3</t>
  </si>
  <si>
    <t>00Q1i000005bunX</t>
  </si>
  <si>
    <t>802@hotmail.com</t>
  </si>
  <si>
    <t>0031i00000KuzNj</t>
  </si>
  <si>
    <t>4700@grupoacm.es</t>
  </si>
  <si>
    <t>0031i00000KvDpX</t>
  </si>
  <si>
    <t>1593@gmail.com</t>
  </si>
  <si>
    <t>0031i00000LDnyU</t>
  </si>
  <si>
    <t>4701@coiim.es</t>
  </si>
  <si>
    <t>0031i00000W90yn</t>
  </si>
  <si>
    <t>0031i00000YvFS7</t>
  </si>
  <si>
    <t>00Q1i000002evsk</t>
  </si>
  <si>
    <t>1756@gmail.com</t>
  </si>
  <si>
    <t>00Q1i000002f83q</t>
  </si>
  <si>
    <t>4702@hotmail.com</t>
  </si>
  <si>
    <t>00Q1i000003hc11</t>
  </si>
  <si>
    <t>4703@gmail.com</t>
  </si>
  <si>
    <t>00Q1i000003i48j</t>
  </si>
  <si>
    <t>4704@gruponovelec.com</t>
  </si>
  <si>
    <t>00Q1i000003irIk</t>
  </si>
  <si>
    <t>00Q1i000003ivBG</t>
  </si>
  <si>
    <t>00Q1i000003iwJA</t>
  </si>
  <si>
    <t>2828@coaatz.org</t>
  </si>
  <si>
    <t>00Q1i000003kNIt</t>
  </si>
  <si>
    <t>649@yahoo.es</t>
  </si>
  <si>
    <t>00Q1i000003kQcf</t>
  </si>
  <si>
    <t>00Q1i000005bup9</t>
  </si>
  <si>
    <t>00Q1i000002f83a</t>
  </si>
  <si>
    <t>1235@gmail.com</t>
  </si>
  <si>
    <t>00Q1i000003iwOP</t>
  </si>
  <si>
    <t>00Q1i000005akkI</t>
  </si>
  <si>
    <t>00Q1i000005amyc</t>
  </si>
  <si>
    <t>0031i00000KuteI</t>
  </si>
  <si>
    <t>4705@jssassociats.com</t>
  </si>
  <si>
    <t>0031i00000KvI9b</t>
  </si>
  <si>
    <t>4706@construccionesalma.com</t>
  </si>
  <si>
    <t>0031i00000PoLIT</t>
  </si>
  <si>
    <t>1826@gestionservicios.com</t>
  </si>
  <si>
    <t>0031i00000T7dRJ</t>
  </si>
  <si>
    <t>3033@gmail.com</t>
  </si>
  <si>
    <t>00Q1i000002ezfq</t>
  </si>
  <si>
    <t>4707@ilumarket.com.mx</t>
  </si>
  <si>
    <t>00Q1i000002f83v</t>
  </si>
  <si>
    <t>4708@logrosan.es</t>
  </si>
  <si>
    <t>00Q1i000003ghBf</t>
  </si>
  <si>
    <t>4709@gmail.com</t>
  </si>
  <si>
    <t>00Q1i000003iwOy</t>
  </si>
  <si>
    <t>4710@hotmail.com</t>
  </si>
  <si>
    <t>0031i00000Kumz5</t>
  </si>
  <si>
    <t>623@gmail.com</t>
  </si>
  <si>
    <t>0031i00000KuoJX</t>
  </si>
  <si>
    <t>4711@hotmail.com</t>
  </si>
  <si>
    <t>0031i00000QhVd9</t>
  </si>
  <si>
    <t>4712@yahoo.es</t>
  </si>
  <si>
    <t>0031i00000QjBax</t>
  </si>
  <si>
    <t>4713@enviroline.es</t>
  </si>
  <si>
    <t>00Q1i000003h0HC</t>
  </si>
  <si>
    <t>4714@gmail.com</t>
  </si>
  <si>
    <t>00Q1i000003hFSr</t>
  </si>
  <si>
    <t>4715@chemacampos.com</t>
  </si>
  <si>
    <t>00Q1i000003kc9H</t>
  </si>
  <si>
    <t>3139@coitt.es</t>
  </si>
  <si>
    <t>00Q1i000005al6E</t>
  </si>
  <si>
    <t>00Q1i000005amrg</t>
  </si>
  <si>
    <t>00Q1i000005ams5</t>
  </si>
  <si>
    <t>0031i00000Kukx3</t>
  </si>
  <si>
    <t>2935@hotellosllanos.es</t>
  </si>
  <si>
    <t>0031i00000KulWC</t>
  </si>
  <si>
    <t>757@integra-sti.com</t>
  </si>
  <si>
    <t>0031i00000Kv3yX</t>
  </si>
  <si>
    <t>4716@josepblesa.com</t>
  </si>
  <si>
    <t>0031i00000KvFAQ</t>
  </si>
  <si>
    <t>4717@sinergiaenergia.com</t>
  </si>
  <si>
    <t>0031i00000KvFkB</t>
  </si>
  <si>
    <t>2372@gmail.com</t>
  </si>
  <si>
    <t>0031i00000SUUmR</t>
  </si>
  <si>
    <t>00Q1i000002eMQl</t>
  </si>
  <si>
    <t>4718@gmail.com</t>
  </si>
  <si>
    <t>00Q1i000002euDH</t>
  </si>
  <si>
    <t>4719@hthomassen.com</t>
  </si>
  <si>
    <t>00Q1i000002f849</t>
  </si>
  <si>
    <t>4720@hotmail.com</t>
  </si>
  <si>
    <t>00Q1i000003h6Ma</t>
  </si>
  <si>
    <t>4721@hotmail.com</t>
  </si>
  <si>
    <t>00Q1i000003irIl</t>
  </si>
  <si>
    <t>00Q1i000003ivB6</t>
  </si>
  <si>
    <t>4722@gmail.com</t>
  </si>
  <si>
    <t>00Q1i000005ZHng</t>
  </si>
  <si>
    <t>00Q1i000005alAf</t>
  </si>
  <si>
    <t>00Q1i000005amua</t>
  </si>
  <si>
    <t>00Q1i000005b6K2</t>
  </si>
  <si>
    <t>0031i00000KukoG</t>
  </si>
  <si>
    <t>847@lodeal.es</t>
  </si>
  <si>
    <t>0031i00000Kutj1</t>
  </si>
  <si>
    <t>2970@sonepar.es</t>
  </si>
  <si>
    <t>0031i00000KuvBt</t>
  </si>
  <si>
    <t>611@santacruzdetenerife.es</t>
  </si>
  <si>
    <t>0031i00000KvBrE</t>
  </si>
  <si>
    <t>4723@gmail.com</t>
  </si>
  <si>
    <t>0031i00000KvG5V</t>
  </si>
  <si>
    <t>1516@gmail.com</t>
  </si>
  <si>
    <t>0031i00000KvHCX</t>
  </si>
  <si>
    <t>2995@suris.es</t>
  </si>
  <si>
    <t>0031i00000Kvfxy</t>
  </si>
  <si>
    <t>2806@jdingenieria.com</t>
  </si>
  <si>
    <t>0031i00000PlDHy</t>
  </si>
  <si>
    <t>3001@gmail.com</t>
  </si>
  <si>
    <t>0031i00000SW1et</t>
  </si>
  <si>
    <t>0031i00000W9iaG</t>
  </si>
  <si>
    <t>0031i00000XPb8g</t>
  </si>
  <si>
    <t>00Q1i000002eMEY</t>
  </si>
  <si>
    <t>2338@gmail.com</t>
  </si>
  <si>
    <t>00Q1i000002eMOm</t>
  </si>
  <si>
    <t>643@gmail.com</t>
  </si>
  <si>
    <t>00Q1i000002eNay</t>
  </si>
  <si>
    <t>1628@solbesingenieros.com</t>
  </si>
  <si>
    <t>00Q1i000003h7zw</t>
  </si>
  <si>
    <t>4724@gmail.com</t>
  </si>
  <si>
    <t>00Q1i000003hep7</t>
  </si>
  <si>
    <t>4725@iftem.com</t>
  </si>
  <si>
    <t>00Q1i000003hm4l</t>
  </si>
  <si>
    <t>4726@hotmail.com</t>
  </si>
  <si>
    <t>00Q1i000003ivA7</t>
  </si>
  <si>
    <t>00Q1i000003ivA9</t>
  </si>
  <si>
    <t>00Q1i000003ivAB</t>
  </si>
  <si>
    <t>00Q1i000003iwPJ</t>
  </si>
  <si>
    <t>4727@ponferrada.org</t>
  </si>
  <si>
    <t>00Q1i000003k0Nv</t>
  </si>
  <si>
    <t>00Q1i000003k4EM</t>
  </si>
  <si>
    <t>00Q1i000004lf4g</t>
  </si>
  <si>
    <t>3130@gmail.com</t>
  </si>
  <si>
    <t>00Q1i0000051G7w</t>
  </si>
  <si>
    <t>00Q1i000005al2W</t>
  </si>
  <si>
    <t>0031i00000KuttU</t>
  </si>
  <si>
    <t>1051@gmail.com</t>
  </si>
  <si>
    <t>00Q1i000002eNfJ</t>
  </si>
  <si>
    <t>2209@elecem.es</t>
  </si>
  <si>
    <t>00Q1i000005bsAu</t>
  </si>
  <si>
    <t>00Q1i000002eNj2</t>
  </si>
  <si>
    <t>24@gmail.com</t>
  </si>
  <si>
    <t>00Q1i000005bl3o</t>
  </si>
  <si>
    <t>0031i00000eehuL</t>
  </si>
  <si>
    <t>00Q1i000005bame</t>
  </si>
  <si>
    <t>00Q1i000005baGI</t>
  </si>
  <si>
    <t>00Q1i000005bZ6C</t>
  </si>
  <si>
    <t>00Q1i000005bYpf</t>
  </si>
  <si>
    <t>00Q1i000005bYke</t>
  </si>
  <si>
    <t>0031i00000eeik9</t>
  </si>
  <si>
    <t>00Q1i000005bYH8</t>
  </si>
  <si>
    <t>00Q1i000005bX5V</t>
  </si>
  <si>
    <t>0031i00000Kuu2g</t>
  </si>
  <si>
    <t>249@herreroingenieros.com</t>
  </si>
  <si>
    <t>00Q1i000005bVnG</t>
  </si>
  <si>
    <t>0031i00000Kunw3</t>
  </si>
  <si>
    <t>985@jesnar2011.es</t>
  </si>
  <si>
    <t>00Q1i000005bRop</t>
  </si>
  <si>
    <t>00Q1i000005bRM2</t>
  </si>
  <si>
    <t>00Q1i000005bRIe</t>
  </si>
  <si>
    <t>00Q1i000003ivgl</t>
  </si>
  <si>
    <t>0031i00000Kuqo9</t>
  </si>
  <si>
    <t>3032@gmail.com</t>
  </si>
  <si>
    <t>00Q1i000005bGQC</t>
  </si>
  <si>
    <t>00Q1i000005bAZk</t>
  </si>
  <si>
    <t>00Q1i000005b8K9</t>
  </si>
  <si>
    <t>00Q1i000005b7Zw</t>
  </si>
  <si>
    <t>00Q1i000005b73D</t>
  </si>
  <si>
    <t>00Q1i000005b6Ji</t>
  </si>
  <si>
    <t>00Q1i000005b61t</t>
  </si>
  <si>
    <t>454@gmail.com</t>
  </si>
  <si>
    <t>00Q1i000005b3Ui</t>
  </si>
  <si>
    <t>00Q1i000005b3TL</t>
  </si>
  <si>
    <t>0031i00000Kv7Gn</t>
  </si>
  <si>
    <t>481@gmail.com</t>
  </si>
  <si>
    <t>00Q1i000005as2L</t>
  </si>
  <si>
    <t>00Q1i000005areO</t>
  </si>
  <si>
    <t>00Q1i000005aqLs</t>
  </si>
  <si>
    <t>00Q1i000002eNXa</t>
  </si>
  <si>
    <t>569@hotmail.com</t>
  </si>
  <si>
    <t>00Q1i000005apD4</t>
  </si>
  <si>
    <t>00Q1i000005aoxu</t>
  </si>
  <si>
    <t>0031i00000KvCzY</t>
  </si>
  <si>
    <t>615@iealcazar.com</t>
  </si>
  <si>
    <t>00Q1i000005aoCj</t>
  </si>
  <si>
    <t>00Q1i000005ao83</t>
  </si>
  <si>
    <t>00Q1i000005anEB</t>
  </si>
  <si>
    <t>701@gmail.com</t>
  </si>
  <si>
    <t>0031i00000Ywa9o</t>
  </si>
  <si>
    <t>0031i00000YvcVm</t>
  </si>
  <si>
    <t>0031i00000KvC9i</t>
  </si>
  <si>
    <t>733@gmail.com</t>
  </si>
  <si>
    <t>0031i00000Yucbj</t>
  </si>
  <si>
    <t>0031i00000Kv2qx</t>
  </si>
  <si>
    <t>3028@gmail.com</t>
  </si>
  <si>
    <t>00Q1i000005amcq</t>
  </si>
  <si>
    <t>0031i00000Kut3W</t>
  </si>
  <si>
    <t>957@germaniaweb.com</t>
  </si>
  <si>
    <t>00Q1i000005amRx</t>
  </si>
  <si>
    <t>00Q1i000005amGf</t>
  </si>
  <si>
    <t>0031i00000WmfTC</t>
  </si>
  <si>
    <t>0031i00000Kuupk</t>
  </si>
  <si>
    <t>3030@a6ingenieria.es</t>
  </si>
  <si>
    <t>00Q1i000005alE8</t>
  </si>
  <si>
    <t>00Q1i000005al8j</t>
  </si>
  <si>
    <t>00Q1i000005akS9</t>
  </si>
  <si>
    <t>0031i00000Kv1Ub</t>
  </si>
  <si>
    <t>789@simsabdn.cat</t>
  </si>
  <si>
    <t>00Q1i000005ai29</t>
  </si>
  <si>
    <t>00Q1i000005ahnv</t>
  </si>
  <si>
    <t>00Q1i000005ahUo</t>
  </si>
  <si>
    <t>00Q1i000005ah7m</t>
  </si>
  <si>
    <t>00Q1i000005aevI</t>
  </si>
  <si>
    <t>0031i00000Kute6</t>
  </si>
  <si>
    <t>217@esypro.net</t>
  </si>
  <si>
    <t>0031i00000WkCPX</t>
  </si>
  <si>
    <t>3038@hotmail.com</t>
  </si>
  <si>
    <t>00Q1i000005abK9</t>
  </si>
  <si>
    <t>00Q1i000005aVsR</t>
  </si>
  <si>
    <t>00Q1i000005aVQ8</t>
  </si>
  <si>
    <t>0031i00000XRw9V</t>
  </si>
  <si>
    <t>00Q1i000005aUdJ</t>
  </si>
  <si>
    <t>00Q1i000005aQzk</t>
  </si>
  <si>
    <t>0031i00000KuxnF</t>
  </si>
  <si>
    <t>1004@telefonica.net</t>
  </si>
  <si>
    <t>00Q1i000005aM9l</t>
  </si>
  <si>
    <t>00Q1i000005aL7Z</t>
  </si>
  <si>
    <t>0031i00000gsHza</t>
  </si>
  <si>
    <t>00Q1i000005aK3q</t>
  </si>
  <si>
    <t>00Q1i000005aJx4</t>
  </si>
  <si>
    <t>00Q1i000002eMF7</t>
  </si>
  <si>
    <t>4728@birtes.com.tr</t>
  </si>
  <si>
    <t>0031i00000KvB83</t>
  </si>
  <si>
    <t>1265@hotmail.com</t>
  </si>
  <si>
    <t>0031i00000KvAUg</t>
  </si>
  <si>
    <t>0031i00000Kv88H</t>
  </si>
  <si>
    <t>1284@gmail.com</t>
  </si>
  <si>
    <t>00Q1i000005aIvM</t>
  </si>
  <si>
    <t>0031i00000Kvdyr</t>
  </si>
  <si>
    <t>1391@grupojab.es</t>
  </si>
  <si>
    <t>0031i00000KuoWg</t>
  </si>
  <si>
    <t>187@castelyfernandez.es</t>
  </si>
  <si>
    <t>00Q1i000005aInm</t>
  </si>
  <si>
    <t>00Q1i000003ivAP</t>
  </si>
  <si>
    <t>0031i00000Kum4d</t>
  </si>
  <si>
    <t>374@copitima.com</t>
  </si>
  <si>
    <t>0031i00000XQvpE</t>
  </si>
  <si>
    <t>00Q1i000005aIeP</t>
  </si>
  <si>
    <t>00Q1i000002eMJ0</t>
  </si>
  <si>
    <t>1602@gmail.com</t>
  </si>
  <si>
    <t>00Q1i000005aIcJ</t>
  </si>
  <si>
    <t>0031i00000Kuy0j</t>
  </si>
  <si>
    <t>1614@electronalon.es</t>
  </si>
  <si>
    <t>00Q1i000005aIbf</t>
  </si>
  <si>
    <t>00Q1i000003hoeB</t>
  </si>
  <si>
    <t>1635@arevoltapc.com</t>
  </si>
  <si>
    <t>0031i00000KuzF5</t>
  </si>
  <si>
    <t>647@apis-ing.es</t>
  </si>
  <si>
    <t>0031i00000KvEVl</t>
  </si>
  <si>
    <t>380@acp-level.es</t>
  </si>
  <si>
    <t>0031i00000LDnLI</t>
  </si>
  <si>
    <t>1673@gailmafra.com</t>
  </si>
  <si>
    <t>00Q1i000005aIaW</t>
  </si>
  <si>
    <t>0031i00000KvC2r</t>
  </si>
  <si>
    <t>1716@fuengiroluz.es</t>
  </si>
  <si>
    <t>0031i00000Kv71r</t>
  </si>
  <si>
    <t>1728@gmail.com</t>
  </si>
  <si>
    <t>0031i00000Kuk41</t>
  </si>
  <si>
    <t>1778@gmail.com</t>
  </si>
  <si>
    <t>00Q1i000005aIYQ</t>
  </si>
  <si>
    <t>00Q1i000003jrQi</t>
  </si>
  <si>
    <t>00Q1i000005aEGm</t>
  </si>
  <si>
    <t>00Q1i000005aCOF</t>
  </si>
  <si>
    <t>0031i00000Kv2IR</t>
  </si>
  <si>
    <t>1675@exinor.com</t>
  </si>
  <si>
    <t>00Q1i000005aCFS</t>
  </si>
  <si>
    <t>00Q1i000005aCEj</t>
  </si>
  <si>
    <t>0031i00000XPE4p</t>
  </si>
  <si>
    <t>0031i00000Wmt2s</t>
  </si>
  <si>
    <t>00Q1i000005aBxn</t>
  </si>
  <si>
    <t>00Q1i000005ZHUA</t>
  </si>
  <si>
    <t>00Q1i000005YUuT</t>
  </si>
  <si>
    <t>1397@olibayas.net</t>
  </si>
  <si>
    <t>0031i00000XP1Od</t>
  </si>
  <si>
    <t>00Q1i000005Xhja</t>
  </si>
  <si>
    <t>2076@gmail.com</t>
  </si>
  <si>
    <t>00Q1i000005XgmV</t>
  </si>
  <si>
    <t>1443@hotmail.com</t>
  </si>
  <si>
    <t>00Q1i000005WuRX</t>
  </si>
  <si>
    <t>00Q1i000005VI1X</t>
  </si>
  <si>
    <t>2097@hotmail.com</t>
  </si>
  <si>
    <t>0031i00000WlTAa</t>
  </si>
  <si>
    <t>0031i00000WlSmf</t>
  </si>
  <si>
    <t>00Q1i000005UUe7</t>
  </si>
  <si>
    <t>2112@gmail.com</t>
  </si>
  <si>
    <t>00Q1i000005TiA2</t>
  </si>
  <si>
    <t>808@ale.es</t>
  </si>
  <si>
    <t>0031i00000KuqTU</t>
  </si>
  <si>
    <t>00Q1i000005Suex</t>
  </si>
  <si>
    <t>0031i00000WlQ2E</t>
  </si>
  <si>
    <t>00Q1i000005N8PO</t>
  </si>
  <si>
    <t>2128@gmail.com</t>
  </si>
  <si>
    <t>0031i00000XPE4e</t>
  </si>
  <si>
    <t>00Q1i000005KmZI</t>
  </si>
  <si>
    <t>2150@yahoo.es</t>
  </si>
  <si>
    <t>0031i00000Wjwsc</t>
  </si>
  <si>
    <t>3047@gmail.com</t>
  </si>
  <si>
    <t>00Q1i000005Cc69</t>
  </si>
  <si>
    <t>2195@yahoo.es</t>
  </si>
  <si>
    <t>00Q1i000005Bp3k</t>
  </si>
  <si>
    <t>00Q1i000005B2Nr</t>
  </si>
  <si>
    <t>00Q1i000005B1o1</t>
  </si>
  <si>
    <t>3201@sub-vidayfoto.com</t>
  </si>
  <si>
    <t>0031i00000Wl9pn</t>
  </si>
  <si>
    <t>0031i00000XP2u1</t>
  </si>
  <si>
    <t>0031i00000KvCTA</t>
  </si>
  <si>
    <t>2252@energestic.es</t>
  </si>
  <si>
    <t>0031i00000KuttT</t>
  </si>
  <si>
    <t>00Q1i000002f83k</t>
  </si>
  <si>
    <t>2284@gmail.com</t>
  </si>
  <si>
    <t>00Q1i000004zfZd</t>
  </si>
  <si>
    <t>00Q1i000004zfWy</t>
  </si>
  <si>
    <t>2329@hotmail.com</t>
  </si>
  <si>
    <t>00Q1i000004zfWj</t>
  </si>
  <si>
    <t>00Q1i000004zetW</t>
  </si>
  <si>
    <t>2388@gmail.com</t>
  </si>
  <si>
    <t>00Q1i000004zel3</t>
  </si>
  <si>
    <t>0031i00000W9r66</t>
  </si>
  <si>
    <t>0031i00000KvINo</t>
  </si>
  <si>
    <t>2440@imanzanera.com</t>
  </si>
  <si>
    <t>00Q1i000004liEv</t>
  </si>
  <si>
    <t>00Q1i000004lhZk</t>
  </si>
  <si>
    <t>2483@gmail.com</t>
  </si>
  <si>
    <t>00Q1i000004lffm</t>
  </si>
  <si>
    <t>00Q1i000002eNwD</t>
  </si>
  <si>
    <t>1377@hotmail.com</t>
  </si>
  <si>
    <t>00Q1i000003jLHu</t>
  </si>
  <si>
    <t>1654@movinetenergia.com</t>
  </si>
  <si>
    <t>00Q1i000002eO0w</t>
  </si>
  <si>
    <t>2530@galimar.com.es</t>
  </si>
  <si>
    <t>0031i00000VDUoc</t>
  </si>
  <si>
    <t>0031i00000Kv6P7</t>
  </si>
  <si>
    <t>2531@arquitecturaygestion.com</t>
  </si>
  <si>
    <t>0031i00000Kv0o9</t>
  </si>
  <si>
    <t>2607@hotmail.com</t>
  </si>
  <si>
    <t>00Q1i000003kZ2P</t>
  </si>
  <si>
    <t>00Q1i000003kZ1q</t>
  </si>
  <si>
    <t>00Q1i000003kXMW</t>
  </si>
  <si>
    <t>0031i00000KvGdY</t>
  </si>
  <si>
    <t>00Q1i000003kSLQ</t>
  </si>
  <si>
    <t>2682@dipucuenca.es</t>
  </si>
  <si>
    <t>00Q1i000003kRuj</t>
  </si>
  <si>
    <t>2683@live.fr</t>
  </si>
  <si>
    <t>00Q1i000003kRjH</t>
  </si>
  <si>
    <t>00Q1i000003kO73</t>
  </si>
  <si>
    <t>2701@gmail.com</t>
  </si>
  <si>
    <t>00Q1i000003kNfs</t>
  </si>
  <si>
    <t>2703@hotmail.com</t>
  </si>
  <si>
    <t>0031i00000KuzLS</t>
  </si>
  <si>
    <t>2706@opportunity-one.com</t>
  </si>
  <si>
    <t>00Q1i000003k139</t>
  </si>
  <si>
    <t>00Q1i000003k0Lz</t>
  </si>
  <si>
    <t>0031i00000ThqAi</t>
  </si>
  <si>
    <t>00Q1i000003juYV</t>
  </si>
  <si>
    <t>00Q1i000003jro5</t>
  </si>
  <si>
    <t>1697@yahoo.es</t>
  </si>
  <si>
    <t>00Q1i000003jrQt</t>
  </si>
  <si>
    <t>00Q1i000003jjp1</t>
  </si>
  <si>
    <t>0031i00000KvDiq</t>
  </si>
  <si>
    <t>4729@ono.com</t>
  </si>
  <si>
    <t>0031i00000KvHnl</t>
  </si>
  <si>
    <t>2856@eurocabos.es</t>
  </si>
  <si>
    <t>00Q1i000003jWfy</t>
  </si>
  <si>
    <t>0031i00000Kulru</t>
  </si>
  <si>
    <t>0031i00000T6bA3</t>
  </si>
  <si>
    <t>0031i00000T5gPB</t>
  </si>
  <si>
    <t>00Q1i000003jJfO</t>
  </si>
  <si>
    <t>2899@gmail.com</t>
  </si>
  <si>
    <t>0031i00000Kurs9</t>
  </si>
  <si>
    <t>2916@diazrojo.com</t>
  </si>
  <si>
    <t>00Q1i000003j40d</t>
  </si>
  <si>
    <t>0031i00000T5dJt</t>
  </si>
  <si>
    <t>00Q1i000003ixBh</t>
  </si>
  <si>
    <t>0031i00000Kuujg</t>
  </si>
  <si>
    <t>00Q1i000003ivgr</t>
  </si>
  <si>
    <t>2922@tecnicanorte.com</t>
  </si>
  <si>
    <t>Estado del lead</t>
  </si>
  <si>
    <t>Email_pseudo</t>
  </si>
  <si>
    <t>Email - Optim</t>
  </si>
  <si>
    <t>SIC - Date notification MQL Oferta VE</t>
  </si>
  <si>
    <t>SIC - Date notification MQL Oferta VE - Month</t>
  </si>
  <si>
    <t>COUNTA of Email - Def</t>
  </si>
  <si>
    <t>Jan</t>
  </si>
  <si>
    <t>Feb</t>
  </si>
  <si>
    <t>Mar</t>
  </si>
  <si>
    <t>Apr</t>
  </si>
  <si>
    <t>69@gmail.com</t>
  </si>
  <si>
    <t>May</t>
  </si>
  <si>
    <t>Jun</t>
  </si>
  <si>
    <t>243@homcrea.fr</t>
  </si>
  <si>
    <t>Grand Total</t>
  </si>
  <si>
    <t>451@ingelux.com</t>
  </si>
  <si>
    <t>726@gmail.com</t>
  </si>
  <si>
    <t>601@gmail.com</t>
  </si>
  <si>
    <t>597@svingenieria.com.co</t>
  </si>
  <si>
    <t>4730@yahoo.com</t>
  </si>
  <si>
    <t>801@hotmail.es</t>
  </si>
  <si>
    <t>936@gmail.com</t>
  </si>
  <si>
    <t>1063@gmail.com</t>
  </si>
  <si>
    <t>1154@gmail.com</t>
  </si>
  <si>
    <t>408@ic3sl.com</t>
  </si>
  <si>
    <t>1489@gmail.com</t>
  </si>
  <si>
    <t>1383@grupoazmont.com</t>
  </si>
  <si>
    <t>1896@gmail.com</t>
  </si>
  <si>
    <t>1487@gmail.com</t>
  </si>
  <si>
    <t>2105@nauta.cu</t>
  </si>
  <si>
    <t>2139@gmail.com</t>
  </si>
  <si>
    <t>2220@hotmail.com</t>
  </si>
  <si>
    <t>1659@orpoint.com</t>
  </si>
  <si>
    <t>2289@hotmail.com</t>
  </si>
  <si>
    <t>700@gmail.com</t>
  </si>
  <si>
    <t>2444@gmail.com</t>
  </si>
  <si>
    <t>1188@gmail.com</t>
  </si>
  <si>
    <t>2560@gmail.com</t>
  </si>
  <si>
    <t>4731@hotmail.com</t>
  </si>
  <si>
    <t>834@gmail.com</t>
  </si>
  <si>
    <t>2857@gmail.com</t>
  </si>
  <si>
    <t>2862@gmail.com</t>
  </si>
  <si>
    <t>EmailBackup</t>
  </si>
  <si>
    <t>Email</t>
  </si>
  <si>
    <t>Tipo de Miembro</t>
  </si>
  <si>
    <t>COUNTA of Email</t>
  </si>
  <si>
    <t>Fecha de primera asociación de miembro - Month</t>
  </si>
  <si>
    <t>Mes</t>
  </si>
  <si>
    <t>Tipo de miembro</t>
  </si>
  <si>
    <t>Recuento</t>
  </si>
  <si>
    <t>ene.</t>
  </si>
  <si>
    <t>convertido</t>
  </si>
  <si>
    <t>contacto</t>
  </si>
  <si>
    <t>sin info</t>
  </si>
  <si>
    <t xml:space="preserve"> Total</t>
  </si>
  <si>
    <t>NA</t>
  </si>
  <si>
    <t>Contacto Total</t>
  </si>
  <si>
    <t>feb.</t>
  </si>
  <si>
    <t>Lead Total</t>
  </si>
  <si>
    <t>NA Total</t>
  </si>
  <si>
    <t>mar.</t>
  </si>
  <si>
    <t>abr.</t>
  </si>
  <si>
    <t>may.</t>
  </si>
  <si>
    <t>jun.</t>
  </si>
  <si>
    <t>Estado ↑</t>
  </si>
  <si>
    <t>Recuento de registros</t>
  </si>
  <si>
    <t>Borrador</t>
  </si>
  <si>
    <t>Presentada</t>
  </si>
  <si>
    <t>Asignada a otro</t>
  </si>
  <si>
    <t>Rechazada</t>
  </si>
  <si>
    <t>Aceptada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</si>
</sst>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&quot;/&quot;yyyy"/>
    <numFmt numFmtId="165" formatCode="yyyy-mm-dd"/>
    <numFmt numFmtId="166" formatCode="m/d/yyyy h:mm:ss"/>
    <numFmt numFmtId="167" formatCode="dd/mm/yyyy"/>
    <numFmt numFmtId="168" formatCode="d/m/yyyy"/>
  </numFmts>
  <fonts count="14">
    <font>
      <sz val="11.0"/>
      <color rgb="FF000000"/>
      <name val="Arial"/>
    </font>
    <font>
      <b/>
      <sz val="10.0"/>
      <color rgb="FFFFFFFF"/>
      <name val="Arial"/>
    </font>
    <font>
      <sz val="10.0"/>
      <color rgb="FF000000"/>
      <name val="Arial"/>
    </font>
    <font>
      <sz val="10.0"/>
      <color theme="1"/>
      <name val="Arial"/>
    </font>
    <font>
      <sz val="12.0"/>
      <color rgb="FF000000"/>
      <name val="Calibri"/>
    </font>
    <font>
      <color theme="1"/>
      <name val="Calibri"/>
    </font>
    <font>
      <sz val="8.0"/>
      <color theme="1"/>
      <name val="Arial"/>
    </font>
    <font>
      <sz val="10.0"/>
      <color rgb="FFFFFFFF"/>
      <name val="Calibri"/>
    </font>
    <font>
      <sz val="10.0"/>
      <color rgb="FF000000"/>
      <name val="Calibri"/>
    </font>
    <font>
      <sz val="10.0"/>
      <color theme="1"/>
      <name val="Calibri"/>
    </font>
    <font>
      <sz val="10.0"/>
      <color rgb="FFFFFFFF"/>
      <name val="Arial"/>
    </font>
    <font>
      <sz val="10.0"/>
      <color rgb="FFF7981D"/>
      <name val="Arial"/>
    </font>
    <font>
      <color rgb="FFFFFFFF"/>
      <name val="Calibri"/>
    </font>
    <font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F9F9F7"/>
        <bgColor rgb="FFF9F9F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bottom"/>
    </xf>
    <xf borderId="1" fillId="2" fontId="1" numFmtId="164" xfId="0" applyAlignment="1" applyBorder="1" applyFont="1" applyNumberFormat="1">
      <alignment horizontal="left"/>
    </xf>
    <xf borderId="1" fillId="2" fontId="1" numFmtId="0" xfId="0" applyAlignment="1" applyBorder="1" applyFont="1">
      <alignment horizontal="left"/>
    </xf>
    <xf borderId="1" fillId="3" fontId="2" numFmtId="0" xfId="0" applyAlignment="1" applyBorder="1" applyFill="1" applyFont="1">
      <alignment horizontal="left" vertical="bottom"/>
    </xf>
    <xf borderId="1" fillId="3" fontId="2" numFmtId="164" xfId="0" applyAlignment="1" applyBorder="1" applyFont="1" applyNumberFormat="1">
      <alignment horizontal="left" vertical="bottom"/>
    </xf>
    <xf borderId="1" fillId="0" fontId="3" numFmtId="0" xfId="0" applyAlignment="1" applyBorder="1" applyFont="1">
      <alignment vertical="bottom"/>
    </xf>
    <xf borderId="0" fillId="3" fontId="4" numFmtId="0" xfId="0" applyAlignment="1" applyFont="1">
      <alignment horizontal="left" vertical="bottom"/>
    </xf>
    <xf borderId="0" fillId="3" fontId="4" numFmtId="164" xfId="0" applyAlignment="1" applyFont="1" applyNumberFormat="1">
      <alignment horizontal="left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readingOrder="0" vertical="bottom"/>
    </xf>
    <xf borderId="1" fillId="2" fontId="1" numFmtId="164" xfId="0" applyAlignment="1" applyBorder="1" applyFont="1" applyNumberFormat="1">
      <alignment horizontal="left" vertical="bottom"/>
    </xf>
    <xf borderId="1" fillId="0" fontId="3" numFmtId="0" xfId="0" applyBorder="1" applyFont="1"/>
    <xf borderId="1" fillId="0" fontId="3" numFmtId="164" xfId="0" applyAlignment="1" applyBorder="1" applyFont="1" applyNumberFormat="1">
      <alignment horizontal="left"/>
    </xf>
    <xf borderId="0" fillId="0" fontId="5" numFmtId="0" xfId="0" applyFont="1"/>
    <xf borderId="0" fillId="0" fontId="5" numFmtId="164" xfId="0" applyAlignment="1" applyFont="1" applyNumberFormat="1">
      <alignment horizontal="left"/>
    </xf>
    <xf borderId="0" fillId="0" fontId="5" numFmtId="0" xfId="0" applyAlignment="1" applyFont="1">
      <alignment horizontal="left"/>
    </xf>
    <xf borderId="0" fillId="3" fontId="6" numFmtId="0" xfId="0" applyAlignment="1" applyFont="1">
      <alignment horizontal="left"/>
    </xf>
    <xf borderId="1" fillId="2" fontId="7" numFmtId="0" xfId="0" applyAlignment="1" applyBorder="1" applyFont="1">
      <alignment horizontal="left" readingOrder="0"/>
    </xf>
    <xf borderId="1" fillId="2" fontId="7" numFmtId="0" xfId="0" applyAlignment="1" applyBorder="1" applyFont="1">
      <alignment horizontal="left"/>
    </xf>
    <xf borderId="1" fillId="2" fontId="7" numFmtId="164" xfId="0" applyAlignment="1" applyBorder="1" applyFont="1" applyNumberFormat="1">
      <alignment horizontal="left"/>
    </xf>
    <xf borderId="0" fillId="0" fontId="5" numFmtId="0" xfId="0" applyFont="1"/>
    <xf borderId="1" fillId="0" fontId="3" numFmtId="0" xfId="0" applyAlignment="1" applyBorder="1" applyFont="1">
      <alignment horizontal="left"/>
    </xf>
    <xf borderId="1" fillId="3" fontId="8" numFmtId="165" xfId="0" applyBorder="1" applyFont="1" applyNumberFormat="1"/>
    <xf borderId="1" fillId="0" fontId="3" numFmtId="164" xfId="0" applyAlignment="1" applyBorder="1" applyFont="1" applyNumberFormat="1">
      <alignment horizontal="right"/>
    </xf>
    <xf borderId="0" fillId="0" fontId="5" numFmtId="166" xfId="0" applyFont="1" applyNumberFormat="1"/>
    <xf borderId="0" fillId="0" fontId="5" numFmtId="164" xfId="0" applyFont="1" applyNumberFormat="1"/>
    <xf borderId="0" fillId="0" fontId="3" numFmtId="0" xfId="0" applyAlignment="1" applyFont="1">
      <alignment horizontal="left"/>
    </xf>
    <xf borderId="0" fillId="0" fontId="9" numFmtId="0" xfId="0" applyFont="1"/>
    <xf borderId="0" fillId="0" fontId="3" numFmtId="164" xfId="0" applyAlignment="1" applyFont="1" applyNumberFormat="1">
      <alignment horizontal="right"/>
    </xf>
    <xf borderId="0" fillId="0" fontId="3" numFmtId="165" xfId="0" applyAlignment="1" applyFont="1" applyNumberFormat="1">
      <alignment horizontal="right"/>
    </xf>
    <xf borderId="1" fillId="2" fontId="10" numFmtId="0" xfId="0" applyBorder="1" applyFont="1"/>
    <xf borderId="0" fillId="0" fontId="10" numFmtId="0" xfId="0" applyFont="1"/>
    <xf borderId="0" fillId="0" fontId="3" numFmtId="0" xfId="0" applyFont="1"/>
    <xf borderId="1" fillId="3" fontId="11" numFmtId="0" xfId="0" applyBorder="1" applyFont="1"/>
    <xf borderId="1" fillId="3" fontId="2" numFmtId="164" xfId="0" applyAlignment="1" applyBorder="1" applyFont="1" applyNumberFormat="1">
      <alignment horizontal="left"/>
    </xf>
    <xf borderId="1" fillId="0" fontId="3" numFmtId="165" xfId="0" applyBorder="1" applyFont="1" applyNumberFormat="1"/>
    <xf borderId="1" fillId="3" fontId="11" numFmtId="165" xfId="0" applyBorder="1" applyFont="1" applyNumberFormat="1"/>
    <xf borderId="0" fillId="0" fontId="3" numFmtId="165" xfId="0" applyFont="1" applyNumberFormat="1"/>
    <xf borderId="0" fillId="3" fontId="2" numFmtId="164" xfId="0" applyAlignment="1" applyFont="1" applyNumberFormat="1">
      <alignment horizontal="left"/>
    </xf>
    <xf borderId="0" fillId="0" fontId="2" numFmtId="0" xfId="0" applyFont="1"/>
    <xf borderId="0" fillId="0" fontId="3" numFmtId="164" xfId="0" applyAlignment="1" applyFont="1" applyNumberFormat="1">
      <alignment horizontal="left"/>
    </xf>
    <xf borderId="0" fillId="3" fontId="11" numFmtId="0" xfId="0" applyFont="1"/>
    <xf borderId="0" fillId="0" fontId="12" numFmtId="0" xfId="0" applyFont="1"/>
    <xf borderId="1" fillId="2" fontId="12" numFmtId="0" xfId="0" applyBorder="1" applyFont="1"/>
    <xf borderId="0" fillId="0" fontId="5" numFmtId="166" xfId="0" applyFont="1" applyNumberFormat="1"/>
    <xf borderId="1" fillId="0" fontId="5" numFmtId="0" xfId="0" applyBorder="1" applyFont="1"/>
    <xf borderId="0" fillId="0" fontId="13" numFmtId="0" xfId="0" applyFont="1"/>
    <xf borderId="1" fillId="0" fontId="13" numFmtId="0" xfId="0" applyBorder="1" applyFont="1"/>
    <xf borderId="1" fillId="0" fontId="5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1" fillId="4" fontId="1" numFmtId="0" xfId="0" applyAlignment="1" applyBorder="1" applyFill="1" applyFont="1">
      <alignment horizontal="right" vertical="bottom"/>
    </xf>
    <xf borderId="1" fillId="4" fontId="10" numFmtId="0" xfId="0" applyAlignment="1" applyBorder="1" applyFont="1">
      <alignment horizontal="left"/>
    </xf>
    <xf borderId="2" fillId="3" fontId="4" numFmtId="0" xfId="0" applyAlignment="1" applyBorder="1" applyFont="1">
      <alignment horizontal="left" vertical="bottom"/>
    </xf>
    <xf borderId="1" fillId="5" fontId="2" numFmtId="0" xfId="0" applyAlignment="1" applyBorder="1" applyFill="1" applyFont="1">
      <alignment vertical="bottom"/>
    </xf>
    <xf borderId="1" fillId="3" fontId="2" numFmtId="0" xfId="0" applyAlignment="1" applyBorder="1" applyFont="1">
      <alignment horizontal="right" vertical="bottom"/>
    </xf>
    <xf borderId="2" fillId="3" fontId="6" numFmtId="0" xfId="0" applyAlignment="1" applyBorder="1" applyFont="1">
      <alignment horizontal="left" vertical="bottom"/>
    </xf>
    <xf borderId="2" fillId="3" fontId="4" numFmtId="167" xfId="0" applyAlignment="1" applyBorder="1" applyFont="1" applyNumberFormat="1">
      <alignment horizontal="left" vertical="bottom"/>
    </xf>
    <xf borderId="2" fillId="3" fontId="4" numFmtId="168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445" sheet="SIC - FLOW! - Solicitudes BOFU "/>
  </cacheSource>
  <cacheFields>
    <cacheField name="Email_pseudo" numFmtId="0">
      <sharedItems containsBlank="1">
        <s v="12@gmail.com"/>
        <s v="24@gmail.com"/>
        <s v="45@acotech.es"/>
        <s v="51@yahoo.es"/>
        <s v="69@gmail.com"/>
        <s v="140@yahoo.es"/>
        <s v="151@gmail.com"/>
        <s v="243@homcrea.fr"/>
        <s v="213@guidogroup.com"/>
        <s v="212@gmail.com"/>
        <s v="185@asintec.info"/>
        <s v="245@gmail.com"/>
        <s v="201@gmail.com"/>
        <s v="242@outlook.es"/>
        <s v="250@inacces.com"/>
        <s v="249@herreroingenieros.com"/>
        <s v="985@jesnar2011.es"/>
        <s v="296@gmail.com"/>
        <s v="267@fiberlec.com"/>
        <s v="278@urbaser.com"/>
        <s v="273@gmail.com"/>
        <s v="3032@gmail.com"/>
        <s v="324@onsaze.es"/>
        <s v="373@eling.es"/>
        <s v="361@trabajosadomicilio.es"/>
        <s v="450@gmail.com"/>
        <s v="427@gmail.com"/>
        <s v="451@ingelux.com"/>
        <s v="448@gmail.com"/>
        <s v="260@hotmail.com"/>
        <s v="454@gmail.com"/>
        <s v="470@gmail.com"/>
        <s v="468@yahoo.es"/>
        <s v="481@gmail.com"/>
        <s v="521@gmail.com"/>
        <s v="526@gmail.com"/>
        <s v="569@hotmail.com"/>
        <s v="565@gmail.com"/>
        <s v="4070@hotmail.com"/>
        <s v="583@iesmontsia.org"/>
        <s v="667@ces2010.es"/>
        <s v="635@coneq.es"/>
        <s v="3190@aprenergia.es"/>
        <s v="726@gmail.com"/>
        <s v="3766@outlook.com"/>
        <s v="608@sgingenieros.es"/>
        <s v="3026@gmail.com"/>
        <s v="3370@hotmail.com"/>
        <s v="668@dipucordoba.es"/>
        <s v="352@live.com.mx"/>
        <s v="733@gmail.com"/>
        <s v="701@gmail.com"/>
        <s v="735@serveiskronier55.com"/>
        <s v="3028@gmail.com"/>
        <s v="3037@gmail.com"/>
        <s v="642@ecoviv.eu"/>
        <s v="3025@ingenierosvigo.com"/>
        <s v="615@iealcazar.com"/>
        <s v="3519@gmail.com"/>
        <s v="567@sonovatec.com"/>
        <s v="3367@gmail.com"/>
        <s v="601@gmail.com"/>
        <s v="623@gmail.com"/>
        <s v="713@gmail.com"/>
        <s v="749@gmail.com"/>
        <s v="3030@a6ingenieria.es"/>
        <s v="207@tecnicasyrecursos.com"/>
        <s v="770@inmotiza.com"/>
        <s v="3046@gmail.com"/>
        <s v="634@easycharger.es"/>
        <s v="2082@hotmail.com"/>
        <s v="773@perequart.com"/>
        <s v="684@gmail.com"/>
        <s v="957@germaniaweb.com"/>
        <s v="789@simsabdn.cat"/>
        <s v="597@svingenieria.com.co"/>
        <s v="781@gmail.com"/>
        <s v="802@hotmail.com"/>
        <s v="4730@yahoo.com"/>
        <s v="800@taubertek.com"/>
        <s v="609@ritelecenergia.es"/>
        <s v="801@hotmail.es"/>
        <s v="418@proyectosict.net"/>
        <s v="3036@romeroycantalejo.com"/>
        <s v="904@inboundcycle.com"/>
        <s v="3033@gmail.com"/>
        <s v="823@gmail.com"/>
        <s v="217@esypro.net"/>
        <s v="847@lodeal.es"/>
        <s v="3038@hotmail.com"/>
        <s v="933@orsei.es"/>
        <s v="868@gmail.com"/>
        <s v="3040@icloud.com"/>
        <s v="884@enersos.es"/>
        <s v="886@gmail.com"/>
        <s v="946@gmail.com"/>
        <s v="936@gmail.com"/>
        <s v="935@gmail.com"/>
        <s v="1004@telefonica.net"/>
        <s v="1039@yahoo.es"/>
        <s v="1063@gmail.com"/>
        <s v="1075@gmail.com"/>
        <s v="1064@abxat.com"/>
        <s v="1111@hotmail.com"/>
        <s v="1154@gmail.com"/>
        <s v="1117@hotmail.com"/>
        <s v="1559@strong.es"/>
        <s v="647@apis-ing.es"/>
        <s v="1454@yahoo.es"/>
        <s v="1673@gailmafra.com"/>
        <s v="1626@adaliaradio.com"/>
        <s v="408@ic3sl.com"/>
        <s v="1602@gmail.com"/>
        <s v="1391@grupojab.es"/>
        <s v="1489@gmail.com"/>
        <s v="380@acp-level.es"/>
        <s v="4724@gmail.com"/>
        <s v="4718@gmail.com"/>
        <s v="1800@hotmail.com"/>
        <s v="1603@gmail.com"/>
        <s v="1226@agiceringenieros.es"/>
        <s v="1268@gamai.com"/>
        <s v="1383@grupoazmont.com"/>
        <s v="1695@gruponortica.com"/>
        <s v="1284@gmail.com"/>
        <s v="1265@hotmail.com"/>
        <s v="187@castelyfernandez.es"/>
        <s v="1515@expertline.es"/>
        <s v="1369@atribal.es"/>
        <s v="1728@gmail.com"/>
        <s v="374@copitima.com"/>
        <s v="1778@gmail.com"/>
        <s v="1716@fuengiroluz.es"/>
        <s v="1614@electronalon.es"/>
        <s v="1896@gmail.com"/>
        <s v="1901@gmail.com"/>
        <s v="2029@sonepar.es"/>
        <s v="1487@gmail.com"/>
        <s v="1108@enginyerstarragona.cat"/>
        <s v="563@salesianospamplona.net"/>
        <s v="2057@gmail.com"/>
        <s v="2035@yahoo.es"/>
        <s v="1675@exinor.com"/>
        <s v="1965@tienda-gasnatural.com"/>
        <s v="1930@gmail.com"/>
        <s v="1940@electromercantil.es"/>
        <s v="1535@hotmail.com"/>
        <s v="1233@hotmail.com"/>
        <s v="1397@olibayas.net"/>
        <s v="1443@hotmail.com"/>
        <s v="2074@hotmail.com"/>
        <s v="2076@gmail.com"/>
        <s v="2083@gmail.com"/>
        <s v="2097@hotmail.com"/>
        <s v="2110@ingeconsulting.com"/>
        <s v="2112@gmail.com"/>
        <s v="2105@nauta.cu"/>
        <s v="2109@huelvanorte.es"/>
        <s v="808@ale.es"/>
        <s v="3086@gmail.com"/>
        <s v="2119@gmail.com"/>
        <s v="2366@energies.cat"/>
        <s v="2128@gmail.com"/>
        <s v="2140@gmail.com"/>
        <s v="2139@gmail.com"/>
        <s v="2150@yahoo.es"/>
        <s v="1411@ujaen.es"/>
        <s v="3047@gmail.com"/>
        <s v="2195@yahoo.es"/>
        <s v="2209@elecem.es"/>
        <s v="2218@gmx.es"/>
        <s v="2208@wp.pl"/>
        <s v="2220@hotmail.com"/>
        <s v="3201@sub-vidayfoto.com"/>
        <s v="2229@enerluz.es"/>
        <s v="595@centroasturianobarcelona.com"/>
        <s v="2252@energestic.es"/>
        <s v="3098@soc.redcitroen.com"/>
        <s v="3065@sarria.salesians.cat"/>
        <s v="2283@hotmail.com"/>
        <s v="1659@orpoint.com"/>
        <s v="2289@hotmail.com"/>
        <s v="2311@deluxson.com"/>
        <s v="2329@hotmail.com"/>
        <s v="2372@gmail.com"/>
        <s v="1414@gmail.com"/>
        <s v="2388@gmail.com"/>
        <s v="1826@gestionservicios.com"/>
        <s v="925@eco-voltaica.com"/>
        <s v="2338@gmail.com"/>
        <s v="2408@me.com"/>
        <s v="700@gmail.com"/>
        <s v="2330@gmail.com"/>
        <s v="2498@adtelcom.es"/>
        <s v="1687@gestilar.com"/>
        <s v="2440@imanzanera.com"/>
        <s v="2442@gmail.com"/>
        <s v="3089@yahoo.es"/>
        <s v="2444@gmail.com"/>
        <s v="3096@hotmail.com"/>
        <s v="416@dominguezelectricidad.es"/>
        <s v="1188@gmail.com"/>
        <s v="2483@gmail.com"/>
        <s v="654@staperpetua.cat"/>
        <s v="2490@mantenencies.com"/>
        <s v="3130@gmail.com"/>
        <s v="3133@danfar.com"/>
        <s v="625@hotmail.com"/>
        <s v="1377@hotmail.com"/>
        <s v="2531@arquitecturaygestion.com"/>
        <s v="2530@galimar.com.es"/>
        <s v="1510@adelanteenergia.es"/>
        <s v="3139@coitt.es"/>
        <s v="2560@gmail.com"/>
        <s v="4731@hotmail.com"/>
        <s v="2607@hotmail.com"/>
        <s v="2619@gmail.com"/>
        <s v="862@fpcm.es"/>
        <s v="2664@gmail.com"/>
        <s v="1104@gmail.com"/>
        <s v="3148@gmail.com"/>
        <s v="3156@gmail.com"/>
        <s v="3157@hotmail.com"/>
        <s v="2682@dipucuenca.es"/>
        <s v="2683@live.fr"/>
        <s v="2679@hotmail.com"/>
        <s v="2684@hotmail.com"/>
        <s v="3160@yahoo.com"/>
        <s v="2810@sensorstecnics.net"/>
        <s v="2703@hotmail.com"/>
        <s v="2701@gmail.com"/>
        <s v="649@yahoo.es"/>
        <s v="2706@opportunity-one.com"/>
        <s v="2749@gmail.com"/>
        <s v="1295@hotmail.es"/>
        <s v="3193@metalux.es"/>
        <s v="2764@gmail.com"/>
        <s v="3199@gmail.com"/>
        <s v="2787@grupocematel.com"/>
        <s v="834@gmail.com"/>
        <s v="2793@gmail.com"/>
        <s v="1697@yahoo.es"/>
        <s v="1079@outlook.es"/>
        <s v="2828@coaatz.org"/>
        <s v="2824@gmail.com"/>
        <s v="4729@ono.com"/>
        <s v="3240@gmail.com"/>
        <s v="2856@eurocabos.es"/>
        <s v="2857@gmail.com"/>
        <s v="2844@alamos.es"/>
        <s v="1021@proturhotels.com"/>
        <s v="2862@gmail.com"/>
        <s v="2874@broa.net"/>
        <s v="2871@assinsta.com"/>
        <s v="2879@hbalcells.com"/>
        <s v="1628@solbesingenieros.com"/>
        <s v="3284@efimarket.com"/>
        <s v="2899@gmail.com"/>
        <s v="1654@movinetenergia.com"/>
        <s v="2914@aldaproyectos.es"/>
        <s v="2916@diazrojo.com"/>
        <s v="2919@gmail.com"/>
        <s v="2922@tecnicanorte.com"/>
        <s v="3297@hotmail.com"/>
        <s v="2931@telefonica.net"/>
        <s v="2935@hotellosllanos.es"/>
        <s v="3322@gmail.com"/>
        <s v="2950@telematel.com"/>
        <s v="2958@gmail.com"/>
        <s v="2970@sonepar.es"/>
        <s v="1516@gmail.com"/>
        <s v="2966@gmail.com"/>
        <s v="1607@talesingenieria.es"/>
        <s v="1237@gmail.com"/>
        <s v="1498@gmail.com"/>
        <s v="2983@hotmail.com"/>
        <m/>
      </sharedItems>
    </cacheField>
    <cacheField name="Email - Optim" numFmtId="165">
      <sharedItems containsBlank="1">
        <s v="12@gmail.com"/>
        <s v="24@gmail.com"/>
        <s v="45@acotech.es"/>
        <s v="51@yahoo.es"/>
        <s v="69@gmail.com"/>
        <s v="140@yahoo.es"/>
        <s v="151@gmail.com"/>
        <s v="243@homcrea.fr"/>
        <s v="213@guidogroup.com"/>
        <s v="212@gmail.com"/>
        <s v="185@asintec.info"/>
        <s v="245@gmail.com"/>
        <s v="201@gmail.com"/>
        <s v="242@outlook.es"/>
        <s v="250@inacces.com"/>
        <s v="249@herreroingenieros.com"/>
        <s v="985@jesnar2011.es"/>
        <s v="296@gmail.com"/>
        <s v="267@fiberlec.com"/>
        <s v="278@urbaser.com"/>
        <s v="273@gmail.com"/>
        <s v="3032@gmail.com"/>
        <s v="324@onsaze.es"/>
        <s v="373@eling.es"/>
        <s v="361@trabajosadomicilio.es"/>
        <s v="450@gmail.com"/>
        <s v="427@gmail.com"/>
        <s v="451@ingelux.com"/>
        <s v="448@gmail.com"/>
        <s v="260@hotmail.com"/>
        <s v="454@gmail.com"/>
        <s v="470@gmail.com"/>
        <s v="468@yahoo.es"/>
        <s v="481@gmail.com"/>
        <s v="521@gmail.com"/>
        <s v="526@gmail.com"/>
        <s v="569@hotmail.com"/>
        <s v="565@gmail.com"/>
        <s v="4070@hotmail.com"/>
        <s v="583@iesmontsia.org"/>
        <s v="667@ces2010.es"/>
        <s v="635@coneq.es"/>
        <s v="3190@aprenergia.es"/>
        <s v="726@gmail.com"/>
        <s v="3766@outlook.com"/>
        <s v="608@sgingenieros.es"/>
        <s v="3026@gmail.com"/>
        <s v="3370@hotmail.com"/>
        <s v="668@dipucordoba.es"/>
        <s v="352@live.com.mx"/>
        <s v="733@gmail.com"/>
        <s v="701@gmail.com"/>
        <s v="735@serveiskronier55.com"/>
        <s v="3028@gmail.com"/>
        <s v="3037@gmail.com"/>
        <s v="642@ecoviv.eu"/>
        <s v="3025@ingenierosvigo.com"/>
        <s v="615@iealcazar.com"/>
        <s v="3519@gmail.com"/>
        <s v="567@sonovatec.com"/>
        <s v="3367@gmail.com"/>
        <s v="601@gmail.com"/>
        <s v="623@gmail.com"/>
        <s v="713@gmail.com"/>
        <s v="749@gmail.com"/>
        <s v="3030@a6ingenieria.es"/>
        <s v="207@tecnicasyrecursos.com"/>
        <s v="770@inmotiza.com"/>
        <s v="3046@gmail.com"/>
        <s v="634@easycharger.es"/>
        <s v="2082@hotmail.com"/>
        <s v="773@perequart.com"/>
        <s v="684@gmail.com"/>
        <s v="957@germaniaweb.com"/>
        <s v="789@simsabdn.cat"/>
        <s v="597@svingenieria.com.co"/>
        <s v="781@gmail.com"/>
        <s v="802@hotmail.com"/>
        <s v="4730@yahoo.com"/>
        <s v="800@taubertek.com"/>
        <s v="609@ritelecenergia.es"/>
        <s v="801@hotmail.es"/>
        <s v="418@proyectosict.net"/>
        <s v="3036@romeroycantalejo.com"/>
        <s v="904@inboundcycle.com"/>
        <s v="3033@gmail.com"/>
        <s v="823@gmail.com"/>
        <s v="217@esypro.net"/>
        <s v="847@lodeal.es"/>
        <s v="3038@hotmail.com"/>
        <s v="933@orsei.es"/>
        <s v="868@gmail.com"/>
        <s v="3040@icloud.com"/>
        <s v="884@enersos.es"/>
        <s v="886@gmail.com"/>
        <s v="946@gmail.com"/>
        <s v="936@gmail.com"/>
        <s v="935@gmail.com"/>
        <s v="1004@telefonica.net"/>
        <s v="1039@yahoo.es"/>
        <s v="1063@gmail.com"/>
        <s v="1075@gmail.com"/>
        <s v="1064@abxat.com"/>
        <s v="1111@hotmail.com"/>
        <s v="1154@gmail.com"/>
        <s v="1117@hotmail.com"/>
        <s v="1559@strong.es"/>
        <s v="647@apis-ing.es"/>
        <s v="1454@yahoo.es"/>
        <s v="1673@gailmafra.com"/>
        <s v="1626@adaliaradio.com"/>
        <s v="408@ic3sl.com"/>
        <s v="1602@gmail.com"/>
        <s v="1391@grupojab.es"/>
        <s v="1489@gmail.com"/>
        <s v="380@acp-level.es"/>
        <s v="4724@gmail.com"/>
        <s v="4718@gmail.com"/>
        <s v="1800@hotmail.com"/>
        <s v="1603@gmail.com"/>
        <s v="1226@agiceringenieros.es"/>
        <s v="1268@gamai.com"/>
        <s v="1383@grupoazmont.com"/>
        <s v="1695@gruponortica.com"/>
        <s v="1284@gmail.com"/>
        <s v="1265@hotmail.com"/>
        <s v="187@castelyfernandez.es"/>
        <s v="1515@expertline.es"/>
        <s v="1369@atribal.es"/>
        <s v="1728@gmail.com"/>
        <s v="374@copitima.com"/>
        <s v="1778@gmail.com"/>
        <s v="1716@fuengiroluz.es"/>
        <s v="1614@electronalon.es"/>
        <s v="1896@gmail.com"/>
        <s v="1901@gmail.com"/>
        <s v="2029@sonepar.es"/>
        <s v="1487@gmail.com"/>
        <s v="1108@enginyerstarragona.cat"/>
        <s v="563@salesianospamplona.net"/>
        <s v="2057@gmail.com"/>
        <s v="2035@yahoo.es"/>
        <s v="1675@exinor.com"/>
        <s v="1965@tienda-gasnatural.com"/>
        <s v="1930@gmail.com"/>
        <s v="1940@electromercantil.es"/>
        <s v="1535@hotmail.com"/>
        <s v="1233@hotmail.com"/>
        <s v="1397@olibayas.net"/>
        <s v="1443@hotmail.com"/>
        <s v="2074@hotmail.com"/>
        <s v="2076@gmail.com"/>
        <s v="2083@gmail.com"/>
        <s v="2097@hotmail.com"/>
        <s v="2110@ingeconsulting.com"/>
        <s v="2112@gmail.com"/>
        <s v="2105@nauta.cu"/>
        <s v="2109@huelvanorte.es"/>
        <s v="808@ale.es"/>
        <s v="3086@gmail.com"/>
        <s v="2119@gmail.com"/>
        <s v="2366@energies.cat"/>
        <s v="2128@gmail.com"/>
        <s v="2140@gmail.com"/>
        <s v="2139@gmail.com"/>
        <s v="2150@yahoo.es"/>
        <s v="1411@ujaen.es"/>
        <s v="3047@gmail.com"/>
        <s v="2195@yahoo.es"/>
        <s v="2209@elecem.es"/>
        <s v="2218@gmx.es"/>
        <s v="2208@wp.pl"/>
        <s v="2220@hotmail.com"/>
        <s v="3201@sub-vidayfoto.com"/>
        <s v="2229@enerluz.es"/>
        <s v="595@centroasturianobarcelona.com"/>
        <s v="2252@energestic.es"/>
        <s v="3098@soc.redcitroen.com"/>
        <s v="3065@sarria.salesians.cat"/>
        <s v="2283@hotmail.com"/>
        <s v="1659@orpoint.com"/>
        <s v="2289@hotmail.com"/>
        <s v="2311@deluxson.com"/>
        <s v="2329@hotmail.com"/>
        <s v="2372@gmail.com"/>
        <s v="1414@gmail.com"/>
        <s v="2388@gmail.com"/>
        <s v="1826@gestionservicios.com"/>
        <s v="925@eco-voltaica.com"/>
        <s v="2338@gmail.com"/>
        <s v="2408@me.com"/>
        <s v="700@gmail.com"/>
        <s v="2330@gmail.com"/>
        <s v="2498@adtelcom.es"/>
        <s v="1687@gestilar.com"/>
        <s v="2440@imanzanera.com"/>
        <s v="2442@gmail.com"/>
        <s v="3089@yahoo.es"/>
        <s v="2444@gmail.com"/>
        <s v="3096@hotmail.com"/>
        <s v="416@dominguezelectricidad.es"/>
        <s v="1188@gmail.com"/>
        <s v="2483@gmail.com"/>
        <s v="654@staperpetua.cat"/>
        <s v="2490@mantenencies.com"/>
        <s v="3130@gmail.com"/>
        <s v="3133@danfar.com"/>
        <s v="625@hotmail.com"/>
        <s v="1377@hotmail.com"/>
        <s v="2531@arquitecturaygestion.com"/>
        <s v="2530@galimar.com.es"/>
        <s v="1510@adelanteenergia.es"/>
        <s v="3139@coitt.es"/>
        <s v="2560@gmail.com"/>
        <s v="4731@hotmail.com"/>
        <s v="2607@hotmail.com"/>
        <s v="2619@gmail.com"/>
        <s v="862@fpcm.es"/>
        <s v="2664@gmail.com"/>
        <s v="1104@gmail.com"/>
        <s v="3148@gmail.com"/>
        <s v="3156@gmail.com"/>
        <s v="3157@hotmail.com"/>
        <s v="2682@dipucuenca.es"/>
        <s v="2683@live.fr"/>
        <s v="2679@hotmail.com"/>
        <s v="2684@hotmail.com"/>
        <s v="3160@yahoo.com"/>
        <s v="2810@sensorstecnics.net"/>
        <s v="2703@hotmail.com"/>
        <s v="2701@gmail.com"/>
        <s v="649@yahoo.es"/>
        <s v="2706@opportunity-one.com"/>
        <s v="2749@gmail.com"/>
        <s v="1295@hotmail.es"/>
        <s v="3193@metalux.es"/>
        <s v="2764@gmail.com"/>
        <s v="3199@gmail.com"/>
        <s v="2787@grupocematel.com"/>
        <s v="834@gmail.com"/>
        <s v="2793@gmail.com"/>
        <s v="1697@yahoo.es"/>
        <s v="1079@outlook.es"/>
        <s v="2828@coaatz.org"/>
        <s v="2824@gmail.com"/>
        <s v="4729@ono.com"/>
        <s v="3240@gmail.com"/>
        <s v="2856@eurocabos.es"/>
        <s v="2857@gmail.com"/>
        <s v="2844@alamos.es"/>
        <s v="1021@proturhotels.com"/>
        <s v="2862@gmail.com"/>
        <s v="2874@broa.net"/>
        <s v="2871@assinsta.com"/>
        <s v="2879@hbalcells.com"/>
        <s v="1628@solbesingenieros.com"/>
        <s v="3284@efimarket.com"/>
        <s v="2899@gmail.com"/>
        <s v="1654@movinetenergia.com"/>
        <s v="2914@aldaproyectos.es"/>
        <s v="2916@diazrojo.com"/>
        <s v="2919@gmail.com"/>
        <s v="2922@tecnicanorte.com"/>
        <s v="3297@hotmail.com"/>
        <s v="2931@telefonica.net"/>
        <s v="2935@hotellosllanos.es"/>
        <s v="3322@gmail.com"/>
        <s v="2950@telematel.com"/>
        <s v="2958@gmail.com"/>
        <s v="2970@sonepar.es"/>
        <s v="1516@gmail.com"/>
        <s v="2966@gmail.com"/>
        <s v="1607@talesingenieria.es"/>
        <s v="1237@gmail.com"/>
        <s v="1498@gmail.com"/>
        <s v="2983@hotmail.com"/>
        <m/>
      </sharedItems>
    </cacheField>
    <cacheField name="SIC - Date notification MQL Oferta VE" numFmtId="164">
      <sharedItems containsNonDate="0" containsDate="1" containsString="0" containsBlank="1" minDate="2020-01-02T00:00:00Z" maxDate="2020-07-01T00:00:00Z">
        <d v="2020-06-30T00:00:00Z"/>
        <d v="2020-06-28T00:00:00Z"/>
        <d v="2020-06-25T00:00:00Z"/>
        <d v="2020-06-24T00:00:00Z"/>
        <d v="2020-06-23T00:00:00Z"/>
        <d v="2020-06-19T00:00:00Z"/>
        <d v="2020-06-18T00:00:00Z"/>
        <d v="2020-06-17T00:00:00Z"/>
        <d v="2020-06-16T00:00:00Z"/>
        <d v="2020-06-15T00:00:00Z"/>
        <d v="2020-06-11T00:00:00Z"/>
        <d v="2020-06-08T00:00:00Z"/>
        <d v="2020-06-04T00:00:00Z"/>
        <d v="2020-06-03T00:00:00Z"/>
        <d v="2020-06-01T00:00:00Z"/>
        <d v="2020-05-30T00:00:00Z"/>
        <d v="2020-05-25T00:00:00Z"/>
        <d v="2020-05-24T00:00:00Z"/>
        <d v="2020-05-23T00:00:00Z"/>
        <d v="2020-05-22T00:00:00Z"/>
        <d v="2020-05-21T00:00:00Z"/>
        <d v="2020-05-20T00:00:00Z"/>
        <d v="2020-05-19T00:00:00Z"/>
        <d v="2020-05-18T00:00:00Z"/>
        <d v="2020-05-16T00:00:00Z"/>
        <d v="2020-05-15T00:00:00Z"/>
        <d v="2020-05-14T00:00:00Z"/>
        <d v="2020-05-11T00:00:00Z"/>
        <d v="2020-05-10T00:00:00Z"/>
        <d v="2020-05-06T00:00:00Z"/>
        <d v="2020-05-04T00:00:00Z"/>
        <d v="2020-05-03T00:00:00Z"/>
        <d v="2020-05-01T00:00:00Z"/>
        <d v="2020-04-30T00:00:00Z"/>
        <d v="2020-04-29T00:00:00Z"/>
        <d v="2020-04-27T00:00:00Z"/>
        <d v="2020-04-26T00:00:00Z"/>
        <d v="2020-04-23T00:00:00Z"/>
        <d v="2020-04-22T00:00:00Z"/>
        <d v="2020-04-21T00:00:00Z"/>
        <d v="2020-04-20T00:00:00Z"/>
        <d v="2020-04-19T00:00:00Z"/>
        <d v="2020-04-17T00:00:00Z"/>
        <d v="2020-04-16T00:00:00Z"/>
        <d v="2020-04-15T00:00:00Z"/>
        <d v="2020-04-14T00:00:00Z"/>
        <d v="2020-04-13T00:00:00Z"/>
        <d v="2020-04-12T00:00:00Z"/>
        <d v="2020-04-11T00:00:00Z"/>
        <d v="2020-04-09T00:00:00Z"/>
        <d v="2020-04-07T00:00:00Z"/>
        <d v="2020-04-05T00:00:00Z"/>
        <d v="2020-04-03T00:00:00Z"/>
        <d v="2020-04-02T00:00:00Z"/>
        <d v="2020-04-01T00:00:00Z"/>
        <d v="2020-03-31T00:00:00Z"/>
        <d v="2020-03-30T00:00:00Z"/>
        <d v="2020-03-26T00:00:00Z"/>
        <d v="2020-03-25T00:00:00Z"/>
        <d v="2020-03-24T00:00:00Z"/>
        <d v="2020-03-23T00:00:00Z"/>
        <d v="2020-03-22T00:00:00Z"/>
        <d v="2020-03-21T00:00:00Z"/>
        <d v="2020-03-20T00:00:00Z"/>
        <d v="2020-03-19T00:00:00Z"/>
        <d v="2020-03-17T00:00:00Z"/>
        <d v="2020-03-13T00:00:00Z"/>
        <d v="2020-03-11T00:00:00Z"/>
        <d v="2020-03-10T00:00:00Z"/>
        <d v="2020-03-06T00:00:00Z"/>
        <d v="2020-03-05T00:00:00Z"/>
        <d v="2020-03-04T00:00:00Z"/>
        <d v="2020-03-03T00:00:00Z"/>
        <d v="2020-03-02T00:00:00Z"/>
        <d v="2020-02-28T00:00:00Z"/>
        <d v="2020-02-27T00:00:00Z"/>
        <d v="2020-02-26T00:00:00Z"/>
        <d v="2020-02-25T00:00:00Z"/>
        <d v="2020-02-24T00:00:00Z"/>
        <d v="2020-02-17T00:00:00Z"/>
        <d v="2020-02-16T00:00:00Z"/>
        <d v="2020-02-14T00:00:00Z"/>
        <d v="2020-02-13T00:00:00Z"/>
        <d v="2020-02-12T00:00:00Z"/>
        <d v="2020-02-11T00:00:00Z"/>
        <d v="2020-02-10T00:00:00Z"/>
        <d v="2020-02-06T00:00:00Z"/>
        <d v="2020-02-04T00:00:00Z"/>
        <d v="2020-02-03T00:00:00Z"/>
        <d v="2020-01-31T00:00:00Z"/>
        <d v="2020-01-30T00:00:00Z"/>
        <d v="2020-01-29T00:00:00Z"/>
        <d v="2020-01-27T00:00:00Z"/>
        <d v="2020-01-26T00:00:00Z"/>
        <d v="2020-01-21T00:00:00Z"/>
        <d v="2020-01-20T00:00:00Z"/>
        <d v="2020-01-18T00:00:00Z"/>
        <d v="2020-01-16T00:00:00Z"/>
        <d v="2020-01-15T00:00:00Z"/>
        <d v="2020-01-14T00:00:00Z"/>
        <d v="2020-01-10T00:00:00Z"/>
        <d v="2020-01-09T00:00:00Z"/>
        <d v="2020-01-08T00:00:00Z"/>
        <d v="2020-01-07T00:00:00Z"/>
        <d v="2020-01-05T00:00:00Z"/>
        <d v="2020-01-03T00:00:00Z"/>
        <d v="2020-01-02T00:00:00Z"/>
        <m/>
      </sharedItems>
      <fieldGroup base="2">
        <rangePr autoStart="0" autoEnd="0" groupBy="months" startDate="2020-01-02T00:00:00Z" endDate="2020-07-01T00:00:00Z"/>
        <groupItems>
          <s v="&lt;01/02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/01/20"/>
        </groupItems>
      </fieldGroup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F1000" sheet="JoinMQL"/>
  </cacheSource>
  <cacheFields>
    <cacheField name="Email" numFmtId="0">
      <sharedItems containsBlank="1">
        <s v="625@hotmail.com"/>
        <s v="2931@telefonica.net"/>
        <s v="1237@gmail.com"/>
        <s v="3284@efimarket.com"/>
        <s v="3199@gmail.com"/>
        <s v="3133@danfar.com"/>
        <s v="3065@sarria.salesians.cat"/>
        <s v="4692@guamar.es"/>
        <s v="352@live.com.mx"/>
        <s v="2311@deluxson.com"/>
        <s v="3156@gmail.com"/>
        <s v="1411@ujaen.es"/>
        <s v="690@dllgroup.com"/>
        <s v="3089@yahoo.es"/>
        <s v="770@inmotiza.com"/>
        <s v="4693@gmail.com"/>
        <s v="4694@gmail.com"/>
        <s v="563@salesianospamplona.net"/>
        <s v="3160@yahoo.com"/>
        <s v="3036@romeroycantalejo.com"/>
        <s v="4695@muntanerelectro.com"/>
        <s v="1092@cipfpcanastell.com"/>
        <s v="313@inelbo.eiffage.es"/>
        <s v="3157@hotmail.com"/>
        <s v="3046@gmail.com"/>
        <s v="2035@yahoo.es"/>
        <s v="3096@hotmail.com"/>
        <s v="925@eco-voltaica.com"/>
        <s v="4696@gmail.com"/>
        <s v="2871@assinsta.com"/>
        <s v="3370@hotmail.com"/>
        <s v="2369@cataliaga.com"/>
        <s v="768@gmail.com"/>
        <s v="2810@sensorstecnics.net"/>
        <s v="2844@alamos.es"/>
        <s v="2674@coar.es"/>
        <s v="3098@soc.redcitroen.com"/>
        <s v="667@ces2010.es"/>
        <s v="377@nouges.es"/>
        <s v="4697@yahoo.es"/>
        <s v="2498@adtelcom.es"/>
        <s v="3026@gmail.com"/>
        <s v="587@gescogestio.com"/>
        <s v="4698@ingenieriaconforma.com"/>
        <s v="4699@telefonica.net"/>
        <s v="3240@gmail.com"/>
        <s v="1233@hotmail.com"/>
        <s v="946@gmail.com"/>
        <s v="2278@gmail.com"/>
        <s v="3148@gmail.com"/>
        <s v="802@hotmail.com"/>
        <s v="4700@grupoacm.es"/>
        <s v="1593@gmail.com"/>
        <s v="4701@coiim.es"/>
        <s v="416@dominguezelectricidad.es"/>
        <s v="735@serveiskronier55.com"/>
        <s v="1756@gmail.com"/>
        <s v="4702@hotmail.com"/>
        <s v="4703@gmail.com"/>
        <s v="4704@gruponovelec.com"/>
        <s v="2983@hotmail.com"/>
        <s v="3322@gmail.com"/>
        <s v="2828@coaatz.org"/>
        <s v="649@yahoo.es"/>
        <s v="2679@hotmail.com"/>
        <s v="2966@gmail.com"/>
        <s v="1235@gmail.com"/>
        <s v="3989@gmail.com"/>
        <s v="207@tecnicasyrecursos.com"/>
        <s v="3025@ingenierosvigo.com"/>
        <s v="4705@jssassociats.com"/>
        <s v="4706@construccionesalma.com"/>
        <s v="1826@gestionservicios.com"/>
        <s v="3033@gmail.com"/>
        <s v="4707@ilumarket.com.mx"/>
        <s v="4708@logrosan.es"/>
        <s v="4709@gmail.com"/>
        <s v="4710@hotmail.com"/>
        <s v="623@gmail.com"/>
        <s v="4711@hotmail.com"/>
        <s v="4712@yahoo.es"/>
        <s v="4713@enviroline.es"/>
        <s v="4714@gmail.com"/>
        <s v="4715@chemacampos.com"/>
        <s v="3139@coitt.es"/>
        <s v="713@gmail.com"/>
        <s v="3766@outlook.com"/>
        <s v="608@sgingenieros.es"/>
        <s v="2935@hotellosllanos.es"/>
        <s v="757@integra-sti.com"/>
        <s v="4716@josepblesa.com"/>
        <s v="4717@sinergiaenergia.com"/>
        <s v="2372@gmail.com"/>
        <s v="2958@gmail.com"/>
        <s v="4718@gmail.com"/>
        <s v="4719@hthomassen.com"/>
        <s v="4720@hotmail.com"/>
        <s v="4721@hotmail.com"/>
        <s v="2950@telematel.com"/>
        <s v="4722@gmail.com"/>
        <s v="1273@telefonica.net"/>
        <s v="3367@gmail.com"/>
        <s v="731@bonoboenergy.com"/>
        <s v="448@gmail.com"/>
        <s v="847@lodeal.es"/>
        <s v="2970@sonepar.es"/>
        <s v="611@santacruzdetenerife.es"/>
        <s v="4723@gmail.com"/>
        <s v="1516@gmail.com"/>
        <s v="2995@suris.es"/>
        <s v="2806@jdingenieria.com"/>
        <s v="3001@gmail.com"/>
        <s v="3847@engin.cat"/>
        <s v="2442@gmail.com"/>
        <s v="1226@agiceringenieros.es"/>
        <s v="2338@gmail.com"/>
        <s v="643@gmail.com"/>
        <s v="1628@solbesingenieros.com"/>
        <s v="4724@gmail.com"/>
        <s v="4725@iftem.com"/>
        <s v="4726@hotmail.com"/>
        <s v="3655@outlook.com"/>
        <s v="4610@gmail.com"/>
        <s v="1607@talesingenieria.es"/>
        <s v="4727@ponferrada.org"/>
        <s v="3193@metalux.es"/>
        <s v="2749@gmail.com"/>
        <s v="3130@gmail.com"/>
        <s v="2283@hotmail.com"/>
        <s v="567@sonovatec.com"/>
        <s v="1051@gmail.com"/>
        <s v="2209@elecem.es"/>
        <s v="12@gmail.com"/>
        <s v="24@gmail.com"/>
        <s v="45@acotech.es"/>
        <s v="51@yahoo.es"/>
        <s v="140@yahoo.es"/>
        <s v="151@gmail.com"/>
        <s v="185@asintec.info"/>
        <s v="201@gmail.com"/>
        <s v="212@gmail.com"/>
        <s v="213@guidogroup.com"/>
        <s v="242@outlook.es"/>
        <s v="245@gmail.com"/>
        <s v="249@herreroingenieros.com"/>
        <s v="250@inacces.com"/>
        <s v="985@jesnar2011.es"/>
        <s v="273@gmail.com"/>
        <s v="278@urbaser.com"/>
        <s v="296@gmail.com"/>
        <s v="267@fiberlec.com"/>
        <s v="3032@gmail.com"/>
        <s v="324@onsaze.es"/>
        <s v="361@trabajosadomicilio.es"/>
        <s v="373@eling.es"/>
        <s v="260@hotmail.com"/>
        <s v="427@gmail.com"/>
        <s v="450@gmail.com"/>
        <s v="454@gmail.com"/>
        <s v="468@yahoo.es"/>
        <s v="470@gmail.com"/>
        <s v="481@gmail.com"/>
        <s v="521@gmail.com"/>
        <s v="526@gmail.com"/>
        <s v="565@gmail.com"/>
        <s v="569@hotmail.com"/>
        <s v="4070@hotmail.com"/>
        <s v="583@iesmontsia.org"/>
        <s v="615@iealcazar.com"/>
        <s v="3190@aprenergia.es"/>
        <s v="635@coneq.es"/>
        <s v="701@gmail.com"/>
        <s v="3037@gmail.com"/>
        <s v="642@ecoviv.eu"/>
        <s v="733@gmail.com"/>
        <s v="668@dipucordoba.es"/>
        <s v="3028@gmail.com"/>
        <s v="749@gmail.com"/>
        <s v="957@germaniaweb.com"/>
        <s v="684@gmail.com"/>
        <s v="2082@hotmail.com"/>
        <s v="3519@gmail.com"/>
        <s v="3030@a6ingenieria.es"/>
        <s v="634@easycharger.es"/>
        <s v="773@perequart.com"/>
        <s v="781@gmail.com"/>
        <s v="789@simsabdn.cat"/>
        <s v="609@ritelecenergia.es"/>
        <s v="800@taubertek.com"/>
        <s v="904@inboundcycle.com"/>
        <s v="418@proyectosict.net"/>
        <s v="823@gmail.com"/>
        <s v="217@esypro.net"/>
        <s v="3038@hotmail.com"/>
        <s v="933@orsei.es"/>
        <s v="868@gmail.com"/>
        <s v="3040@icloud.com"/>
        <s v="884@enersos.es"/>
        <s v="886@gmail.com"/>
        <s v="935@gmail.com"/>
        <s v="1004@telefonica.net"/>
        <s v="1039@yahoo.es"/>
        <s v="1064@abxat.com"/>
        <s v="1075@gmail.com"/>
        <s v="1111@hotmail.com"/>
        <s v="1117@hotmail.com"/>
        <s v="4728@birtes.com.tr"/>
        <s v="1265@hotmail.com"/>
        <s v="3890@gmail.com"/>
        <s v="1284@gmail.com"/>
        <s v="1369@atribal.es"/>
        <s v="1391@grupojab.es"/>
        <s v="187@castelyfernandez.es"/>
        <s v="1454@yahoo.es"/>
        <s v="1498@gmail.com"/>
        <s v="374@copitima.com"/>
        <s v="1515@expertline.es"/>
        <s v="1559@strong.es"/>
        <s v="1602@gmail.com"/>
        <s v="1603@gmail.com"/>
        <s v="1614@electronalon.es"/>
        <s v="1626@adaliaradio.com"/>
        <s v="1635@arevoltapc.com"/>
        <s v="647@apis-ing.es"/>
        <s v="380@acp-level.es"/>
        <s v="1673@gailmafra.com"/>
        <s v="1695@gruponortica.com"/>
        <s v="1716@fuengiroluz.es"/>
        <s v="1728@gmail.com"/>
        <s v="1778@gmail.com"/>
        <s v="1800@hotmail.com"/>
        <s v="1268@gamai.com"/>
        <s v="1901@gmail.com"/>
        <s v="1930@gmail.com"/>
        <s v="1675@exinor.com"/>
        <s v="1940@electromercantil.es"/>
        <s v="1965@tienda-gasnatural.com"/>
        <s v="1108@enginyerstarragona.cat"/>
        <s v="2029@sonepar.es"/>
        <s v="2057@gmail.com"/>
        <s v="1535@hotmail.com"/>
        <s v="1397@olibayas.net"/>
        <s v="2074@hotmail.com"/>
        <s v="2076@gmail.com"/>
        <s v="1443@hotmail.com"/>
        <s v="2083@gmail.com"/>
        <s v="2097@hotmail.com"/>
        <s v="2109@huelvanorte.es"/>
        <s v="2110@ingeconsulting.com"/>
        <s v="2112@gmail.com"/>
        <s v="808@ale.es"/>
        <s v="3086@gmail.com"/>
        <s v="2119@gmail.com"/>
        <s v="2366@energies.cat"/>
        <s v="2128@gmail.com"/>
        <s v="2140@gmail.com"/>
        <s v="2150@yahoo.es"/>
        <s v="3047@gmail.com"/>
        <s v="2195@yahoo.es"/>
        <s v="2208@wp.pl"/>
        <s v="2218@gmx.es"/>
        <s v="3201@sub-vidayfoto.com"/>
        <s v="2229@enerluz.es"/>
        <s v="595@centroasturianobarcelona.com"/>
        <s v="2252@energestic.es"/>
        <s v="2284@gmail.com"/>
        <s v="1414@gmail.com"/>
        <s v="2329@hotmail.com"/>
        <s v="2330@gmail.com"/>
        <s v="2388@gmail.com"/>
        <s v="2408@me.com"/>
        <s v="1687@gestilar.com"/>
        <s v="2440@imanzanera.com"/>
        <s v="654@staperpetua.cat"/>
        <s v="2483@gmail.com"/>
        <s v="2490@mantenencies.com"/>
        <s v="1377@hotmail.com"/>
        <s v="1654@movinetenergia.com"/>
        <s v="2530@galimar.com.es"/>
        <s v="1510@adelanteenergia.es"/>
        <s v="2531@arquitecturaygestion.com"/>
        <s v="2607@hotmail.com"/>
        <s v="862@fpcm.es"/>
        <s v="2619@gmail.com"/>
        <s v="2664@gmail.com"/>
        <s v="1104@gmail.com"/>
        <s v="2682@dipucuenca.es"/>
        <s v="2683@live.fr"/>
        <s v="2684@hotmail.com"/>
        <s v="2701@gmail.com"/>
        <s v="2703@hotmail.com"/>
        <s v="2706@opportunity-one.com"/>
        <s v="1295@hotmail.es"/>
        <s v="2764@gmail.com"/>
        <s v="2787@grupocematel.com"/>
        <s v="2793@gmail.com"/>
        <s v="1697@yahoo.es"/>
        <s v="1079@outlook.es"/>
        <s v="2824@gmail.com"/>
        <s v="4729@ono.com"/>
        <s v="2856@eurocabos.es"/>
        <s v="1021@proturhotels.com"/>
        <s v="2874@broa.net"/>
        <s v="2879@hbalcells.com"/>
        <s v="2860@soltecingenieros.com"/>
        <s v="2899@gmail.com"/>
        <s v="2916@diazrojo.com"/>
        <s v="2919@gmail.com"/>
        <s v="2914@aldaproyectos.es"/>
        <s v="3297@hotmail.com"/>
        <s v="4579@ingecan.net"/>
        <s v="2922@tecnicanorte.com"/>
        <s v="69@gmail.com"/>
        <s v="243@homcrea.fr"/>
        <s v="451@ingelux.com"/>
        <s v="726@gmail.com"/>
        <s v="601@gmail.com"/>
        <s v="597@svingenieria.com.co"/>
        <s v="4730@yahoo.com"/>
        <s v="801@hotmail.es"/>
        <s v="936@gmail.com"/>
        <s v="1063@gmail.com"/>
        <s v="1154@gmail.com"/>
        <s v="408@ic3sl.com"/>
        <s v="1489@gmail.com"/>
        <s v="1383@grupoazmont.com"/>
        <s v="1896@gmail.com"/>
        <s v="1487@gmail.com"/>
        <s v="2105@nauta.cu"/>
        <s v="2139@gmail.com"/>
        <s v="2220@hotmail.com"/>
        <s v="1659@orpoint.com"/>
        <s v="2289@hotmail.com"/>
        <s v="700@gmail.com"/>
        <s v="2444@gmail.com"/>
        <s v="1188@gmail.com"/>
        <s v="2560@gmail.com"/>
        <s v="4731@hotmail.com"/>
        <s v="834@gmail.com"/>
        <s v="2857@gmail.com"/>
        <s v="2862@gmail.com"/>
        <m/>
      </sharedItems>
    </cacheField>
    <cacheField name="Tipo de Miembro" numFmtId="0">
      <sharedItems containsBlank="1">
        <s v="Contacto"/>
        <s v="Lead"/>
        <s v="NA"/>
        <m/>
      </sharedItems>
    </cacheField>
    <cacheField name="Fecha de primera asociación de miembro" numFmtId="164">
      <sharedItems containsNonDate="0" containsDate="1" containsString="0" containsBlank="1" minDate="2020-01-10T00:00:00Z" maxDate="2020-07-01T00:00:00Z">
        <d v="2020-06-30T00:00:00Z"/>
        <d v="2020-06-28T00:00:00Z"/>
        <d v="2020-06-25T00:00:00Z"/>
        <d v="2020-06-24T00:00:00Z"/>
        <d v="2020-06-19T00:00:00Z"/>
        <d v="2020-06-18T00:00:00Z"/>
        <d v="2020-06-17T00:00:00Z"/>
        <d v="2020-06-16T00:00:00Z"/>
        <d v="2020-06-15T00:00:00Z"/>
        <d v="2020-06-11T00:00:00Z"/>
        <d v="2020-06-08T00:00:00Z"/>
        <d v="2020-06-04T00:00:00Z"/>
        <d v="2020-06-03T00:00:00Z"/>
        <d v="2020-06-01T00:00:00Z"/>
        <d v="2020-05-30T00:00:00Z"/>
        <d v="2020-05-25T00:00:00Z"/>
        <d v="2020-05-24T00:00:00Z"/>
        <d v="2020-05-23T00:00:00Z"/>
        <d v="2020-05-22T00:00:00Z"/>
        <d v="2020-05-21T00:00:00Z"/>
        <d v="2020-05-20T00:00:00Z"/>
        <d v="2020-05-19T00:00:00Z"/>
        <d v="2020-05-18T00:00:00Z"/>
        <d v="2020-05-16T00:00:00Z"/>
        <d v="2020-05-15T00:00:00Z"/>
        <d v="2020-05-14T00:00:00Z"/>
        <d v="2020-05-11T00:00:00Z"/>
        <d v="2020-05-10T00:00:00Z"/>
        <d v="2020-05-06T00:00:00Z"/>
        <d v="2020-05-04T00:00:00Z"/>
        <d v="2020-05-03T00:00:00Z"/>
        <d v="2020-05-01T00:00:00Z"/>
        <d v="2020-04-30T00:00:00Z"/>
        <d v="2020-04-29T00:00:00Z"/>
        <d v="2020-04-26T00:00:00Z"/>
        <d v="2020-04-23T00:00:00Z"/>
        <d v="2020-04-22T00:00:00Z"/>
        <d v="2020-04-21T00:00:00Z"/>
        <d v="2020-04-20T00:00:00Z"/>
        <d v="2020-04-19T00:00:00Z"/>
        <d v="2020-04-17T00:00:00Z"/>
        <d v="2020-04-16T00:00:00Z"/>
        <d v="2020-04-15T00:00:00Z"/>
        <d v="2020-04-14T00:00:00Z"/>
        <d v="2020-04-13T00:00:00Z"/>
        <d v="2020-04-12T00:00:00Z"/>
        <d v="2020-04-11T00:00:00Z"/>
        <d v="2020-04-09T00:00:00Z"/>
        <d v="2020-04-07T00:00:00Z"/>
        <d v="2020-04-05T00:00:00Z"/>
        <d v="2020-04-03T00:00:00Z"/>
        <d v="2020-04-02T00:00:00Z"/>
        <d v="2020-04-01T00:00:00Z"/>
        <d v="2020-03-31T00:00:00Z"/>
        <d v="2020-03-25T00:00:00Z"/>
        <d v="2020-03-24T00:00:00Z"/>
        <d v="2020-03-23T00:00:00Z"/>
        <d v="2020-03-22T00:00:00Z"/>
        <d v="2020-03-11T00:00:00Z"/>
        <d v="2020-03-10T00:00:00Z"/>
        <d v="2020-03-05T00:00:00Z"/>
        <d v="2020-03-03T00:00:00Z"/>
        <d v="2020-03-02T00:00:00Z"/>
        <d v="2020-02-28T00:00:00Z"/>
        <d v="2020-02-27T00:00:00Z"/>
        <d v="2020-02-25T00:00:00Z"/>
        <d v="2020-02-24T00:00:00Z"/>
        <d v="2020-02-17T00:00:00Z"/>
        <d v="2020-02-16T00:00:00Z"/>
        <d v="2020-02-13T00:00:00Z"/>
        <d v="2020-02-12T00:00:00Z"/>
        <d v="2020-02-11T00:00:00Z"/>
        <d v="2020-02-10T00:00:00Z"/>
        <d v="2020-02-06T00:00:00Z"/>
        <d v="2020-02-04T00:00:00Z"/>
        <d v="2020-01-31T00:00:00Z"/>
        <d v="2020-01-29T00:00:00Z"/>
        <d v="2020-01-27T00:00:00Z"/>
        <d v="2020-01-26T00:00:00Z"/>
        <d v="2020-01-21T00:00:00Z"/>
        <d v="2020-01-20T00:00:00Z"/>
        <d v="2020-01-15T00:00:00Z"/>
        <d v="2020-01-14T00:00:00Z"/>
        <d v="2020-01-13T00:00:00Z"/>
        <d v="2020-01-11T00:00:00Z"/>
        <d v="2020-01-10T00:00:00Z"/>
        <d v="2020-06-23T00:00:00Z"/>
        <d v="2020-04-27T00:00:00Z"/>
        <d v="2020-03-26T00:00:00Z"/>
        <d v="2020-03-20T00:00:00Z"/>
        <d v="2020-03-13T00:00:00Z"/>
        <d v="2020-03-04T00:00:00Z"/>
        <d v="2020-01-30T00:00:00Z"/>
        <m/>
      </sharedItems>
      <fieldGroup base="2">
        <rangePr autoStart="0" autoEnd="0" groupBy="months" startDate="2020-01-10T00:00:00Z" endDate="2020-07-01T00:00:00Z"/>
        <groupItems>
          <s v="&lt;01/10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/01/20"/>
        </groupItems>
      </fieldGroup>
    </cacheField>
    <cacheField name="Estado" numFmtId="0">
      <sharedItems containsBlank="1">
        <s v="Convertido"/>
        <s v="Descartado"/>
        <s v="NA"/>
        <s v="SQL"/>
        <s v="Nuevo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IC - FLOW! - Solicitudes BOFU " cacheId="0" dataCaption="" compact="0" compactData="0">
  <location ref="F1:G9" firstHeaderRow="0" firstDataRow="1" firstDataCol="0"/>
  <pivotFields>
    <pivotField name="Email_pseu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t="default"/>
      </items>
    </pivotField>
    <pivotField name="Email - Optim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t="default"/>
      </items>
    </pivotField>
    <pivotField name="SIC - Date notification MQL Oferta V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2"/>
  </rowFields>
  <dataFields>
    <dataField name="COUNTA of Email - Def" fld="1" subtotal="count" baseField="0"/>
  </dataFields>
</pivotTableDefinition>
</file>

<file path=xl/pivotTables/pivotTable2.xml><?xml version="1.0" encoding="utf-8"?>
<pivotTableDefinition xmlns="http://schemas.openxmlformats.org/spreadsheetml/2006/main" name="Results" cacheId="1" dataCaption="" compact="0" compactData="0">
  <location ref="A1:J15" firstHeaderRow="0" firstDataRow="2" firstDataCol="1"/>
  <pivotFields>
    <pivotField name="Emai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t="default"/>
      </items>
    </pivotField>
    <pivotField name="Tipo de Miembro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Fecha de primera asociación de miembro" axis="axisCol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stado" axis="axisRow" compact="0" outline="0" multipleItemSelectionAllowed="1" showAll="0" sortType="ascending">
      <items>
        <item x="5"/>
        <item x="0"/>
        <item x="1"/>
        <item x="2"/>
        <item x="4"/>
        <item x="3"/>
        <item t="default"/>
      </items>
    </pivotField>
  </pivotFields>
  <rowFields>
    <field x="1"/>
    <field x="3"/>
  </rowFields>
  <colFields>
    <field x="2"/>
  </colFields>
  <dataFields>
    <dataField name="COUNTA of Email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8.75"/>
    <col customWidth="1" min="2" max="2" width="15.38"/>
    <col customWidth="1" min="3" max="3" width="16.13"/>
    <col customWidth="1" min="4" max="5" width="12.63"/>
  </cols>
  <sheetData>
    <row r="1" ht="15.75" customHeight="1">
      <c r="A1" s="1" t="s">
        <v>0</v>
      </c>
      <c r="B1" s="2" t="s">
        <v>1</v>
      </c>
      <c r="C1" s="3" t="s">
        <v>2</v>
      </c>
    </row>
    <row r="2" ht="15.75" customHeight="1">
      <c r="A2" s="4" t="s">
        <v>3</v>
      </c>
      <c r="B2" s="5">
        <v>43928.0</v>
      </c>
      <c r="C2" s="4" t="s">
        <v>4</v>
      </c>
    </row>
    <row r="3" ht="15.75" customHeight="1">
      <c r="A3" s="4" t="s">
        <v>5</v>
      </c>
      <c r="B3" s="5">
        <v>43950.0</v>
      </c>
      <c r="C3" s="4" t="s">
        <v>6</v>
      </c>
    </row>
    <row r="4" ht="15.75" customHeight="1">
      <c r="A4" s="4" t="s">
        <v>7</v>
      </c>
      <c r="B4" s="5">
        <v>44006.0</v>
      </c>
      <c r="C4" s="4" t="s">
        <v>6</v>
      </c>
    </row>
    <row r="5" ht="15.75" customHeight="1">
      <c r="A5" s="4" t="s">
        <v>8</v>
      </c>
      <c r="B5" s="5">
        <v>43990.0</v>
      </c>
      <c r="C5" s="4" t="s">
        <v>4</v>
      </c>
    </row>
    <row r="6" ht="15.75" customHeight="1">
      <c r="A6" s="4" t="s">
        <v>9</v>
      </c>
      <c r="B6" s="5">
        <v>43950.0</v>
      </c>
      <c r="C6" s="4" t="s">
        <v>6</v>
      </c>
    </row>
    <row r="7" ht="15.75" customHeight="1">
      <c r="A7" s="4" t="s">
        <v>10</v>
      </c>
      <c r="B7" s="5">
        <v>43908.0</v>
      </c>
      <c r="C7" s="4" t="s">
        <v>6</v>
      </c>
    </row>
    <row r="8" ht="15.75" customHeight="1">
      <c r="A8" s="4" t="s">
        <v>11</v>
      </c>
      <c r="B8" s="5">
        <v>43896.0</v>
      </c>
      <c r="C8" s="4" t="s">
        <v>4</v>
      </c>
    </row>
    <row r="9" ht="15.75" customHeight="1">
      <c r="A9" s="4" t="s">
        <v>12</v>
      </c>
      <c r="B9" s="5">
        <v>43935.0</v>
      </c>
      <c r="C9" s="4" t="s">
        <v>4</v>
      </c>
    </row>
    <row r="10" ht="15.75" customHeight="1">
      <c r="A10" s="4" t="s">
        <v>13</v>
      </c>
      <c r="B10" s="5">
        <v>43950.0</v>
      </c>
      <c r="C10" s="4" t="s">
        <v>6</v>
      </c>
    </row>
    <row r="11" ht="15.75" customHeight="1">
      <c r="A11" s="4" t="s">
        <v>14</v>
      </c>
      <c r="B11" s="5">
        <v>43983.0</v>
      </c>
      <c r="C11" s="4" t="s">
        <v>15</v>
      </c>
    </row>
    <row r="12" ht="15.75" customHeight="1">
      <c r="A12" s="4" t="s">
        <v>16</v>
      </c>
      <c r="B12" s="5">
        <v>43908.0</v>
      </c>
      <c r="C12" s="4" t="s">
        <v>6</v>
      </c>
    </row>
    <row r="13" ht="15.75" customHeight="1">
      <c r="A13" s="4" t="s">
        <v>17</v>
      </c>
      <c r="B13" s="5">
        <v>43950.0</v>
      </c>
      <c r="C13" s="4" t="s">
        <v>6</v>
      </c>
    </row>
    <row r="14" ht="15.75" customHeight="1">
      <c r="A14" s="4" t="s">
        <v>18</v>
      </c>
      <c r="B14" s="5">
        <v>44005.0</v>
      </c>
      <c r="C14" s="4" t="s">
        <v>6</v>
      </c>
    </row>
    <row r="15" ht="15.75" customHeight="1">
      <c r="A15" s="4" t="s">
        <v>19</v>
      </c>
      <c r="B15" s="5">
        <v>43950.0</v>
      </c>
      <c r="C15" s="4" t="s">
        <v>6</v>
      </c>
    </row>
    <row r="16" ht="15.75" customHeight="1">
      <c r="A16" s="4" t="s">
        <v>20</v>
      </c>
      <c r="B16" s="5">
        <v>43971.0</v>
      </c>
      <c r="C16" s="4" t="s">
        <v>21</v>
      </c>
    </row>
    <row r="17" ht="15.75" customHeight="1">
      <c r="A17" s="4" t="s">
        <v>22</v>
      </c>
      <c r="B17" s="5">
        <v>43950.0</v>
      </c>
      <c r="C17" s="4" t="s">
        <v>6</v>
      </c>
    </row>
    <row r="18" ht="15.75" customHeight="1">
      <c r="A18" s="4" t="s">
        <v>23</v>
      </c>
      <c r="B18" s="5">
        <v>43928.0</v>
      </c>
      <c r="C18" s="4" t="s">
        <v>4</v>
      </c>
    </row>
    <row r="19" ht="15.75" customHeight="1">
      <c r="A19" s="4" t="s">
        <v>24</v>
      </c>
      <c r="B19" s="5">
        <v>43839.0</v>
      </c>
      <c r="C19" s="4" t="s">
        <v>21</v>
      </c>
    </row>
    <row r="20" ht="15.75" customHeight="1">
      <c r="A20" s="4" t="s">
        <v>25</v>
      </c>
      <c r="B20" s="5">
        <v>43950.0</v>
      </c>
      <c r="C20" s="4" t="s">
        <v>6</v>
      </c>
    </row>
    <row r="21" ht="15.75" customHeight="1">
      <c r="A21" s="4" t="s">
        <v>26</v>
      </c>
      <c r="B21" s="5">
        <v>43839.0</v>
      </c>
      <c r="C21" s="4" t="s">
        <v>4</v>
      </c>
    </row>
    <row r="22" ht="15.75" customHeight="1">
      <c r="A22" s="4" t="s">
        <v>27</v>
      </c>
      <c r="B22" s="5">
        <v>44004.0</v>
      </c>
      <c r="C22" s="4" t="s">
        <v>6</v>
      </c>
    </row>
    <row r="23" ht="15.75" customHeight="1">
      <c r="A23" s="4" t="s">
        <v>28</v>
      </c>
      <c r="B23" s="5">
        <v>43896.0</v>
      </c>
      <c r="C23" s="4" t="s">
        <v>4</v>
      </c>
    </row>
    <row r="24" ht="15.75" customHeight="1">
      <c r="A24" s="4" t="s">
        <v>29</v>
      </c>
      <c r="B24" s="5">
        <v>43896.0</v>
      </c>
      <c r="C24" s="4" t="s">
        <v>4</v>
      </c>
    </row>
    <row r="25" ht="15.75" customHeight="1">
      <c r="A25" s="4" t="s">
        <v>30</v>
      </c>
      <c r="B25" s="5">
        <v>43960.0</v>
      </c>
      <c r="C25" s="4" t="s">
        <v>6</v>
      </c>
    </row>
    <row r="26" ht="15.75" customHeight="1">
      <c r="A26" s="4" t="s">
        <v>31</v>
      </c>
      <c r="B26" s="5">
        <v>43987.0</v>
      </c>
      <c r="C26" s="4" t="s">
        <v>4</v>
      </c>
    </row>
    <row r="27" ht="15.75" customHeight="1">
      <c r="A27" s="4" t="s">
        <v>32</v>
      </c>
      <c r="B27" s="5">
        <v>43949.0</v>
      </c>
      <c r="C27" s="4" t="s">
        <v>6</v>
      </c>
    </row>
    <row r="28" ht="15.75" customHeight="1">
      <c r="A28" s="4" t="s">
        <v>33</v>
      </c>
      <c r="B28" s="5">
        <v>44004.0</v>
      </c>
      <c r="C28" s="4" t="s">
        <v>6</v>
      </c>
    </row>
    <row r="29" ht="15.75" customHeight="1">
      <c r="A29" s="4" t="s">
        <v>34</v>
      </c>
      <c r="B29" s="5">
        <v>43899.0</v>
      </c>
      <c r="C29" s="4" t="s">
        <v>4</v>
      </c>
    </row>
    <row r="30" ht="15.75" customHeight="1">
      <c r="A30" s="4" t="s">
        <v>35</v>
      </c>
      <c r="B30" s="5">
        <v>43908.0</v>
      </c>
      <c r="C30" s="4" t="s">
        <v>6</v>
      </c>
    </row>
    <row r="31" ht="15.75" customHeight="1">
      <c r="A31" s="4" t="s">
        <v>36</v>
      </c>
      <c r="B31" s="5">
        <v>43949.0</v>
      </c>
      <c r="C31" s="4" t="s">
        <v>6</v>
      </c>
    </row>
    <row r="32" ht="15.75" customHeight="1">
      <c r="A32" s="4" t="s">
        <v>37</v>
      </c>
      <c r="B32" s="5">
        <v>43932.0</v>
      </c>
      <c r="C32" s="4" t="s">
        <v>4</v>
      </c>
    </row>
    <row r="33" ht="15.75" customHeight="1">
      <c r="A33" s="4" t="s">
        <v>38</v>
      </c>
      <c r="B33" s="5">
        <v>43949.0</v>
      </c>
      <c r="C33" s="4" t="s">
        <v>6</v>
      </c>
    </row>
    <row r="34" ht="15.75" customHeight="1">
      <c r="A34" s="4" t="s">
        <v>39</v>
      </c>
      <c r="B34" s="5">
        <v>44004.0</v>
      </c>
      <c r="C34" s="4" t="s">
        <v>6</v>
      </c>
    </row>
    <row r="35" ht="15.75" customHeight="1">
      <c r="A35" s="4" t="s">
        <v>40</v>
      </c>
      <c r="B35" s="5">
        <v>44001.0</v>
      </c>
      <c r="C35" s="4" t="s">
        <v>6</v>
      </c>
    </row>
    <row r="36" ht="15.75" customHeight="1">
      <c r="A36" s="4" t="s">
        <v>41</v>
      </c>
      <c r="B36" s="5">
        <v>43949.0</v>
      </c>
      <c r="C36" s="4" t="s">
        <v>6</v>
      </c>
    </row>
    <row r="37" ht="15.75" customHeight="1">
      <c r="A37" s="4" t="s">
        <v>42</v>
      </c>
      <c r="B37" s="5">
        <v>43948.0</v>
      </c>
      <c r="C37" s="4" t="s">
        <v>6</v>
      </c>
    </row>
    <row r="38" ht="15.75" customHeight="1">
      <c r="A38" s="4" t="s">
        <v>43</v>
      </c>
      <c r="B38" s="5">
        <v>43896.0</v>
      </c>
      <c r="C38" s="4" t="s">
        <v>4</v>
      </c>
    </row>
    <row r="39" ht="15.75" customHeight="1">
      <c r="A39" s="4" t="s">
        <v>44</v>
      </c>
      <c r="B39" s="5">
        <v>43947.0</v>
      </c>
      <c r="C39" s="4" t="s">
        <v>6</v>
      </c>
    </row>
    <row r="40" ht="15.75" customHeight="1">
      <c r="A40" s="4" t="s">
        <v>45</v>
      </c>
      <c r="B40" s="5">
        <v>43831.0</v>
      </c>
      <c r="C40" s="4" t="s">
        <v>4</v>
      </c>
    </row>
    <row r="41" ht="15.75" customHeight="1">
      <c r="A41" s="4" t="s">
        <v>46</v>
      </c>
      <c r="B41" s="5">
        <v>43832.0</v>
      </c>
      <c r="C41" s="4" t="s">
        <v>47</v>
      </c>
    </row>
    <row r="42" ht="15.75" customHeight="1">
      <c r="A42" s="4" t="s">
        <v>48</v>
      </c>
      <c r="B42" s="5">
        <v>43832.0</v>
      </c>
      <c r="C42" s="4" t="s">
        <v>4</v>
      </c>
    </row>
    <row r="43" ht="15.75" customHeight="1">
      <c r="A43" s="4" t="s">
        <v>49</v>
      </c>
      <c r="B43" s="5">
        <v>43832.0</v>
      </c>
      <c r="C43" s="4" t="s">
        <v>21</v>
      </c>
    </row>
    <row r="44" ht="15.75" customHeight="1">
      <c r="A44" s="4" t="s">
        <v>50</v>
      </c>
      <c r="B44" s="5">
        <v>43832.0</v>
      </c>
      <c r="C44" s="4" t="s">
        <v>6</v>
      </c>
    </row>
    <row r="45" ht="15.75" customHeight="1">
      <c r="A45" s="4" t="s">
        <v>51</v>
      </c>
      <c r="B45" s="5">
        <v>43832.0</v>
      </c>
      <c r="C45" s="4" t="s">
        <v>6</v>
      </c>
    </row>
    <row r="46" ht="15.75" customHeight="1">
      <c r="A46" s="4" t="s">
        <v>52</v>
      </c>
      <c r="B46" s="5">
        <v>43832.0</v>
      </c>
      <c r="C46" s="4" t="s">
        <v>53</v>
      </c>
    </row>
    <row r="47" ht="15.75" customHeight="1">
      <c r="A47" s="4" t="s">
        <v>54</v>
      </c>
      <c r="B47" s="5">
        <v>43832.0</v>
      </c>
      <c r="C47" s="4" t="s">
        <v>21</v>
      </c>
    </row>
    <row r="48" ht="15.75" customHeight="1">
      <c r="A48" s="4" t="s">
        <v>55</v>
      </c>
      <c r="B48" s="5">
        <v>43832.0</v>
      </c>
      <c r="C48" s="4" t="s">
        <v>4</v>
      </c>
    </row>
    <row r="49" ht="15.75" customHeight="1">
      <c r="A49" s="4" t="s">
        <v>56</v>
      </c>
      <c r="B49" s="5">
        <v>43833.0</v>
      </c>
      <c r="C49" s="4" t="s">
        <v>21</v>
      </c>
    </row>
    <row r="50" ht="15.75" customHeight="1">
      <c r="A50" s="4" t="s">
        <v>57</v>
      </c>
      <c r="B50" s="5">
        <v>43833.0</v>
      </c>
      <c r="C50" s="4" t="s">
        <v>6</v>
      </c>
    </row>
    <row r="51" ht="15.75" customHeight="1">
      <c r="A51" s="4" t="s">
        <v>58</v>
      </c>
      <c r="B51" s="5">
        <v>43833.0</v>
      </c>
      <c r="C51" s="4" t="s">
        <v>21</v>
      </c>
    </row>
    <row r="52" ht="15.75" customHeight="1">
      <c r="A52" s="4" t="s">
        <v>59</v>
      </c>
      <c r="B52" s="5">
        <v>43907.0</v>
      </c>
      <c r="C52" s="4" t="s">
        <v>6</v>
      </c>
    </row>
    <row r="53" ht="15.75" customHeight="1">
      <c r="A53" s="4" t="s">
        <v>60</v>
      </c>
      <c r="B53" s="5">
        <v>43833.0</v>
      </c>
      <c r="C53" s="4" t="s">
        <v>4</v>
      </c>
    </row>
    <row r="54" ht="15.75" customHeight="1">
      <c r="A54" s="4" t="s">
        <v>61</v>
      </c>
      <c r="B54" s="5">
        <v>43833.0</v>
      </c>
      <c r="C54" s="4" t="s">
        <v>4</v>
      </c>
    </row>
    <row r="55" ht="15.75" customHeight="1">
      <c r="A55" s="4" t="s">
        <v>62</v>
      </c>
      <c r="B55" s="5">
        <v>43833.0</v>
      </c>
      <c r="C55" s="4" t="s">
        <v>4</v>
      </c>
    </row>
    <row r="56" ht="15.75" customHeight="1">
      <c r="A56" s="4" t="s">
        <v>63</v>
      </c>
      <c r="B56" s="5">
        <v>43833.0</v>
      </c>
      <c r="C56" s="4" t="s">
        <v>4</v>
      </c>
    </row>
    <row r="57" ht="15.75" customHeight="1">
      <c r="A57" s="4" t="s">
        <v>64</v>
      </c>
      <c r="B57" s="5">
        <v>43833.0</v>
      </c>
      <c r="C57" s="4" t="s">
        <v>4</v>
      </c>
    </row>
    <row r="58" ht="15.75" customHeight="1">
      <c r="A58" s="4" t="s">
        <v>65</v>
      </c>
      <c r="B58" s="5">
        <v>43833.0</v>
      </c>
      <c r="C58" s="4" t="s">
        <v>21</v>
      </c>
    </row>
    <row r="59" ht="15.75" customHeight="1">
      <c r="A59" s="4" t="s">
        <v>66</v>
      </c>
      <c r="B59" s="5">
        <v>43833.0</v>
      </c>
      <c r="C59" s="4" t="s">
        <v>21</v>
      </c>
    </row>
    <row r="60" ht="15.75" customHeight="1">
      <c r="A60" s="4" t="s">
        <v>67</v>
      </c>
      <c r="B60" s="5">
        <v>43833.0</v>
      </c>
      <c r="C60" s="4" t="s">
        <v>21</v>
      </c>
    </row>
    <row r="61" ht="15.75" customHeight="1">
      <c r="A61" s="4" t="s">
        <v>68</v>
      </c>
      <c r="B61" s="5">
        <v>43836.0</v>
      </c>
      <c r="C61" s="4" t="s">
        <v>21</v>
      </c>
    </row>
    <row r="62" ht="15.75" customHeight="1">
      <c r="A62" s="4" t="s">
        <v>69</v>
      </c>
      <c r="B62" s="5">
        <v>43836.0</v>
      </c>
      <c r="C62" s="4" t="s">
        <v>21</v>
      </c>
    </row>
    <row r="63" ht="15.75" customHeight="1">
      <c r="A63" s="4" t="s">
        <v>70</v>
      </c>
      <c r="B63" s="5">
        <v>43836.0</v>
      </c>
      <c r="C63" s="4" t="s">
        <v>6</v>
      </c>
    </row>
    <row r="64" ht="15.75" customHeight="1">
      <c r="A64" s="4" t="s">
        <v>71</v>
      </c>
      <c r="B64" s="5">
        <v>43836.0</v>
      </c>
      <c r="C64" s="4" t="s">
        <v>6</v>
      </c>
    </row>
    <row r="65" ht="15.75" customHeight="1">
      <c r="A65" s="4" t="s">
        <v>72</v>
      </c>
      <c r="B65" s="5">
        <v>43837.0</v>
      </c>
      <c r="C65" s="4" t="s">
        <v>4</v>
      </c>
    </row>
    <row r="66" ht="15.75" customHeight="1">
      <c r="A66" s="4" t="s">
        <v>73</v>
      </c>
      <c r="B66" s="5">
        <v>43837.0</v>
      </c>
      <c r="C66" s="4" t="s">
        <v>21</v>
      </c>
    </row>
    <row r="67" ht="15.75" customHeight="1">
      <c r="A67" s="4" t="s">
        <v>74</v>
      </c>
      <c r="B67" s="5">
        <v>43837.0</v>
      </c>
      <c r="C67" s="4" t="s">
        <v>4</v>
      </c>
    </row>
    <row r="68" ht="15.75" customHeight="1">
      <c r="A68" s="4" t="s">
        <v>75</v>
      </c>
      <c r="B68" s="5">
        <v>43837.0</v>
      </c>
      <c r="C68" s="4" t="s">
        <v>4</v>
      </c>
    </row>
    <row r="69" ht="15.75" customHeight="1">
      <c r="A69" s="4" t="s">
        <v>76</v>
      </c>
      <c r="B69" s="5">
        <v>43837.0</v>
      </c>
      <c r="C69" s="4" t="s">
        <v>4</v>
      </c>
    </row>
    <row r="70" ht="15.75" customHeight="1">
      <c r="A70" s="4" t="s">
        <v>77</v>
      </c>
      <c r="B70" s="5">
        <v>43838.0</v>
      </c>
      <c r="C70" s="4" t="s">
        <v>21</v>
      </c>
    </row>
    <row r="71" ht="15.75" customHeight="1">
      <c r="A71" s="4" t="s">
        <v>78</v>
      </c>
      <c r="B71" s="5">
        <v>43838.0</v>
      </c>
      <c r="C71" s="4" t="s">
        <v>21</v>
      </c>
    </row>
    <row r="72" ht="15.75" customHeight="1">
      <c r="A72" s="4" t="s">
        <v>79</v>
      </c>
      <c r="B72" s="5">
        <v>43838.0</v>
      </c>
      <c r="C72" s="4" t="s">
        <v>21</v>
      </c>
    </row>
    <row r="73" ht="15.75" customHeight="1">
      <c r="A73" s="4" t="s">
        <v>80</v>
      </c>
      <c r="B73" s="5">
        <v>43838.0</v>
      </c>
      <c r="C73" s="4" t="s">
        <v>21</v>
      </c>
    </row>
    <row r="74" ht="15.75" customHeight="1">
      <c r="A74" s="4" t="s">
        <v>81</v>
      </c>
      <c r="B74" s="5">
        <v>43838.0</v>
      </c>
      <c r="C74" s="4" t="s">
        <v>21</v>
      </c>
    </row>
    <row r="75" ht="15.75" customHeight="1">
      <c r="A75" s="4" t="s">
        <v>82</v>
      </c>
      <c r="B75" s="5">
        <v>43838.0</v>
      </c>
      <c r="C75" s="4" t="s">
        <v>21</v>
      </c>
    </row>
    <row r="76" ht="15.75" customHeight="1">
      <c r="A76" s="4" t="s">
        <v>83</v>
      </c>
      <c r="B76" s="5">
        <v>43838.0</v>
      </c>
      <c r="C76" s="4" t="s">
        <v>21</v>
      </c>
    </row>
    <row r="77" ht="15.75" customHeight="1">
      <c r="A77" s="4" t="s">
        <v>84</v>
      </c>
      <c r="B77" s="5">
        <v>43838.0</v>
      </c>
      <c r="C77" s="4" t="s">
        <v>21</v>
      </c>
    </row>
    <row r="78" ht="15.75" customHeight="1">
      <c r="A78" s="4" t="s">
        <v>85</v>
      </c>
      <c r="B78" s="5">
        <v>43838.0</v>
      </c>
      <c r="C78" s="4" t="s">
        <v>21</v>
      </c>
    </row>
    <row r="79" ht="15.75" customHeight="1">
      <c r="A79" s="4" t="s">
        <v>86</v>
      </c>
      <c r="B79" s="5">
        <v>43838.0</v>
      </c>
      <c r="C79" s="4" t="s">
        <v>21</v>
      </c>
    </row>
    <row r="80" ht="15.75" customHeight="1">
      <c r="A80" s="4" t="s">
        <v>87</v>
      </c>
      <c r="B80" s="5">
        <v>43838.0</v>
      </c>
      <c r="C80" s="4" t="s">
        <v>21</v>
      </c>
    </row>
    <row r="81" ht="15.75" customHeight="1">
      <c r="A81" s="4" t="s">
        <v>88</v>
      </c>
      <c r="B81" s="5">
        <v>43839.0</v>
      </c>
      <c r="C81" s="4" t="s">
        <v>21</v>
      </c>
    </row>
    <row r="82" ht="15.75" customHeight="1">
      <c r="A82" s="4" t="s">
        <v>89</v>
      </c>
      <c r="B82" s="5">
        <v>43839.0</v>
      </c>
      <c r="C82" s="4" t="s">
        <v>4</v>
      </c>
    </row>
    <row r="83" ht="15.75" customHeight="1">
      <c r="A83" s="4" t="s">
        <v>90</v>
      </c>
      <c r="B83" s="5">
        <v>43839.0</v>
      </c>
      <c r="C83" s="4" t="s">
        <v>4</v>
      </c>
    </row>
    <row r="84" ht="15.75" customHeight="1">
      <c r="A84" s="4" t="s">
        <v>91</v>
      </c>
      <c r="B84" s="5">
        <v>43839.0</v>
      </c>
      <c r="C84" s="4" t="s">
        <v>4</v>
      </c>
    </row>
    <row r="85" ht="15.75" customHeight="1">
      <c r="A85" s="4" t="s">
        <v>92</v>
      </c>
      <c r="B85" s="5">
        <v>43839.0</v>
      </c>
      <c r="C85" s="4" t="s">
        <v>4</v>
      </c>
    </row>
    <row r="86" ht="15.75" customHeight="1">
      <c r="A86" s="4" t="s">
        <v>93</v>
      </c>
      <c r="B86" s="5">
        <v>43839.0</v>
      </c>
      <c r="C86" s="4" t="s">
        <v>4</v>
      </c>
    </row>
    <row r="87" ht="15.75" customHeight="1">
      <c r="A87" s="4" t="s">
        <v>94</v>
      </c>
      <c r="B87" s="5">
        <v>43839.0</v>
      </c>
      <c r="C87" s="4" t="s">
        <v>4</v>
      </c>
    </row>
    <row r="88" ht="15.75" customHeight="1">
      <c r="A88" s="4" t="s">
        <v>95</v>
      </c>
      <c r="B88" s="5">
        <v>43839.0</v>
      </c>
      <c r="C88" s="4" t="s">
        <v>53</v>
      </c>
    </row>
    <row r="89" ht="15.75" customHeight="1">
      <c r="A89" s="4" t="s">
        <v>96</v>
      </c>
      <c r="B89" s="5">
        <v>43839.0</v>
      </c>
      <c r="C89" s="4" t="s">
        <v>47</v>
      </c>
    </row>
    <row r="90" ht="15.75" customHeight="1">
      <c r="A90" s="4" t="s">
        <v>97</v>
      </c>
      <c r="B90" s="5">
        <v>43839.0</v>
      </c>
      <c r="C90" s="4" t="s">
        <v>4</v>
      </c>
    </row>
    <row r="91" ht="15.75" customHeight="1">
      <c r="A91" s="4" t="s">
        <v>98</v>
      </c>
      <c r="B91" s="5">
        <v>43839.0</v>
      </c>
      <c r="C91" s="4" t="s">
        <v>4</v>
      </c>
    </row>
    <row r="92" ht="15.75" customHeight="1">
      <c r="A92" s="4" t="s">
        <v>99</v>
      </c>
      <c r="B92" s="5">
        <v>43839.0</v>
      </c>
      <c r="C92" s="4" t="s">
        <v>4</v>
      </c>
    </row>
    <row r="93" ht="15.75" customHeight="1">
      <c r="A93" s="4" t="s">
        <v>100</v>
      </c>
      <c r="B93" s="5">
        <v>43839.0</v>
      </c>
      <c r="C93" s="4" t="s">
        <v>4</v>
      </c>
    </row>
    <row r="94" ht="15.75" customHeight="1">
      <c r="A94" s="4" t="s">
        <v>101</v>
      </c>
      <c r="B94" s="5">
        <v>43839.0</v>
      </c>
      <c r="C94" s="4" t="s">
        <v>4</v>
      </c>
    </row>
    <row r="95" ht="15.75" customHeight="1">
      <c r="A95" s="4" t="s">
        <v>102</v>
      </c>
      <c r="B95" s="5">
        <v>43839.0</v>
      </c>
      <c r="C95" s="4" t="s">
        <v>4</v>
      </c>
    </row>
    <row r="96" ht="15.75" customHeight="1">
      <c r="A96" s="4" t="s">
        <v>103</v>
      </c>
      <c r="B96" s="5">
        <v>43839.0</v>
      </c>
      <c r="C96" s="4" t="s">
        <v>4</v>
      </c>
    </row>
    <row r="97" ht="15.75" customHeight="1">
      <c r="A97" s="4" t="s">
        <v>104</v>
      </c>
      <c r="B97" s="5">
        <v>43839.0</v>
      </c>
      <c r="C97" s="4" t="s">
        <v>4</v>
      </c>
    </row>
    <row r="98" ht="15.75" customHeight="1">
      <c r="A98" s="4" t="s">
        <v>105</v>
      </c>
      <c r="B98" s="5">
        <v>43839.0</v>
      </c>
      <c r="C98" s="4" t="s">
        <v>4</v>
      </c>
    </row>
    <row r="99" ht="15.75" customHeight="1">
      <c r="A99" s="4" t="s">
        <v>106</v>
      </c>
      <c r="B99" s="5">
        <v>43839.0</v>
      </c>
      <c r="C99" s="4" t="s">
        <v>4</v>
      </c>
    </row>
    <row r="100" ht="15.75" customHeight="1">
      <c r="A100" s="4" t="s">
        <v>107</v>
      </c>
      <c r="B100" s="5">
        <v>43839.0</v>
      </c>
      <c r="C100" s="4" t="s">
        <v>4</v>
      </c>
    </row>
    <row r="101" ht="15.75" customHeight="1">
      <c r="A101" s="4" t="s">
        <v>108</v>
      </c>
      <c r="B101" s="5">
        <v>43839.0</v>
      </c>
      <c r="C101" s="4" t="s">
        <v>4</v>
      </c>
    </row>
    <row r="102" ht="15.75" customHeight="1">
      <c r="A102" s="4" t="s">
        <v>109</v>
      </c>
      <c r="B102" s="5">
        <v>43839.0</v>
      </c>
      <c r="C102" s="4" t="s">
        <v>4</v>
      </c>
    </row>
    <row r="103" ht="15.75" customHeight="1">
      <c r="A103" s="4" t="s">
        <v>110</v>
      </c>
      <c r="B103" s="5">
        <v>43839.0</v>
      </c>
      <c r="C103" s="4" t="s">
        <v>4</v>
      </c>
    </row>
    <row r="104" ht="15.75" customHeight="1">
      <c r="A104" s="4" t="s">
        <v>111</v>
      </c>
      <c r="B104" s="5">
        <v>43839.0</v>
      </c>
      <c r="C104" s="4" t="s">
        <v>4</v>
      </c>
    </row>
    <row r="105" ht="15.75" customHeight="1">
      <c r="A105" s="4" t="s">
        <v>112</v>
      </c>
      <c r="B105" s="5">
        <v>43839.0</v>
      </c>
      <c r="C105" s="4" t="s">
        <v>4</v>
      </c>
    </row>
    <row r="106" ht="15.75" customHeight="1">
      <c r="A106" s="4" t="s">
        <v>113</v>
      </c>
      <c r="B106" s="5">
        <v>43839.0</v>
      </c>
      <c r="C106" s="4" t="s">
        <v>4</v>
      </c>
    </row>
    <row r="107" ht="15.75" customHeight="1">
      <c r="A107" s="4" t="s">
        <v>114</v>
      </c>
      <c r="B107" s="5">
        <v>43839.0</v>
      </c>
      <c r="C107" s="4" t="s">
        <v>21</v>
      </c>
    </row>
    <row r="108" ht="15.75" customHeight="1">
      <c r="A108" s="4" t="s">
        <v>115</v>
      </c>
      <c r="B108" s="5">
        <v>43839.0</v>
      </c>
      <c r="C108" s="4" t="s">
        <v>4</v>
      </c>
    </row>
    <row r="109" ht="15.75" customHeight="1">
      <c r="A109" s="4" t="s">
        <v>116</v>
      </c>
      <c r="B109" s="5">
        <v>43839.0</v>
      </c>
      <c r="C109" s="4" t="s">
        <v>47</v>
      </c>
    </row>
    <row r="110" ht="15.75" customHeight="1">
      <c r="A110" s="4" t="s">
        <v>117</v>
      </c>
      <c r="B110" s="5">
        <v>43839.0</v>
      </c>
      <c r="C110" s="4" t="s">
        <v>47</v>
      </c>
    </row>
    <row r="111" ht="15.75" customHeight="1">
      <c r="A111" s="4" t="s">
        <v>118</v>
      </c>
      <c r="B111" s="5">
        <v>43839.0</v>
      </c>
      <c r="C111" s="4" t="s">
        <v>47</v>
      </c>
    </row>
    <row r="112" ht="15.75" customHeight="1">
      <c r="A112" s="4" t="s">
        <v>119</v>
      </c>
      <c r="B112" s="5">
        <v>43839.0</v>
      </c>
      <c r="C112" s="4" t="s">
        <v>47</v>
      </c>
    </row>
    <row r="113" ht="15.75" customHeight="1">
      <c r="A113" s="4" t="s">
        <v>120</v>
      </c>
      <c r="B113" s="5">
        <v>43839.0</v>
      </c>
      <c r="C113" s="4" t="s">
        <v>47</v>
      </c>
    </row>
    <row r="114" ht="15.75" customHeight="1">
      <c r="A114" s="4" t="s">
        <v>121</v>
      </c>
      <c r="B114" s="5">
        <v>43839.0</v>
      </c>
      <c r="C114" s="4" t="s">
        <v>47</v>
      </c>
    </row>
    <row r="115" ht="15.75" customHeight="1">
      <c r="A115" s="4" t="s">
        <v>122</v>
      </c>
      <c r="B115" s="5">
        <v>43839.0</v>
      </c>
      <c r="C115" s="4" t="s">
        <v>47</v>
      </c>
    </row>
    <row r="116" ht="15.75" customHeight="1">
      <c r="A116" s="4" t="s">
        <v>123</v>
      </c>
      <c r="B116" s="5">
        <v>43839.0</v>
      </c>
      <c r="C116" s="4" t="s">
        <v>47</v>
      </c>
    </row>
    <row r="117" ht="15.75" customHeight="1">
      <c r="A117" s="4" t="s">
        <v>124</v>
      </c>
      <c r="B117" s="5">
        <v>43839.0</v>
      </c>
      <c r="C117" s="4" t="s">
        <v>47</v>
      </c>
    </row>
    <row r="118" ht="15.75" customHeight="1">
      <c r="A118" s="4" t="s">
        <v>125</v>
      </c>
      <c r="B118" s="5">
        <v>43839.0</v>
      </c>
      <c r="C118" s="4" t="s">
        <v>6</v>
      </c>
    </row>
    <row r="119" ht="15.75" customHeight="1">
      <c r="A119" s="4" t="s">
        <v>126</v>
      </c>
      <c r="B119" s="5">
        <v>43839.0</v>
      </c>
      <c r="C119" s="4" t="s">
        <v>4</v>
      </c>
    </row>
    <row r="120" ht="15.75" customHeight="1">
      <c r="A120" s="4" t="s">
        <v>127</v>
      </c>
      <c r="B120" s="5">
        <v>43839.0</v>
      </c>
      <c r="C120" s="4" t="s">
        <v>15</v>
      </c>
    </row>
    <row r="121" ht="15.75" customHeight="1">
      <c r="A121" s="4" t="s">
        <v>128</v>
      </c>
      <c r="B121" s="5">
        <v>43840.0</v>
      </c>
      <c r="C121" s="4" t="s">
        <v>21</v>
      </c>
    </row>
    <row r="122" ht="15.75" customHeight="1">
      <c r="A122" s="4" t="s">
        <v>129</v>
      </c>
      <c r="B122" s="5">
        <v>43840.0</v>
      </c>
      <c r="C122" s="4" t="s">
        <v>21</v>
      </c>
    </row>
    <row r="123" ht="15.75" customHeight="1">
      <c r="A123" s="4" t="s">
        <v>130</v>
      </c>
      <c r="B123" s="5">
        <v>43840.0</v>
      </c>
      <c r="C123" s="4" t="s">
        <v>4</v>
      </c>
    </row>
    <row r="124" ht="15.75" customHeight="1">
      <c r="A124" s="4" t="s">
        <v>131</v>
      </c>
      <c r="B124" s="5">
        <v>43840.0</v>
      </c>
      <c r="C124" s="4" t="s">
        <v>4</v>
      </c>
    </row>
    <row r="125" ht="15.75" customHeight="1">
      <c r="A125" s="4" t="s">
        <v>132</v>
      </c>
      <c r="B125" s="5">
        <v>43840.0</v>
      </c>
      <c r="C125" s="4" t="s">
        <v>4</v>
      </c>
    </row>
    <row r="126" ht="15.75" customHeight="1">
      <c r="A126" s="4" t="s">
        <v>133</v>
      </c>
      <c r="B126" s="5">
        <v>43840.0</v>
      </c>
      <c r="C126" s="4" t="s">
        <v>4</v>
      </c>
    </row>
    <row r="127" ht="15.75" customHeight="1">
      <c r="A127" s="4" t="s">
        <v>134</v>
      </c>
      <c r="B127" s="5">
        <v>43840.0</v>
      </c>
      <c r="C127" s="4" t="s">
        <v>4</v>
      </c>
    </row>
    <row r="128" ht="15.75" customHeight="1">
      <c r="A128" s="4" t="s">
        <v>135</v>
      </c>
      <c r="B128" s="5">
        <v>43840.0</v>
      </c>
      <c r="C128" s="4" t="s">
        <v>4</v>
      </c>
    </row>
    <row r="129" ht="15.75" customHeight="1">
      <c r="A129" s="4" t="s">
        <v>136</v>
      </c>
      <c r="B129" s="5">
        <v>43840.0</v>
      </c>
      <c r="C129" s="4" t="s">
        <v>21</v>
      </c>
    </row>
    <row r="130" ht="15.75" customHeight="1">
      <c r="A130" s="4" t="s">
        <v>137</v>
      </c>
      <c r="B130" s="5">
        <v>43840.0</v>
      </c>
      <c r="C130" s="4" t="s">
        <v>47</v>
      </c>
    </row>
    <row r="131" ht="15.75" customHeight="1">
      <c r="A131" s="4" t="s">
        <v>138</v>
      </c>
      <c r="B131" s="5">
        <v>43840.0</v>
      </c>
      <c r="C131" s="4" t="s">
        <v>21</v>
      </c>
    </row>
    <row r="132" ht="15.75" customHeight="1">
      <c r="A132" s="4" t="s">
        <v>139</v>
      </c>
      <c r="B132" s="5">
        <v>43840.0</v>
      </c>
      <c r="C132" s="4" t="s">
        <v>47</v>
      </c>
    </row>
    <row r="133" ht="15.75" customHeight="1">
      <c r="A133" s="4" t="s">
        <v>140</v>
      </c>
      <c r="B133" s="5">
        <v>43840.0</v>
      </c>
      <c r="C133" s="4" t="s">
        <v>21</v>
      </c>
    </row>
    <row r="134" ht="15.75" customHeight="1">
      <c r="A134" s="4" t="s">
        <v>141</v>
      </c>
      <c r="B134" s="5">
        <v>43841.0</v>
      </c>
      <c r="C134" s="4" t="s">
        <v>4</v>
      </c>
    </row>
    <row r="135" ht="15.75" customHeight="1">
      <c r="A135" s="4" t="s">
        <v>142</v>
      </c>
      <c r="B135" s="5">
        <v>43842.0</v>
      </c>
      <c r="C135" s="4" t="s">
        <v>4</v>
      </c>
    </row>
    <row r="136" ht="15.75" customHeight="1">
      <c r="A136" s="4" t="s">
        <v>143</v>
      </c>
      <c r="B136" s="5">
        <v>43842.0</v>
      </c>
      <c r="C136" s="4" t="s">
        <v>4</v>
      </c>
    </row>
    <row r="137" ht="15.75" customHeight="1">
      <c r="A137" s="4" t="s">
        <v>144</v>
      </c>
      <c r="B137" s="5">
        <v>43843.0</v>
      </c>
      <c r="C137" s="4" t="s">
        <v>4</v>
      </c>
    </row>
    <row r="138" ht="15.75" customHeight="1">
      <c r="A138" s="4" t="s">
        <v>145</v>
      </c>
      <c r="B138" s="5">
        <v>43843.0</v>
      </c>
      <c r="C138" s="4" t="s">
        <v>4</v>
      </c>
    </row>
    <row r="139" ht="15.75" customHeight="1">
      <c r="A139" s="4" t="s">
        <v>146</v>
      </c>
      <c r="B139" s="5">
        <v>43843.0</v>
      </c>
      <c r="C139" s="4" t="s">
        <v>4</v>
      </c>
    </row>
    <row r="140" ht="15.75" customHeight="1">
      <c r="A140" s="4" t="s">
        <v>147</v>
      </c>
      <c r="B140" s="5">
        <v>43843.0</v>
      </c>
      <c r="C140" s="4" t="s">
        <v>4</v>
      </c>
    </row>
    <row r="141" ht="15.75" customHeight="1">
      <c r="A141" s="4" t="s">
        <v>148</v>
      </c>
      <c r="B141" s="5">
        <v>43843.0</v>
      </c>
      <c r="C141" s="4" t="s">
        <v>4</v>
      </c>
    </row>
    <row r="142" ht="15.75" customHeight="1">
      <c r="A142" s="4" t="s">
        <v>149</v>
      </c>
      <c r="B142" s="5">
        <v>43843.0</v>
      </c>
      <c r="C142" s="4" t="s">
        <v>4</v>
      </c>
    </row>
    <row r="143" ht="15.75" customHeight="1">
      <c r="A143" s="4" t="s">
        <v>150</v>
      </c>
      <c r="B143" s="5">
        <v>43843.0</v>
      </c>
      <c r="C143" s="4" t="s">
        <v>4</v>
      </c>
    </row>
    <row r="144" ht="15.75" customHeight="1">
      <c r="A144" s="4" t="s">
        <v>151</v>
      </c>
      <c r="B144" s="5">
        <v>43843.0</v>
      </c>
      <c r="C144" s="4" t="s">
        <v>21</v>
      </c>
    </row>
    <row r="145" ht="15.75" customHeight="1">
      <c r="A145" s="4" t="s">
        <v>152</v>
      </c>
      <c r="B145" s="5">
        <v>43843.0</v>
      </c>
      <c r="C145" s="4" t="s">
        <v>53</v>
      </c>
    </row>
    <row r="146" ht="15.75" customHeight="1">
      <c r="A146" s="4" t="s">
        <v>153</v>
      </c>
      <c r="B146" s="5">
        <v>43843.0</v>
      </c>
      <c r="C146" s="4" t="s">
        <v>47</v>
      </c>
    </row>
    <row r="147" ht="15.75" customHeight="1">
      <c r="A147" s="4" t="s">
        <v>154</v>
      </c>
      <c r="B147" s="5">
        <v>43843.0</v>
      </c>
      <c r="C147" s="4" t="s">
        <v>47</v>
      </c>
    </row>
    <row r="148" ht="15.75" customHeight="1">
      <c r="A148" s="4" t="s">
        <v>155</v>
      </c>
      <c r="B148" s="5">
        <v>43844.0</v>
      </c>
      <c r="C148" s="4" t="s">
        <v>47</v>
      </c>
    </row>
    <row r="149" ht="15.75" customHeight="1">
      <c r="A149" s="4" t="s">
        <v>156</v>
      </c>
      <c r="B149" s="5">
        <v>43844.0</v>
      </c>
      <c r="C149" s="4" t="s">
        <v>47</v>
      </c>
    </row>
    <row r="150" ht="15.75" customHeight="1">
      <c r="A150" s="4" t="s">
        <v>157</v>
      </c>
      <c r="B150" s="5">
        <v>43844.0</v>
      </c>
      <c r="C150" s="4" t="s">
        <v>4</v>
      </c>
    </row>
    <row r="151" ht="15.75" customHeight="1">
      <c r="A151" s="4" t="s">
        <v>158</v>
      </c>
      <c r="B151" s="5">
        <v>43844.0</v>
      </c>
      <c r="C151" s="4" t="s">
        <v>4</v>
      </c>
    </row>
    <row r="152" ht="15.75" customHeight="1">
      <c r="A152" s="4" t="s">
        <v>159</v>
      </c>
      <c r="B152" s="5">
        <v>43844.0</v>
      </c>
      <c r="C152" s="4" t="s">
        <v>4</v>
      </c>
    </row>
    <row r="153" ht="15.75" customHeight="1">
      <c r="A153" s="4" t="s">
        <v>160</v>
      </c>
      <c r="B153" s="5">
        <v>43844.0</v>
      </c>
      <c r="C153" s="4" t="s">
        <v>4</v>
      </c>
    </row>
    <row r="154" ht="15.75" customHeight="1">
      <c r="A154" s="4" t="s">
        <v>161</v>
      </c>
      <c r="B154" s="5">
        <v>43844.0</v>
      </c>
      <c r="C154" s="4" t="s">
        <v>21</v>
      </c>
    </row>
    <row r="155" ht="15.75" customHeight="1">
      <c r="A155" s="4" t="s">
        <v>162</v>
      </c>
      <c r="B155" s="5">
        <v>43844.0</v>
      </c>
      <c r="C155" s="4" t="s">
        <v>47</v>
      </c>
    </row>
    <row r="156" ht="15.75" customHeight="1">
      <c r="A156" s="4" t="s">
        <v>163</v>
      </c>
      <c r="B156" s="5">
        <v>43844.0</v>
      </c>
      <c r="C156" s="4" t="s">
        <v>21</v>
      </c>
    </row>
    <row r="157" ht="15.75" customHeight="1">
      <c r="A157" s="4" t="s">
        <v>164</v>
      </c>
      <c r="B157" s="5">
        <v>43844.0</v>
      </c>
      <c r="C157" s="4" t="s">
        <v>21</v>
      </c>
    </row>
    <row r="158" ht="15.75" customHeight="1">
      <c r="A158" s="4" t="s">
        <v>165</v>
      </c>
      <c r="B158" s="5">
        <v>43845.0</v>
      </c>
      <c r="C158" s="4" t="s">
        <v>53</v>
      </c>
    </row>
    <row r="159" ht="15.75" customHeight="1">
      <c r="A159" s="4" t="s">
        <v>166</v>
      </c>
      <c r="B159" s="5">
        <v>43845.0</v>
      </c>
      <c r="C159" s="4" t="s">
        <v>53</v>
      </c>
    </row>
    <row r="160" ht="15.75" customHeight="1">
      <c r="A160" s="4" t="s">
        <v>167</v>
      </c>
      <c r="B160" s="5">
        <v>43845.0</v>
      </c>
      <c r="C160" s="4" t="s">
        <v>53</v>
      </c>
    </row>
    <row r="161" ht="15.75" customHeight="1">
      <c r="A161" s="4" t="s">
        <v>168</v>
      </c>
      <c r="B161" s="5">
        <v>43845.0</v>
      </c>
      <c r="C161" s="4" t="s">
        <v>21</v>
      </c>
    </row>
    <row r="162" ht="15.75" customHeight="1">
      <c r="A162" s="4" t="s">
        <v>169</v>
      </c>
      <c r="B162" s="5">
        <v>43845.0</v>
      </c>
      <c r="C162" s="4" t="s">
        <v>47</v>
      </c>
    </row>
    <row r="163" ht="15.75" customHeight="1">
      <c r="A163" s="4" t="s">
        <v>170</v>
      </c>
      <c r="B163" s="5">
        <v>43845.0</v>
      </c>
      <c r="C163" s="4" t="s">
        <v>4</v>
      </c>
    </row>
    <row r="164" ht="15.75" customHeight="1">
      <c r="A164" s="4" t="s">
        <v>171</v>
      </c>
      <c r="B164" s="5">
        <v>43845.0</v>
      </c>
      <c r="C164" s="4" t="s">
        <v>15</v>
      </c>
    </row>
    <row r="165" ht="15.75" customHeight="1">
      <c r="A165" s="4" t="s">
        <v>172</v>
      </c>
      <c r="B165" s="5">
        <v>43845.0</v>
      </c>
      <c r="C165" s="4" t="s">
        <v>15</v>
      </c>
    </row>
    <row r="166" ht="15.75" customHeight="1">
      <c r="A166" s="4" t="s">
        <v>173</v>
      </c>
      <c r="B166" s="5">
        <v>43845.0</v>
      </c>
      <c r="C166" s="4" t="s">
        <v>4</v>
      </c>
    </row>
    <row r="167" ht="15.75" customHeight="1">
      <c r="A167" s="4" t="s">
        <v>174</v>
      </c>
      <c r="B167" s="5">
        <v>43845.0</v>
      </c>
      <c r="C167" s="4" t="s">
        <v>4</v>
      </c>
    </row>
    <row r="168" ht="15.75" customHeight="1">
      <c r="A168" s="4" t="s">
        <v>175</v>
      </c>
      <c r="B168" s="5">
        <v>43846.0</v>
      </c>
      <c r="C168" s="4" t="s">
        <v>4</v>
      </c>
    </row>
    <row r="169" ht="15.75" customHeight="1">
      <c r="A169" s="4" t="s">
        <v>176</v>
      </c>
      <c r="B169" s="5">
        <v>43846.0</v>
      </c>
      <c r="C169" s="4" t="s">
        <v>4</v>
      </c>
    </row>
    <row r="170" ht="15.75" customHeight="1">
      <c r="A170" s="4" t="s">
        <v>177</v>
      </c>
      <c r="B170" s="5">
        <v>43846.0</v>
      </c>
      <c r="C170" s="4" t="s">
        <v>4</v>
      </c>
    </row>
    <row r="171" ht="15.75" customHeight="1">
      <c r="A171" s="4" t="s">
        <v>178</v>
      </c>
      <c r="B171" s="5">
        <v>43846.0</v>
      </c>
      <c r="C171" s="4" t="s">
        <v>4</v>
      </c>
    </row>
    <row r="172" ht="15.75" customHeight="1">
      <c r="A172" s="4" t="s">
        <v>179</v>
      </c>
      <c r="B172" s="5">
        <v>43846.0</v>
      </c>
      <c r="C172" s="4" t="s">
        <v>4</v>
      </c>
    </row>
    <row r="173" ht="15.75" customHeight="1">
      <c r="A173" s="4" t="s">
        <v>180</v>
      </c>
      <c r="B173" s="5">
        <v>43846.0</v>
      </c>
      <c r="C173" s="4" t="s">
        <v>4</v>
      </c>
    </row>
    <row r="174" ht="15.75" customHeight="1">
      <c r="A174" s="4" t="s">
        <v>181</v>
      </c>
      <c r="B174" s="5">
        <v>43846.0</v>
      </c>
      <c r="C174" s="4" t="s">
        <v>4</v>
      </c>
    </row>
    <row r="175" ht="15.75" customHeight="1">
      <c r="A175" s="4" t="s">
        <v>182</v>
      </c>
      <c r="B175" s="5">
        <v>43846.0</v>
      </c>
      <c r="C175" s="4" t="s">
        <v>4</v>
      </c>
    </row>
    <row r="176" ht="15.75" customHeight="1">
      <c r="A176" s="4" t="s">
        <v>183</v>
      </c>
      <c r="B176" s="5">
        <v>43846.0</v>
      </c>
      <c r="C176" s="4" t="s">
        <v>4</v>
      </c>
    </row>
    <row r="177" ht="15.75" customHeight="1">
      <c r="A177" s="4" t="s">
        <v>184</v>
      </c>
      <c r="B177" s="5">
        <v>43846.0</v>
      </c>
      <c r="C177" s="4" t="s">
        <v>4</v>
      </c>
    </row>
    <row r="178" ht="15.75" customHeight="1">
      <c r="A178" s="4" t="s">
        <v>185</v>
      </c>
      <c r="B178" s="5">
        <v>43846.0</v>
      </c>
      <c r="C178" s="4" t="s">
        <v>4</v>
      </c>
    </row>
    <row r="179" ht="15.75" customHeight="1">
      <c r="A179" s="4" t="s">
        <v>186</v>
      </c>
      <c r="B179" s="5">
        <v>43846.0</v>
      </c>
      <c r="C179" s="4" t="s">
        <v>4</v>
      </c>
    </row>
    <row r="180" ht="15.75" customHeight="1">
      <c r="A180" s="4" t="s">
        <v>187</v>
      </c>
      <c r="B180" s="5">
        <v>43846.0</v>
      </c>
      <c r="C180" s="4" t="s">
        <v>4</v>
      </c>
    </row>
    <row r="181" ht="15.75" customHeight="1">
      <c r="A181" s="4" t="s">
        <v>188</v>
      </c>
      <c r="B181" s="5">
        <v>43846.0</v>
      </c>
      <c r="C181" s="4" t="s">
        <v>21</v>
      </c>
    </row>
    <row r="182" ht="15.75" customHeight="1">
      <c r="A182" s="4" t="s">
        <v>189</v>
      </c>
      <c r="B182" s="5">
        <v>43846.0</v>
      </c>
      <c r="C182" s="4" t="s">
        <v>21</v>
      </c>
    </row>
    <row r="183" ht="15.75" customHeight="1">
      <c r="A183" s="4" t="s">
        <v>190</v>
      </c>
      <c r="B183" s="5">
        <v>43847.0</v>
      </c>
      <c r="C183" s="4" t="s">
        <v>47</v>
      </c>
    </row>
    <row r="184" ht="15.75" customHeight="1">
      <c r="A184" s="4" t="s">
        <v>191</v>
      </c>
      <c r="B184" s="5">
        <v>43847.0</v>
      </c>
      <c r="C184" s="4" t="s">
        <v>21</v>
      </c>
    </row>
    <row r="185" ht="15.75" customHeight="1">
      <c r="A185" s="4" t="s">
        <v>192</v>
      </c>
      <c r="B185" s="5">
        <v>43847.0</v>
      </c>
      <c r="C185" s="4" t="s">
        <v>21</v>
      </c>
    </row>
    <row r="186" ht="15.75" customHeight="1">
      <c r="A186" s="4" t="s">
        <v>193</v>
      </c>
      <c r="B186" s="5">
        <v>43847.0</v>
      </c>
      <c r="C186" s="4" t="s">
        <v>21</v>
      </c>
    </row>
    <row r="187" ht="15.75" customHeight="1">
      <c r="A187" s="4" t="s">
        <v>194</v>
      </c>
      <c r="B187" s="5">
        <v>43847.0</v>
      </c>
      <c r="C187" s="4" t="s">
        <v>21</v>
      </c>
    </row>
    <row r="188" ht="15.75" customHeight="1">
      <c r="A188" s="4" t="s">
        <v>195</v>
      </c>
      <c r="B188" s="5">
        <v>43848.0</v>
      </c>
      <c r="C188" s="4" t="s">
        <v>21</v>
      </c>
    </row>
    <row r="189" ht="15.75" customHeight="1">
      <c r="A189" s="4" t="s">
        <v>196</v>
      </c>
      <c r="B189" s="5">
        <v>43848.0</v>
      </c>
      <c r="C189" s="4" t="s">
        <v>4</v>
      </c>
    </row>
    <row r="190" ht="15.75" customHeight="1">
      <c r="A190" s="4" t="s">
        <v>197</v>
      </c>
      <c r="B190" s="5">
        <v>43848.0</v>
      </c>
      <c r="C190" s="4" t="s">
        <v>4</v>
      </c>
    </row>
    <row r="191" ht="15.75" customHeight="1">
      <c r="A191" s="4" t="s">
        <v>198</v>
      </c>
      <c r="B191" s="5">
        <v>43850.0</v>
      </c>
      <c r="C191" s="4" t="s">
        <v>4</v>
      </c>
    </row>
    <row r="192" ht="15.75" customHeight="1">
      <c r="A192" s="4" t="s">
        <v>199</v>
      </c>
      <c r="B192" s="5">
        <v>43850.0</v>
      </c>
      <c r="C192" s="4" t="s">
        <v>4</v>
      </c>
    </row>
    <row r="193" ht="15.75" customHeight="1">
      <c r="A193" s="4" t="s">
        <v>200</v>
      </c>
      <c r="B193" s="5">
        <v>43850.0</v>
      </c>
      <c r="C193" s="4" t="s">
        <v>4</v>
      </c>
    </row>
    <row r="194" ht="15.75" customHeight="1">
      <c r="A194" s="4" t="s">
        <v>201</v>
      </c>
      <c r="B194" s="5">
        <v>43850.0</v>
      </c>
      <c r="C194" s="4" t="s">
        <v>4</v>
      </c>
    </row>
    <row r="195" ht="15.75" customHeight="1">
      <c r="A195" s="4" t="s">
        <v>202</v>
      </c>
      <c r="B195" s="5">
        <v>43851.0</v>
      </c>
      <c r="C195" s="4" t="s">
        <v>4</v>
      </c>
    </row>
    <row r="196" ht="15.75" customHeight="1">
      <c r="A196" s="4" t="s">
        <v>203</v>
      </c>
      <c r="B196" s="5">
        <v>43851.0</v>
      </c>
      <c r="C196" s="4" t="s">
        <v>4</v>
      </c>
    </row>
    <row r="197" ht="15.75" customHeight="1">
      <c r="A197" s="4" t="s">
        <v>204</v>
      </c>
      <c r="B197" s="5">
        <v>43851.0</v>
      </c>
      <c r="C197" s="4" t="s">
        <v>4</v>
      </c>
    </row>
    <row r="198" ht="15.75" customHeight="1">
      <c r="A198" s="4" t="s">
        <v>205</v>
      </c>
      <c r="B198" s="5">
        <v>43851.0</v>
      </c>
      <c r="C198" s="4" t="s">
        <v>4</v>
      </c>
    </row>
    <row r="199" ht="15.75" customHeight="1">
      <c r="A199" s="4" t="s">
        <v>206</v>
      </c>
      <c r="B199" s="5">
        <v>43851.0</v>
      </c>
      <c r="C199" s="4" t="s">
        <v>4</v>
      </c>
    </row>
    <row r="200" ht="15.75" customHeight="1">
      <c r="A200" s="4" t="s">
        <v>207</v>
      </c>
      <c r="B200" s="5">
        <v>43851.0</v>
      </c>
      <c r="C200" s="4" t="s">
        <v>4</v>
      </c>
    </row>
    <row r="201" ht="15.75" customHeight="1">
      <c r="A201" s="4" t="s">
        <v>208</v>
      </c>
      <c r="B201" s="5">
        <v>43851.0</v>
      </c>
      <c r="C201" s="4" t="s">
        <v>4</v>
      </c>
    </row>
    <row r="202" ht="15.75" customHeight="1">
      <c r="A202" s="4" t="s">
        <v>209</v>
      </c>
      <c r="B202" s="5">
        <v>43851.0</v>
      </c>
      <c r="C202" s="4" t="s">
        <v>4</v>
      </c>
    </row>
    <row r="203" ht="15.75" customHeight="1">
      <c r="A203" s="4" t="s">
        <v>210</v>
      </c>
      <c r="B203" s="5">
        <v>43851.0</v>
      </c>
      <c r="C203" s="4" t="s">
        <v>4</v>
      </c>
    </row>
    <row r="204" ht="15.75" customHeight="1">
      <c r="A204" s="4" t="s">
        <v>211</v>
      </c>
      <c r="B204" s="5">
        <v>43851.0</v>
      </c>
      <c r="C204" s="4" t="s">
        <v>4</v>
      </c>
    </row>
    <row r="205" ht="15.75" customHeight="1">
      <c r="A205" s="4" t="s">
        <v>212</v>
      </c>
      <c r="B205" s="5">
        <v>43851.0</v>
      </c>
      <c r="C205" s="4" t="s">
        <v>4</v>
      </c>
    </row>
    <row r="206" ht="15.75" customHeight="1">
      <c r="A206" s="4" t="s">
        <v>213</v>
      </c>
      <c r="B206" s="5">
        <v>43852.0</v>
      </c>
      <c r="C206" s="4" t="s">
        <v>4</v>
      </c>
    </row>
    <row r="207" ht="15.75" customHeight="1">
      <c r="A207" s="4" t="s">
        <v>214</v>
      </c>
      <c r="B207" s="5">
        <v>43852.0</v>
      </c>
      <c r="C207" s="4" t="s">
        <v>4</v>
      </c>
    </row>
    <row r="208" ht="15.75" customHeight="1">
      <c r="A208" s="4" t="s">
        <v>215</v>
      </c>
      <c r="B208" s="5">
        <v>43852.0</v>
      </c>
      <c r="C208" s="4" t="s">
        <v>4</v>
      </c>
    </row>
    <row r="209" ht="15.75" customHeight="1">
      <c r="A209" s="4" t="s">
        <v>216</v>
      </c>
      <c r="B209" s="5">
        <v>43852.0</v>
      </c>
      <c r="C209" s="4" t="s">
        <v>4</v>
      </c>
    </row>
    <row r="210" ht="15.75" customHeight="1">
      <c r="A210" s="4" t="s">
        <v>217</v>
      </c>
      <c r="B210" s="5">
        <v>43853.0</v>
      </c>
      <c r="C210" s="4" t="s">
        <v>15</v>
      </c>
    </row>
    <row r="211" ht="15.75" customHeight="1">
      <c r="A211" s="4" t="s">
        <v>218</v>
      </c>
      <c r="B211" s="5">
        <v>43853.0</v>
      </c>
      <c r="C211" s="4" t="s">
        <v>47</v>
      </c>
    </row>
    <row r="212" ht="15.75" customHeight="1">
      <c r="A212" s="4" t="s">
        <v>219</v>
      </c>
      <c r="B212" s="5">
        <v>43853.0</v>
      </c>
      <c r="C212" s="4" t="s">
        <v>4</v>
      </c>
    </row>
    <row r="213" ht="15.75" customHeight="1">
      <c r="A213" s="4" t="s">
        <v>220</v>
      </c>
      <c r="B213" s="5">
        <v>43853.0</v>
      </c>
      <c r="C213" s="4" t="s">
        <v>4</v>
      </c>
    </row>
    <row r="214" ht="15.75" customHeight="1">
      <c r="A214" s="4" t="s">
        <v>221</v>
      </c>
      <c r="B214" s="5">
        <v>43854.0</v>
      </c>
      <c r="C214" s="4" t="s">
        <v>4</v>
      </c>
    </row>
    <row r="215" ht="15.75" customHeight="1">
      <c r="A215" s="4" t="s">
        <v>222</v>
      </c>
      <c r="B215" s="5">
        <v>43854.0</v>
      </c>
      <c r="C215" s="4" t="s">
        <v>4</v>
      </c>
    </row>
    <row r="216" ht="15.75" customHeight="1">
      <c r="A216" s="4" t="s">
        <v>223</v>
      </c>
      <c r="B216" s="5">
        <v>43854.0</v>
      </c>
      <c r="C216" s="4" t="s">
        <v>4</v>
      </c>
    </row>
    <row r="217" ht="15.75" customHeight="1">
      <c r="A217" s="4" t="s">
        <v>224</v>
      </c>
      <c r="B217" s="5">
        <v>43854.0</v>
      </c>
      <c r="C217" s="4" t="s">
        <v>4</v>
      </c>
    </row>
    <row r="218" ht="15.75" customHeight="1">
      <c r="A218" s="4" t="s">
        <v>225</v>
      </c>
      <c r="B218" s="5">
        <v>43854.0</v>
      </c>
      <c r="C218" s="4" t="s">
        <v>47</v>
      </c>
    </row>
    <row r="219" ht="15.75" customHeight="1">
      <c r="A219" s="4" t="s">
        <v>226</v>
      </c>
      <c r="B219" s="5">
        <v>43855.0</v>
      </c>
      <c r="C219" s="4" t="s">
        <v>47</v>
      </c>
    </row>
    <row r="220" ht="15.75" customHeight="1">
      <c r="A220" s="4" t="s">
        <v>227</v>
      </c>
      <c r="B220" s="5">
        <v>43855.0</v>
      </c>
      <c r="C220" s="4" t="s">
        <v>47</v>
      </c>
    </row>
    <row r="221" ht="15.75" customHeight="1">
      <c r="A221" s="4" t="s">
        <v>228</v>
      </c>
      <c r="B221" s="5">
        <v>43856.0</v>
      </c>
      <c r="C221" s="4" t="s">
        <v>4</v>
      </c>
    </row>
    <row r="222" ht="15.75" customHeight="1">
      <c r="A222" s="4" t="s">
        <v>229</v>
      </c>
      <c r="B222" s="5">
        <v>43856.0</v>
      </c>
      <c r="C222" s="4" t="s">
        <v>4</v>
      </c>
    </row>
    <row r="223" ht="15.75" customHeight="1">
      <c r="A223" s="4" t="s">
        <v>230</v>
      </c>
      <c r="B223" s="5">
        <v>43857.0</v>
      </c>
      <c r="C223" s="4" t="s">
        <v>4</v>
      </c>
    </row>
    <row r="224" ht="15.75" customHeight="1">
      <c r="A224" s="4" t="s">
        <v>231</v>
      </c>
      <c r="B224" s="5">
        <v>43857.0</v>
      </c>
      <c r="C224" s="4" t="s">
        <v>4</v>
      </c>
    </row>
    <row r="225" ht="15.75" customHeight="1">
      <c r="A225" s="4" t="s">
        <v>232</v>
      </c>
      <c r="B225" s="5">
        <v>43857.0</v>
      </c>
      <c r="C225" s="4" t="s">
        <v>21</v>
      </c>
    </row>
    <row r="226" ht="15.75" customHeight="1">
      <c r="A226" s="4" t="s">
        <v>233</v>
      </c>
      <c r="B226" s="5">
        <v>43857.0</v>
      </c>
      <c r="C226" s="4" t="s">
        <v>21</v>
      </c>
    </row>
    <row r="227" ht="15.75" customHeight="1">
      <c r="A227" s="4" t="s">
        <v>234</v>
      </c>
      <c r="B227" s="5">
        <v>43857.0</v>
      </c>
      <c r="C227" s="4" t="s">
        <v>21</v>
      </c>
    </row>
    <row r="228" ht="15.75" customHeight="1">
      <c r="A228" s="4" t="s">
        <v>235</v>
      </c>
      <c r="B228" s="5">
        <v>43857.0</v>
      </c>
      <c r="C228" s="4" t="s">
        <v>21</v>
      </c>
    </row>
    <row r="229" ht="15.75" customHeight="1">
      <c r="A229" s="4" t="s">
        <v>236</v>
      </c>
      <c r="B229" s="5">
        <v>43857.0</v>
      </c>
      <c r="C229" s="4" t="s">
        <v>21</v>
      </c>
    </row>
    <row r="230" ht="15.75" customHeight="1">
      <c r="A230" s="4" t="s">
        <v>237</v>
      </c>
      <c r="B230" s="5">
        <v>43857.0</v>
      </c>
      <c r="C230" s="4" t="s">
        <v>21</v>
      </c>
    </row>
    <row r="231" ht="15.75" customHeight="1">
      <c r="A231" s="4" t="s">
        <v>238</v>
      </c>
      <c r="B231" s="5">
        <v>43857.0</v>
      </c>
      <c r="C231" s="4" t="s">
        <v>21</v>
      </c>
    </row>
    <row r="232" ht="15.75" customHeight="1">
      <c r="A232" s="4" t="s">
        <v>239</v>
      </c>
      <c r="B232" s="5">
        <v>43857.0</v>
      </c>
      <c r="C232" s="4" t="s">
        <v>21</v>
      </c>
    </row>
    <row r="233" ht="15.75" customHeight="1">
      <c r="A233" s="4" t="s">
        <v>240</v>
      </c>
      <c r="B233" s="5">
        <v>43907.0</v>
      </c>
      <c r="C233" s="4" t="s">
        <v>6</v>
      </c>
    </row>
    <row r="234" ht="15.75" customHeight="1">
      <c r="A234" s="4" t="s">
        <v>241</v>
      </c>
      <c r="B234" s="5">
        <v>43944.0</v>
      </c>
      <c r="C234" s="4" t="s">
        <v>6</v>
      </c>
    </row>
    <row r="235" ht="15.75" customHeight="1">
      <c r="A235" s="4" t="s">
        <v>242</v>
      </c>
      <c r="B235" s="5">
        <v>43857.0</v>
      </c>
      <c r="C235" s="4" t="s">
        <v>21</v>
      </c>
    </row>
    <row r="236" ht="15.75" customHeight="1">
      <c r="A236" s="4" t="s">
        <v>243</v>
      </c>
      <c r="B236" s="5">
        <v>43858.0</v>
      </c>
      <c r="C236" s="4" t="s">
        <v>21</v>
      </c>
    </row>
    <row r="237" ht="15.75" customHeight="1">
      <c r="A237" s="4" t="s">
        <v>244</v>
      </c>
      <c r="B237" s="5">
        <v>43858.0</v>
      </c>
      <c r="C237" s="4" t="s">
        <v>21</v>
      </c>
    </row>
    <row r="238" ht="15.75" customHeight="1">
      <c r="A238" s="4" t="s">
        <v>245</v>
      </c>
      <c r="B238" s="5">
        <v>43858.0</v>
      </c>
      <c r="C238" s="4" t="s">
        <v>21</v>
      </c>
    </row>
    <row r="239" ht="15.75" customHeight="1">
      <c r="A239" s="4" t="s">
        <v>246</v>
      </c>
      <c r="B239" s="5">
        <v>43858.0</v>
      </c>
      <c r="C239" s="4" t="s">
        <v>4</v>
      </c>
    </row>
    <row r="240" ht="15.75" customHeight="1">
      <c r="A240" s="4" t="s">
        <v>247</v>
      </c>
      <c r="B240" s="5">
        <v>43858.0</v>
      </c>
      <c r="C240" s="4" t="s">
        <v>4</v>
      </c>
    </row>
    <row r="241" ht="15.75" customHeight="1">
      <c r="A241" s="4" t="s">
        <v>248</v>
      </c>
      <c r="B241" s="5">
        <v>43858.0</v>
      </c>
      <c r="C241" s="4" t="s">
        <v>4</v>
      </c>
    </row>
    <row r="242" ht="15.75" customHeight="1">
      <c r="A242" s="4" t="s">
        <v>249</v>
      </c>
      <c r="B242" s="5">
        <v>43858.0</v>
      </c>
      <c r="C242" s="4" t="s">
        <v>4</v>
      </c>
    </row>
    <row r="243" ht="15.75" customHeight="1">
      <c r="A243" s="4" t="s">
        <v>250</v>
      </c>
      <c r="B243" s="5">
        <v>43859.0</v>
      </c>
      <c r="C243" s="4" t="s">
        <v>4</v>
      </c>
    </row>
    <row r="244" ht="15.75" customHeight="1">
      <c r="A244" s="4" t="s">
        <v>251</v>
      </c>
      <c r="B244" s="5">
        <v>43859.0</v>
      </c>
      <c r="C244" s="4" t="s">
        <v>4</v>
      </c>
    </row>
    <row r="245" ht="15.75" customHeight="1">
      <c r="A245" s="4" t="s">
        <v>252</v>
      </c>
      <c r="B245" s="5">
        <v>43859.0</v>
      </c>
      <c r="C245" s="4" t="s">
        <v>4</v>
      </c>
    </row>
    <row r="246" ht="15.75" customHeight="1">
      <c r="A246" s="4" t="s">
        <v>253</v>
      </c>
      <c r="B246" s="5">
        <v>43859.0</v>
      </c>
      <c r="C246" s="4" t="s">
        <v>4</v>
      </c>
    </row>
    <row r="247" ht="15.75" customHeight="1">
      <c r="A247" s="4" t="s">
        <v>254</v>
      </c>
      <c r="B247" s="5">
        <v>43859.0</v>
      </c>
      <c r="C247" s="4" t="s">
        <v>4</v>
      </c>
    </row>
    <row r="248" ht="15.75" customHeight="1">
      <c r="A248" s="4" t="s">
        <v>255</v>
      </c>
      <c r="B248" s="5">
        <v>43859.0</v>
      </c>
      <c r="C248" s="4" t="s">
        <v>4</v>
      </c>
    </row>
    <row r="249" ht="15.75" customHeight="1">
      <c r="A249" s="4" t="s">
        <v>256</v>
      </c>
      <c r="B249" s="5">
        <v>43859.0</v>
      </c>
      <c r="C249" s="4" t="s">
        <v>4</v>
      </c>
    </row>
    <row r="250" ht="15.75" customHeight="1">
      <c r="A250" s="4" t="s">
        <v>257</v>
      </c>
      <c r="B250" s="5">
        <v>43859.0</v>
      </c>
      <c r="C250" s="4" t="s">
        <v>4</v>
      </c>
    </row>
    <row r="251" ht="15.75" customHeight="1">
      <c r="A251" s="4" t="s">
        <v>258</v>
      </c>
      <c r="B251" s="5">
        <v>43860.0</v>
      </c>
      <c r="C251" s="4" t="s">
        <v>4</v>
      </c>
    </row>
    <row r="252" ht="15.75" customHeight="1">
      <c r="A252" s="4" t="s">
        <v>259</v>
      </c>
      <c r="B252" s="5">
        <v>43860.0</v>
      </c>
      <c r="C252" s="4" t="s">
        <v>4</v>
      </c>
    </row>
    <row r="253" ht="15.75" customHeight="1">
      <c r="A253" s="4" t="s">
        <v>260</v>
      </c>
      <c r="B253" s="5">
        <v>43860.0</v>
      </c>
      <c r="C253" s="4" t="s">
        <v>4</v>
      </c>
    </row>
    <row r="254" ht="15.75" customHeight="1">
      <c r="A254" s="4" t="s">
        <v>261</v>
      </c>
      <c r="B254" s="5">
        <v>43860.0</v>
      </c>
      <c r="C254" s="4" t="s">
        <v>4</v>
      </c>
    </row>
    <row r="255" ht="15.75" customHeight="1">
      <c r="A255" s="4" t="s">
        <v>262</v>
      </c>
      <c r="B255" s="5">
        <v>43946.0</v>
      </c>
      <c r="C255" s="4" t="s">
        <v>6</v>
      </c>
    </row>
    <row r="256" ht="15.75" customHeight="1">
      <c r="A256" s="4" t="s">
        <v>263</v>
      </c>
      <c r="B256" s="5">
        <v>43860.0</v>
      </c>
      <c r="C256" s="4" t="s">
        <v>4</v>
      </c>
    </row>
    <row r="257" ht="15.75" customHeight="1">
      <c r="A257" s="4" t="s">
        <v>264</v>
      </c>
      <c r="B257" s="5">
        <v>43860.0</v>
      </c>
      <c r="C257" s="4" t="s">
        <v>4</v>
      </c>
    </row>
    <row r="258" ht="15.75" customHeight="1">
      <c r="A258" s="4" t="s">
        <v>265</v>
      </c>
      <c r="B258" s="5">
        <v>43860.0</v>
      </c>
      <c r="C258" s="4" t="s">
        <v>4</v>
      </c>
    </row>
    <row r="259" ht="15.75" customHeight="1">
      <c r="A259" s="4" t="s">
        <v>266</v>
      </c>
      <c r="B259" s="5">
        <v>43860.0</v>
      </c>
      <c r="C259" s="4" t="s">
        <v>4</v>
      </c>
    </row>
    <row r="260" ht="15.75" customHeight="1">
      <c r="A260" s="4" t="s">
        <v>267</v>
      </c>
      <c r="B260" s="5">
        <v>43860.0</v>
      </c>
      <c r="C260" s="4" t="s">
        <v>4</v>
      </c>
    </row>
    <row r="261" ht="15.75" customHeight="1">
      <c r="A261" s="4" t="s">
        <v>268</v>
      </c>
      <c r="B261" s="5">
        <v>43860.0</v>
      </c>
      <c r="C261" s="4" t="s">
        <v>4</v>
      </c>
    </row>
    <row r="262" ht="15.75" customHeight="1">
      <c r="A262" s="4" t="s">
        <v>269</v>
      </c>
      <c r="B262" s="5">
        <v>43860.0</v>
      </c>
      <c r="C262" s="4" t="s">
        <v>4</v>
      </c>
    </row>
    <row r="263" ht="15.75" customHeight="1">
      <c r="A263" s="4" t="s">
        <v>270</v>
      </c>
      <c r="B263" s="5">
        <v>43860.0</v>
      </c>
      <c r="C263" s="4" t="s">
        <v>4</v>
      </c>
    </row>
    <row r="264" ht="15.75" customHeight="1">
      <c r="A264" s="4" t="s">
        <v>271</v>
      </c>
      <c r="B264" s="5">
        <v>43860.0</v>
      </c>
      <c r="C264" s="4" t="s">
        <v>4</v>
      </c>
    </row>
    <row r="265" ht="15.75" customHeight="1">
      <c r="A265" s="4" t="s">
        <v>272</v>
      </c>
      <c r="B265" s="5">
        <v>43861.0</v>
      </c>
      <c r="C265" s="4" t="s">
        <v>4</v>
      </c>
    </row>
    <row r="266" ht="15.75" customHeight="1">
      <c r="A266" s="4" t="s">
        <v>273</v>
      </c>
      <c r="B266" s="5">
        <v>43861.0</v>
      </c>
      <c r="C266" s="4" t="s">
        <v>4</v>
      </c>
    </row>
    <row r="267" ht="15.75" customHeight="1">
      <c r="A267" s="4" t="s">
        <v>274</v>
      </c>
      <c r="B267" s="5">
        <v>43861.0</v>
      </c>
      <c r="C267" s="4" t="s">
        <v>4</v>
      </c>
    </row>
    <row r="268" ht="15.75" customHeight="1">
      <c r="A268" s="4" t="s">
        <v>275</v>
      </c>
      <c r="B268" s="5">
        <v>43861.0</v>
      </c>
      <c r="C268" s="4" t="s">
        <v>4</v>
      </c>
    </row>
    <row r="269" ht="15.75" customHeight="1">
      <c r="A269" s="4" t="s">
        <v>276</v>
      </c>
      <c r="B269" s="5">
        <v>43861.0</v>
      </c>
      <c r="C269" s="4" t="s">
        <v>4</v>
      </c>
    </row>
    <row r="270" ht="15.75" customHeight="1">
      <c r="A270" s="4" t="s">
        <v>277</v>
      </c>
      <c r="B270" s="5">
        <v>43861.0</v>
      </c>
      <c r="C270" s="4" t="s">
        <v>4</v>
      </c>
    </row>
    <row r="271" ht="15.75" customHeight="1">
      <c r="A271" s="4" t="s">
        <v>278</v>
      </c>
      <c r="B271" s="5">
        <v>43861.0</v>
      </c>
      <c r="C271" s="4" t="s">
        <v>4</v>
      </c>
    </row>
    <row r="272" ht="15.75" customHeight="1">
      <c r="A272" s="4" t="s">
        <v>279</v>
      </c>
      <c r="B272" s="5">
        <v>43861.0</v>
      </c>
      <c r="C272" s="4" t="s">
        <v>4</v>
      </c>
    </row>
    <row r="273" ht="15.75" customHeight="1">
      <c r="A273" s="4" t="s">
        <v>280</v>
      </c>
      <c r="B273" s="5">
        <v>43862.0</v>
      </c>
      <c r="C273" s="4" t="s">
        <v>4</v>
      </c>
    </row>
    <row r="274" ht="15.75" customHeight="1">
      <c r="A274" s="4" t="s">
        <v>281</v>
      </c>
      <c r="B274" s="5">
        <v>43862.0</v>
      </c>
      <c r="C274" s="4" t="s">
        <v>4</v>
      </c>
    </row>
    <row r="275" ht="15.75" customHeight="1">
      <c r="A275" s="4" t="s">
        <v>282</v>
      </c>
      <c r="B275" s="5">
        <v>43862.0</v>
      </c>
      <c r="C275" s="4" t="s">
        <v>4</v>
      </c>
    </row>
    <row r="276" ht="15.75" customHeight="1">
      <c r="A276" s="4" t="s">
        <v>283</v>
      </c>
      <c r="B276" s="5">
        <v>43863.0</v>
      </c>
      <c r="C276" s="4" t="s">
        <v>4</v>
      </c>
    </row>
    <row r="277" ht="15.75" customHeight="1">
      <c r="A277" s="4" t="s">
        <v>284</v>
      </c>
      <c r="B277" s="5">
        <v>43863.0</v>
      </c>
      <c r="C277" s="4" t="s">
        <v>4</v>
      </c>
    </row>
    <row r="278" ht="15.75" customHeight="1">
      <c r="A278" s="4" t="s">
        <v>285</v>
      </c>
      <c r="B278" s="5">
        <v>43863.0</v>
      </c>
      <c r="C278" s="4" t="s">
        <v>4</v>
      </c>
    </row>
    <row r="279" ht="15.75" customHeight="1">
      <c r="A279" s="4" t="s">
        <v>286</v>
      </c>
      <c r="B279" s="5">
        <v>43863.0</v>
      </c>
      <c r="C279" s="4" t="s">
        <v>4</v>
      </c>
    </row>
    <row r="280" ht="15.75" customHeight="1">
      <c r="A280" s="4" t="s">
        <v>287</v>
      </c>
      <c r="B280" s="5">
        <v>43864.0</v>
      </c>
      <c r="C280" s="4" t="s">
        <v>4</v>
      </c>
    </row>
    <row r="281" ht="15.75" customHeight="1">
      <c r="A281" s="4" t="s">
        <v>288</v>
      </c>
      <c r="B281" s="5">
        <v>43864.0</v>
      </c>
      <c r="C281" s="4" t="s">
        <v>4</v>
      </c>
    </row>
    <row r="282" ht="15.75" customHeight="1">
      <c r="A282" s="4" t="s">
        <v>289</v>
      </c>
      <c r="B282" s="5">
        <v>43864.0</v>
      </c>
      <c r="C282" s="4" t="s">
        <v>4</v>
      </c>
    </row>
    <row r="283" ht="15.75" customHeight="1">
      <c r="A283" s="4" t="s">
        <v>290</v>
      </c>
      <c r="B283" s="5">
        <v>43864.0</v>
      </c>
      <c r="C283" s="4" t="s">
        <v>4</v>
      </c>
    </row>
    <row r="284" ht="15.75" customHeight="1">
      <c r="A284" s="4" t="s">
        <v>291</v>
      </c>
      <c r="B284" s="5">
        <v>43864.0</v>
      </c>
      <c r="C284" s="4" t="s">
        <v>4</v>
      </c>
    </row>
    <row r="285" ht="15.75" customHeight="1">
      <c r="A285" s="4" t="s">
        <v>292</v>
      </c>
      <c r="B285" s="5">
        <v>43864.0</v>
      </c>
      <c r="C285" s="4" t="s">
        <v>53</v>
      </c>
    </row>
    <row r="286" ht="15.75" customHeight="1">
      <c r="A286" s="4" t="s">
        <v>293</v>
      </c>
      <c r="B286" s="5">
        <v>43864.0</v>
      </c>
      <c r="C286" s="4" t="s">
        <v>21</v>
      </c>
    </row>
    <row r="287" ht="15.75" customHeight="1">
      <c r="A287" s="4" t="s">
        <v>294</v>
      </c>
      <c r="B287" s="5">
        <v>43864.0</v>
      </c>
      <c r="C287" s="4" t="s">
        <v>21</v>
      </c>
    </row>
    <row r="288" ht="15.75" customHeight="1">
      <c r="A288" s="4" t="s">
        <v>295</v>
      </c>
      <c r="B288" s="5">
        <v>43864.0</v>
      </c>
      <c r="C288" s="4" t="s">
        <v>21</v>
      </c>
    </row>
    <row r="289" ht="15.75" customHeight="1">
      <c r="A289" s="4" t="s">
        <v>296</v>
      </c>
      <c r="B289" s="5">
        <v>43864.0</v>
      </c>
      <c r="C289" s="4" t="s">
        <v>21</v>
      </c>
    </row>
    <row r="290" ht="15.75" customHeight="1">
      <c r="A290" s="4" t="s">
        <v>297</v>
      </c>
      <c r="B290" s="5">
        <v>43864.0</v>
      </c>
      <c r="C290" s="4" t="s">
        <v>21</v>
      </c>
    </row>
    <row r="291" ht="15.75" customHeight="1">
      <c r="A291" s="4" t="s">
        <v>298</v>
      </c>
      <c r="B291" s="5">
        <v>43864.0</v>
      </c>
      <c r="C291" s="4" t="s">
        <v>21</v>
      </c>
    </row>
    <row r="292" ht="15.75" customHeight="1">
      <c r="A292" s="4" t="s">
        <v>299</v>
      </c>
      <c r="B292" s="5">
        <v>43864.0</v>
      </c>
      <c r="C292" s="4" t="s">
        <v>53</v>
      </c>
    </row>
    <row r="293" ht="15.75" customHeight="1">
      <c r="A293" s="4" t="s">
        <v>300</v>
      </c>
      <c r="B293" s="5">
        <v>43865.0</v>
      </c>
      <c r="C293" s="4" t="s">
        <v>21</v>
      </c>
    </row>
    <row r="294" ht="15.75" customHeight="1">
      <c r="A294" s="4" t="s">
        <v>301</v>
      </c>
      <c r="B294" s="5">
        <v>43865.0</v>
      </c>
      <c r="C294" s="4" t="s">
        <v>21</v>
      </c>
    </row>
    <row r="295" ht="15.75" customHeight="1">
      <c r="A295" s="4" t="s">
        <v>302</v>
      </c>
      <c r="B295" s="5">
        <v>43865.0</v>
      </c>
      <c r="C295" s="4" t="s">
        <v>15</v>
      </c>
    </row>
    <row r="296" ht="15.75" customHeight="1">
      <c r="A296" s="4" t="s">
        <v>303</v>
      </c>
      <c r="B296" s="5">
        <v>43865.0</v>
      </c>
      <c r="C296" s="4" t="s">
        <v>21</v>
      </c>
    </row>
    <row r="297" ht="15.75" customHeight="1">
      <c r="A297" s="4" t="s">
        <v>304</v>
      </c>
      <c r="B297" s="5">
        <v>43865.0</v>
      </c>
      <c r="C297" s="4" t="s">
        <v>21</v>
      </c>
    </row>
    <row r="298" ht="15.75" customHeight="1">
      <c r="A298" s="4" t="s">
        <v>305</v>
      </c>
      <c r="B298" s="5">
        <v>43865.0</v>
      </c>
      <c r="C298" s="4" t="s">
        <v>47</v>
      </c>
    </row>
    <row r="299" ht="15.75" customHeight="1">
      <c r="A299" s="4" t="s">
        <v>306</v>
      </c>
      <c r="B299" s="5">
        <v>43865.0</v>
      </c>
      <c r="C299" s="4" t="s">
        <v>21</v>
      </c>
    </row>
    <row r="300" ht="15.75" customHeight="1">
      <c r="A300" s="4" t="s">
        <v>307</v>
      </c>
      <c r="B300" s="5">
        <v>43866.0</v>
      </c>
      <c r="C300" s="4" t="s">
        <v>21</v>
      </c>
    </row>
    <row r="301" ht="15.75" customHeight="1">
      <c r="A301" s="4" t="s">
        <v>308</v>
      </c>
      <c r="B301" s="5">
        <v>43866.0</v>
      </c>
      <c r="C301" s="4" t="s">
        <v>21</v>
      </c>
    </row>
    <row r="302" ht="15.75" customHeight="1">
      <c r="A302" s="4" t="s">
        <v>309</v>
      </c>
      <c r="B302" s="5">
        <v>43866.0</v>
      </c>
      <c r="C302" s="4" t="s">
        <v>21</v>
      </c>
    </row>
    <row r="303" ht="15.75" customHeight="1">
      <c r="A303" s="4" t="s">
        <v>310</v>
      </c>
      <c r="B303" s="5">
        <v>43866.0</v>
      </c>
      <c r="C303" s="4" t="s">
        <v>47</v>
      </c>
    </row>
    <row r="304" ht="15.75" customHeight="1">
      <c r="A304" s="4" t="s">
        <v>311</v>
      </c>
      <c r="B304" s="5">
        <v>43866.0</v>
      </c>
      <c r="C304" s="4" t="s">
        <v>53</v>
      </c>
    </row>
    <row r="305" ht="15.75" customHeight="1">
      <c r="A305" s="4" t="s">
        <v>312</v>
      </c>
      <c r="B305" s="5">
        <v>43867.0</v>
      </c>
      <c r="C305" s="4" t="s">
        <v>21</v>
      </c>
    </row>
    <row r="306" ht="15.75" customHeight="1">
      <c r="A306" s="4" t="s">
        <v>313</v>
      </c>
      <c r="B306" s="5">
        <v>43867.0</v>
      </c>
      <c r="C306" s="4" t="s">
        <v>4</v>
      </c>
    </row>
    <row r="307" ht="15.75" customHeight="1">
      <c r="A307" s="4" t="s">
        <v>314</v>
      </c>
      <c r="B307" s="5">
        <v>43867.0</v>
      </c>
      <c r="C307" s="4" t="s">
        <v>4</v>
      </c>
    </row>
    <row r="308" ht="15.75" customHeight="1">
      <c r="A308" s="4" t="s">
        <v>315</v>
      </c>
      <c r="B308" s="5">
        <v>43867.0</v>
      </c>
      <c r="C308" s="4" t="s">
        <v>4</v>
      </c>
    </row>
    <row r="309" ht="15.75" customHeight="1">
      <c r="A309" s="4" t="s">
        <v>316</v>
      </c>
      <c r="B309" s="5">
        <v>43867.0</v>
      </c>
      <c r="C309" s="4" t="s">
        <v>4</v>
      </c>
    </row>
    <row r="310" ht="15.75" customHeight="1">
      <c r="A310" s="4" t="s">
        <v>317</v>
      </c>
      <c r="B310" s="5">
        <v>43867.0</v>
      </c>
      <c r="C310" s="4" t="s">
        <v>4</v>
      </c>
    </row>
    <row r="311" ht="15.75" customHeight="1">
      <c r="A311" s="4" t="s">
        <v>318</v>
      </c>
      <c r="B311" s="5">
        <v>43867.0</v>
      </c>
      <c r="C311" s="4" t="s">
        <v>4</v>
      </c>
    </row>
    <row r="312" ht="15.75" customHeight="1">
      <c r="A312" s="4" t="s">
        <v>319</v>
      </c>
      <c r="B312" s="5">
        <v>43868.0</v>
      </c>
      <c r="C312" s="4" t="s">
        <v>4</v>
      </c>
    </row>
    <row r="313" ht="15.75" customHeight="1">
      <c r="A313" s="4" t="s">
        <v>320</v>
      </c>
      <c r="B313" s="5">
        <v>43868.0</v>
      </c>
      <c r="C313" s="4" t="s">
        <v>4</v>
      </c>
    </row>
    <row r="314" ht="15.75" customHeight="1">
      <c r="A314" s="4" t="s">
        <v>321</v>
      </c>
      <c r="B314" s="5">
        <v>43868.0</v>
      </c>
      <c r="C314" s="4" t="s">
        <v>4</v>
      </c>
    </row>
    <row r="315" ht="15.75" customHeight="1">
      <c r="A315" s="4" t="s">
        <v>322</v>
      </c>
      <c r="B315" s="5">
        <v>43868.0</v>
      </c>
      <c r="C315" s="4" t="s">
        <v>4</v>
      </c>
    </row>
    <row r="316" ht="15.75" customHeight="1">
      <c r="A316" s="4" t="s">
        <v>323</v>
      </c>
      <c r="B316" s="5">
        <v>43868.0</v>
      </c>
      <c r="C316" s="4" t="s">
        <v>4</v>
      </c>
    </row>
    <row r="317" ht="15.75" customHeight="1">
      <c r="A317" s="4" t="s">
        <v>324</v>
      </c>
      <c r="B317" s="5">
        <v>43868.0</v>
      </c>
      <c r="C317" s="4" t="s">
        <v>4</v>
      </c>
    </row>
    <row r="318" ht="15.75" customHeight="1">
      <c r="A318" s="4" t="s">
        <v>325</v>
      </c>
      <c r="B318" s="5">
        <v>43868.0</v>
      </c>
      <c r="C318" s="4" t="s">
        <v>4</v>
      </c>
    </row>
    <row r="319" ht="15.75" customHeight="1">
      <c r="A319" s="4" t="s">
        <v>326</v>
      </c>
      <c r="B319" s="5">
        <v>43868.0</v>
      </c>
      <c r="C319" s="4" t="s">
        <v>4</v>
      </c>
    </row>
    <row r="320" ht="15.75" customHeight="1">
      <c r="A320" s="4" t="s">
        <v>327</v>
      </c>
      <c r="B320" s="5">
        <v>43868.0</v>
      </c>
      <c r="C320" s="4" t="s">
        <v>4</v>
      </c>
    </row>
    <row r="321" ht="15.75" customHeight="1">
      <c r="A321" s="4" t="s">
        <v>328</v>
      </c>
      <c r="B321" s="5">
        <v>43868.0</v>
      </c>
      <c r="C321" s="4" t="s">
        <v>4</v>
      </c>
    </row>
    <row r="322" ht="15.75" customHeight="1">
      <c r="A322" s="4" t="s">
        <v>329</v>
      </c>
      <c r="B322" s="5">
        <v>43868.0</v>
      </c>
      <c r="C322" s="4" t="s">
        <v>4</v>
      </c>
    </row>
    <row r="323" ht="15.75" customHeight="1">
      <c r="A323" s="4" t="s">
        <v>330</v>
      </c>
      <c r="B323" s="5">
        <v>43868.0</v>
      </c>
      <c r="C323" s="4" t="s">
        <v>4</v>
      </c>
    </row>
    <row r="324" ht="15.75" customHeight="1">
      <c r="A324" s="4" t="s">
        <v>331</v>
      </c>
      <c r="B324" s="5">
        <v>43868.0</v>
      </c>
      <c r="C324" s="4" t="s">
        <v>4</v>
      </c>
    </row>
    <row r="325" ht="15.75" customHeight="1">
      <c r="A325" s="4" t="s">
        <v>332</v>
      </c>
      <c r="B325" s="5">
        <v>43868.0</v>
      </c>
      <c r="C325" s="4" t="s">
        <v>4</v>
      </c>
    </row>
    <row r="326" ht="15.75" customHeight="1">
      <c r="A326" s="4" t="s">
        <v>333</v>
      </c>
      <c r="B326" s="5">
        <v>43869.0</v>
      </c>
      <c r="C326" s="4" t="s">
        <v>4</v>
      </c>
    </row>
    <row r="327" ht="15.75" customHeight="1">
      <c r="A327" s="4" t="s">
        <v>334</v>
      </c>
      <c r="B327" s="5">
        <v>43871.0</v>
      </c>
      <c r="C327" s="4" t="s">
        <v>4</v>
      </c>
    </row>
    <row r="328" ht="15.75" customHeight="1">
      <c r="A328" s="4" t="s">
        <v>335</v>
      </c>
      <c r="B328" s="5">
        <v>43871.0</v>
      </c>
      <c r="C328" s="4" t="s">
        <v>4</v>
      </c>
    </row>
    <row r="329" ht="15.75" customHeight="1">
      <c r="A329" s="4" t="s">
        <v>336</v>
      </c>
      <c r="B329" s="5">
        <v>43871.0</v>
      </c>
      <c r="C329" s="4" t="s">
        <v>4</v>
      </c>
    </row>
    <row r="330" ht="15.75" customHeight="1">
      <c r="A330" s="4" t="s">
        <v>337</v>
      </c>
      <c r="B330" s="5">
        <v>43871.0</v>
      </c>
      <c r="C330" s="4" t="s">
        <v>4</v>
      </c>
    </row>
    <row r="331" ht="15.75" customHeight="1">
      <c r="A331" s="4" t="s">
        <v>338</v>
      </c>
      <c r="B331" s="5">
        <v>43871.0</v>
      </c>
      <c r="C331" s="4" t="s">
        <v>4</v>
      </c>
    </row>
    <row r="332" ht="15.75" customHeight="1">
      <c r="A332" s="4" t="s">
        <v>339</v>
      </c>
      <c r="B332" s="5">
        <v>43871.0</v>
      </c>
      <c r="C332" s="4" t="s">
        <v>4</v>
      </c>
    </row>
    <row r="333" ht="15.75" customHeight="1">
      <c r="A333" s="4" t="s">
        <v>340</v>
      </c>
      <c r="B333" s="5">
        <v>43871.0</v>
      </c>
      <c r="C333" s="4" t="s">
        <v>4</v>
      </c>
    </row>
    <row r="334" ht="15.75" customHeight="1">
      <c r="A334" s="4" t="s">
        <v>341</v>
      </c>
      <c r="B334" s="5">
        <v>43871.0</v>
      </c>
      <c r="C334" s="4" t="s">
        <v>4</v>
      </c>
    </row>
    <row r="335" ht="15.75" customHeight="1">
      <c r="A335" s="4" t="s">
        <v>342</v>
      </c>
      <c r="B335" s="5">
        <v>43871.0</v>
      </c>
      <c r="C335" s="4" t="s">
        <v>4</v>
      </c>
    </row>
    <row r="336" ht="15.75" customHeight="1">
      <c r="A336" s="4" t="s">
        <v>343</v>
      </c>
      <c r="B336" s="5">
        <v>43872.0</v>
      </c>
      <c r="C336" s="4" t="s">
        <v>4</v>
      </c>
    </row>
    <row r="337" ht="15.75" customHeight="1">
      <c r="A337" s="4" t="s">
        <v>344</v>
      </c>
      <c r="B337" s="5">
        <v>43872.0</v>
      </c>
      <c r="C337" s="4" t="s">
        <v>4</v>
      </c>
    </row>
    <row r="338" ht="15.75" customHeight="1">
      <c r="A338" s="4" t="s">
        <v>345</v>
      </c>
      <c r="B338" s="5">
        <v>43872.0</v>
      </c>
      <c r="C338" s="4" t="s">
        <v>4</v>
      </c>
    </row>
    <row r="339" ht="15.75" customHeight="1">
      <c r="A339" s="4" t="s">
        <v>346</v>
      </c>
      <c r="B339" s="5">
        <v>43872.0</v>
      </c>
      <c r="C339" s="4" t="s">
        <v>4</v>
      </c>
    </row>
    <row r="340" ht="15.75" customHeight="1">
      <c r="A340" s="4" t="s">
        <v>347</v>
      </c>
      <c r="B340" s="5">
        <v>43872.0</v>
      </c>
      <c r="C340" s="4" t="s">
        <v>4</v>
      </c>
    </row>
    <row r="341" ht="15.75" customHeight="1">
      <c r="A341" s="4" t="s">
        <v>348</v>
      </c>
      <c r="B341" s="5">
        <v>43872.0</v>
      </c>
      <c r="C341" s="4" t="s">
        <v>4</v>
      </c>
    </row>
    <row r="342" ht="15.75" customHeight="1">
      <c r="A342" s="4" t="s">
        <v>349</v>
      </c>
      <c r="B342" s="5">
        <v>43872.0</v>
      </c>
      <c r="C342" s="4" t="s">
        <v>4</v>
      </c>
    </row>
    <row r="343" ht="15.75" customHeight="1">
      <c r="A343" s="4" t="s">
        <v>350</v>
      </c>
      <c r="B343" s="5">
        <v>43872.0</v>
      </c>
      <c r="C343" s="4" t="s">
        <v>4</v>
      </c>
    </row>
    <row r="344" ht="15.75" customHeight="1">
      <c r="A344" s="4" t="s">
        <v>351</v>
      </c>
      <c r="B344" s="5">
        <v>43873.0</v>
      </c>
      <c r="C344" s="4" t="s">
        <v>4</v>
      </c>
    </row>
    <row r="345" ht="15.75" customHeight="1">
      <c r="A345" s="4" t="s">
        <v>352</v>
      </c>
      <c r="B345" s="5">
        <v>43873.0</v>
      </c>
      <c r="C345" s="4" t="s">
        <v>4</v>
      </c>
    </row>
    <row r="346" ht="15.75" customHeight="1">
      <c r="A346" s="4" t="s">
        <v>353</v>
      </c>
      <c r="B346" s="5">
        <v>43873.0</v>
      </c>
      <c r="C346" s="4" t="s">
        <v>4</v>
      </c>
    </row>
    <row r="347" ht="15.75" customHeight="1">
      <c r="A347" s="4" t="s">
        <v>354</v>
      </c>
      <c r="B347" s="5">
        <v>43873.0</v>
      </c>
      <c r="C347" s="4" t="s">
        <v>4</v>
      </c>
    </row>
    <row r="348" ht="15.75" customHeight="1">
      <c r="A348" s="4" t="s">
        <v>355</v>
      </c>
      <c r="B348" s="5">
        <v>43873.0</v>
      </c>
      <c r="C348" s="4" t="s">
        <v>4</v>
      </c>
    </row>
    <row r="349" ht="15.75" customHeight="1">
      <c r="A349" s="4" t="s">
        <v>356</v>
      </c>
      <c r="B349" s="5">
        <v>43873.0</v>
      </c>
      <c r="C349" s="4" t="s">
        <v>4</v>
      </c>
    </row>
    <row r="350" ht="15.75" customHeight="1">
      <c r="A350" s="4" t="s">
        <v>357</v>
      </c>
      <c r="B350" s="5">
        <v>43873.0</v>
      </c>
      <c r="C350" s="4" t="s">
        <v>4</v>
      </c>
    </row>
    <row r="351" ht="15.75" customHeight="1">
      <c r="A351" s="4" t="s">
        <v>358</v>
      </c>
      <c r="B351" s="5">
        <v>43873.0</v>
      </c>
      <c r="C351" s="4" t="s">
        <v>4</v>
      </c>
    </row>
    <row r="352" ht="15.75" customHeight="1">
      <c r="A352" s="4" t="s">
        <v>359</v>
      </c>
      <c r="B352" s="5">
        <v>43873.0</v>
      </c>
      <c r="C352" s="4" t="s">
        <v>4</v>
      </c>
    </row>
    <row r="353" ht="15.75" customHeight="1">
      <c r="A353" s="4" t="s">
        <v>360</v>
      </c>
      <c r="B353" s="5">
        <v>43873.0</v>
      </c>
      <c r="C353" s="4" t="s">
        <v>4</v>
      </c>
    </row>
    <row r="354" ht="15.75" customHeight="1">
      <c r="A354" s="4" t="s">
        <v>361</v>
      </c>
      <c r="B354" s="5">
        <v>43873.0</v>
      </c>
      <c r="C354" s="4" t="s">
        <v>4</v>
      </c>
    </row>
    <row r="355" ht="15.75" customHeight="1">
      <c r="A355" s="4" t="s">
        <v>362</v>
      </c>
      <c r="B355" s="5">
        <v>43873.0</v>
      </c>
      <c r="C355" s="4" t="s">
        <v>53</v>
      </c>
    </row>
    <row r="356" ht="15.75" customHeight="1">
      <c r="A356" s="4" t="s">
        <v>363</v>
      </c>
      <c r="B356" s="5">
        <v>43873.0</v>
      </c>
      <c r="C356" s="4" t="s">
        <v>53</v>
      </c>
    </row>
    <row r="357" ht="15.75" customHeight="1">
      <c r="A357" s="4" t="s">
        <v>364</v>
      </c>
      <c r="B357" s="5">
        <v>43873.0</v>
      </c>
      <c r="C357" s="4" t="s">
        <v>53</v>
      </c>
    </row>
    <row r="358" ht="15.75" customHeight="1">
      <c r="A358" s="4" t="s">
        <v>365</v>
      </c>
      <c r="B358" s="5">
        <v>43873.0</v>
      </c>
      <c r="C358" s="4" t="s">
        <v>4</v>
      </c>
    </row>
    <row r="359" ht="15.75" customHeight="1">
      <c r="A359" s="4" t="s">
        <v>366</v>
      </c>
      <c r="B359" s="5">
        <v>43874.0</v>
      </c>
      <c r="C359" s="4" t="s">
        <v>4</v>
      </c>
    </row>
    <row r="360" ht="15.75" customHeight="1">
      <c r="A360" s="4" t="s">
        <v>367</v>
      </c>
      <c r="B360" s="5">
        <v>43874.0</v>
      </c>
      <c r="C360" s="4" t="s">
        <v>4</v>
      </c>
    </row>
    <row r="361" ht="15.75" customHeight="1">
      <c r="A361" s="4" t="s">
        <v>368</v>
      </c>
      <c r="B361" s="5">
        <v>43874.0</v>
      </c>
      <c r="C361" s="4" t="s">
        <v>4</v>
      </c>
    </row>
    <row r="362" ht="15.75" customHeight="1">
      <c r="A362" s="4" t="s">
        <v>369</v>
      </c>
      <c r="B362" s="5">
        <v>43874.0</v>
      </c>
      <c r="C362" s="4" t="s">
        <v>4</v>
      </c>
    </row>
    <row r="363" ht="15.75" customHeight="1">
      <c r="A363" s="4" t="s">
        <v>370</v>
      </c>
      <c r="B363" s="5">
        <v>43874.0</v>
      </c>
      <c r="C363" s="4" t="s">
        <v>4</v>
      </c>
    </row>
    <row r="364" ht="15.75" customHeight="1">
      <c r="A364" s="4" t="s">
        <v>371</v>
      </c>
      <c r="B364" s="5">
        <v>43874.0</v>
      </c>
      <c r="C364" s="4" t="s">
        <v>4</v>
      </c>
    </row>
    <row r="365" ht="15.75" customHeight="1">
      <c r="A365" s="4" t="s">
        <v>372</v>
      </c>
      <c r="B365" s="5">
        <v>43874.0</v>
      </c>
      <c r="C365" s="4" t="s">
        <v>4</v>
      </c>
    </row>
    <row r="366" ht="15.75" customHeight="1">
      <c r="A366" s="4" t="s">
        <v>373</v>
      </c>
      <c r="B366" s="5">
        <v>43874.0</v>
      </c>
      <c r="C366" s="4" t="s">
        <v>4</v>
      </c>
    </row>
    <row r="367" ht="15.75" customHeight="1">
      <c r="A367" s="4" t="s">
        <v>374</v>
      </c>
      <c r="B367" s="5">
        <v>43874.0</v>
      </c>
      <c r="C367" s="4" t="s">
        <v>4</v>
      </c>
    </row>
    <row r="368" ht="15.75" customHeight="1">
      <c r="A368" s="4" t="s">
        <v>375</v>
      </c>
      <c r="B368" s="5">
        <v>43874.0</v>
      </c>
      <c r="C368" s="4" t="s">
        <v>4</v>
      </c>
    </row>
    <row r="369" ht="15.75" customHeight="1">
      <c r="A369" s="4" t="s">
        <v>376</v>
      </c>
      <c r="B369" s="5">
        <v>43874.0</v>
      </c>
      <c r="C369" s="4" t="s">
        <v>4</v>
      </c>
    </row>
    <row r="370" ht="15.75" customHeight="1">
      <c r="A370" s="4" t="s">
        <v>377</v>
      </c>
      <c r="B370" s="5">
        <v>43874.0</v>
      </c>
      <c r="C370" s="4" t="s">
        <v>4</v>
      </c>
    </row>
    <row r="371" ht="15.75" customHeight="1">
      <c r="A371" s="4" t="s">
        <v>378</v>
      </c>
      <c r="B371" s="5">
        <v>43874.0</v>
      </c>
      <c r="C371" s="4" t="s">
        <v>4</v>
      </c>
    </row>
    <row r="372" ht="15.75" customHeight="1">
      <c r="A372" s="4" t="s">
        <v>379</v>
      </c>
      <c r="B372" s="5">
        <v>43875.0</v>
      </c>
      <c r="C372" s="4" t="s">
        <v>4</v>
      </c>
    </row>
    <row r="373" ht="15.75" customHeight="1">
      <c r="A373" s="4" t="s">
        <v>380</v>
      </c>
      <c r="B373" s="5">
        <v>43875.0</v>
      </c>
      <c r="C373" s="4" t="s">
        <v>4</v>
      </c>
    </row>
    <row r="374" ht="15.75" customHeight="1">
      <c r="A374" s="4" t="s">
        <v>381</v>
      </c>
      <c r="B374" s="5">
        <v>43875.0</v>
      </c>
      <c r="C374" s="4" t="s">
        <v>4</v>
      </c>
    </row>
    <row r="375" ht="15.75" customHeight="1">
      <c r="A375" s="4" t="s">
        <v>382</v>
      </c>
      <c r="B375" s="5">
        <v>43875.0</v>
      </c>
      <c r="C375" s="4" t="s">
        <v>4</v>
      </c>
    </row>
    <row r="376" ht="15.75" customHeight="1">
      <c r="A376" s="4" t="s">
        <v>383</v>
      </c>
      <c r="B376" s="5">
        <v>43875.0</v>
      </c>
      <c r="C376" s="4" t="s">
        <v>4</v>
      </c>
    </row>
    <row r="377" ht="15.75" customHeight="1">
      <c r="A377" s="4" t="s">
        <v>384</v>
      </c>
      <c r="B377" s="5">
        <v>43875.0</v>
      </c>
      <c r="C377" s="4" t="s">
        <v>4</v>
      </c>
    </row>
    <row r="378" ht="15.75" customHeight="1">
      <c r="A378" s="4" t="s">
        <v>385</v>
      </c>
      <c r="B378" s="5">
        <v>43875.0</v>
      </c>
      <c r="C378" s="4" t="s">
        <v>4</v>
      </c>
    </row>
    <row r="379" ht="15.75" customHeight="1">
      <c r="A379" s="4" t="s">
        <v>386</v>
      </c>
      <c r="B379" s="5">
        <v>43875.0</v>
      </c>
      <c r="C379" s="4" t="s">
        <v>4</v>
      </c>
    </row>
    <row r="380" ht="15.75" customHeight="1">
      <c r="A380" s="4" t="s">
        <v>387</v>
      </c>
      <c r="B380" s="5">
        <v>43875.0</v>
      </c>
      <c r="C380" s="4" t="s">
        <v>4</v>
      </c>
    </row>
    <row r="381" ht="15.75" customHeight="1">
      <c r="A381" s="4" t="s">
        <v>388</v>
      </c>
      <c r="B381" s="5">
        <v>43875.0</v>
      </c>
      <c r="C381" s="4" t="s">
        <v>4</v>
      </c>
    </row>
    <row r="382" ht="15.75" customHeight="1">
      <c r="A382" s="4" t="s">
        <v>389</v>
      </c>
      <c r="B382" s="5">
        <v>43876.0</v>
      </c>
      <c r="C382" s="4" t="s">
        <v>4</v>
      </c>
    </row>
    <row r="383" ht="15.75" customHeight="1">
      <c r="A383" s="4" t="s">
        <v>390</v>
      </c>
      <c r="B383" s="5">
        <v>43876.0</v>
      </c>
      <c r="C383" s="4" t="s">
        <v>4</v>
      </c>
    </row>
    <row r="384" ht="15.75" customHeight="1">
      <c r="A384" s="4" t="s">
        <v>391</v>
      </c>
      <c r="B384" s="5">
        <v>43877.0</v>
      </c>
      <c r="C384" s="4" t="s">
        <v>4</v>
      </c>
    </row>
    <row r="385" ht="15.75" customHeight="1">
      <c r="A385" s="4" t="s">
        <v>392</v>
      </c>
      <c r="B385" s="5">
        <v>43877.0</v>
      </c>
      <c r="C385" s="4" t="s">
        <v>4</v>
      </c>
    </row>
    <row r="386" ht="15.75" customHeight="1">
      <c r="A386" s="4" t="s">
        <v>393</v>
      </c>
      <c r="B386" s="5">
        <v>43877.0</v>
      </c>
      <c r="C386" s="4" t="s">
        <v>4</v>
      </c>
    </row>
    <row r="387" ht="15.75" customHeight="1">
      <c r="A387" s="4" t="s">
        <v>394</v>
      </c>
      <c r="B387" s="5">
        <v>43878.0</v>
      </c>
      <c r="C387" s="4" t="s">
        <v>4</v>
      </c>
    </row>
    <row r="388" ht="15.75" customHeight="1">
      <c r="A388" s="4" t="s">
        <v>395</v>
      </c>
      <c r="B388" s="5">
        <v>43878.0</v>
      </c>
      <c r="C388" s="4" t="s">
        <v>4</v>
      </c>
    </row>
    <row r="389" ht="15.75" customHeight="1">
      <c r="A389" s="4" t="s">
        <v>396</v>
      </c>
      <c r="B389" s="5">
        <v>43878.0</v>
      </c>
      <c r="C389" s="4" t="s">
        <v>4</v>
      </c>
    </row>
    <row r="390" ht="15.75" customHeight="1">
      <c r="A390" s="4" t="s">
        <v>397</v>
      </c>
      <c r="B390" s="5">
        <v>43878.0</v>
      </c>
      <c r="C390" s="4" t="s">
        <v>4</v>
      </c>
    </row>
    <row r="391" ht="15.75" customHeight="1">
      <c r="A391" s="4" t="s">
        <v>398</v>
      </c>
      <c r="B391" s="5">
        <v>43878.0</v>
      </c>
      <c r="C391" s="4" t="s">
        <v>4</v>
      </c>
    </row>
    <row r="392" ht="15.75" customHeight="1">
      <c r="A392" s="4" t="s">
        <v>399</v>
      </c>
      <c r="B392" s="5">
        <v>43878.0</v>
      </c>
      <c r="C392" s="4" t="s">
        <v>47</v>
      </c>
    </row>
    <row r="393" ht="15.75" customHeight="1">
      <c r="A393" s="4" t="s">
        <v>400</v>
      </c>
      <c r="B393" s="5">
        <v>43878.0</v>
      </c>
      <c r="C393" s="4" t="s">
        <v>4</v>
      </c>
    </row>
    <row r="394" ht="15.75" customHeight="1">
      <c r="A394" s="4" t="s">
        <v>401</v>
      </c>
      <c r="B394" s="5">
        <v>43878.0</v>
      </c>
      <c r="C394" s="4" t="s">
        <v>4</v>
      </c>
    </row>
    <row r="395" ht="15.75" customHeight="1">
      <c r="A395" s="4" t="s">
        <v>402</v>
      </c>
      <c r="B395" s="5">
        <v>43878.0</v>
      </c>
      <c r="C395" s="4" t="s">
        <v>4</v>
      </c>
    </row>
    <row r="396" ht="15.75" customHeight="1">
      <c r="A396" s="4" t="s">
        <v>403</v>
      </c>
      <c r="B396" s="5">
        <v>43878.0</v>
      </c>
      <c r="C396" s="4" t="s">
        <v>4</v>
      </c>
    </row>
    <row r="397" ht="15.75" customHeight="1">
      <c r="A397" s="4" t="s">
        <v>404</v>
      </c>
      <c r="B397" s="5">
        <v>43878.0</v>
      </c>
      <c r="C397" s="4" t="s">
        <v>4</v>
      </c>
    </row>
    <row r="398" ht="15.75" customHeight="1">
      <c r="A398" s="4" t="s">
        <v>405</v>
      </c>
      <c r="B398" s="5">
        <v>43878.0</v>
      </c>
      <c r="C398" s="4" t="s">
        <v>4</v>
      </c>
    </row>
    <row r="399" ht="15.75" customHeight="1">
      <c r="A399" s="4" t="s">
        <v>406</v>
      </c>
      <c r="B399" s="5">
        <v>43878.0</v>
      </c>
      <c r="C399" s="4" t="s">
        <v>21</v>
      </c>
    </row>
    <row r="400" ht="15.75" customHeight="1">
      <c r="A400" s="4" t="s">
        <v>407</v>
      </c>
      <c r="B400" s="5">
        <v>43878.0</v>
      </c>
      <c r="C400" s="4" t="s">
        <v>21</v>
      </c>
    </row>
    <row r="401" ht="15.75" customHeight="1">
      <c r="A401" s="4" t="s">
        <v>408</v>
      </c>
      <c r="B401" s="5">
        <v>43878.0</v>
      </c>
      <c r="C401" s="4" t="s">
        <v>47</v>
      </c>
    </row>
    <row r="402" ht="15.75" customHeight="1">
      <c r="A402" s="4" t="s">
        <v>409</v>
      </c>
      <c r="B402" s="5">
        <v>43878.0</v>
      </c>
      <c r="C402" s="4" t="s">
        <v>47</v>
      </c>
    </row>
    <row r="403" ht="15.75" customHeight="1">
      <c r="A403" s="4" t="s">
        <v>410</v>
      </c>
      <c r="B403" s="5">
        <v>43878.0</v>
      </c>
      <c r="C403" s="4" t="s">
        <v>47</v>
      </c>
    </row>
    <row r="404" ht="15.75" customHeight="1">
      <c r="A404" s="4" t="s">
        <v>411</v>
      </c>
      <c r="B404" s="5">
        <v>43878.0</v>
      </c>
      <c r="C404" s="4" t="s">
        <v>47</v>
      </c>
    </row>
    <row r="405" ht="15.75" customHeight="1">
      <c r="A405" s="4" t="s">
        <v>412</v>
      </c>
      <c r="B405" s="5">
        <v>43879.0</v>
      </c>
      <c r="C405" s="4" t="s">
        <v>47</v>
      </c>
    </row>
    <row r="406" ht="15.75" customHeight="1">
      <c r="A406" s="4" t="s">
        <v>413</v>
      </c>
      <c r="B406" s="5">
        <v>43879.0</v>
      </c>
      <c r="C406" s="4" t="s">
        <v>47</v>
      </c>
    </row>
    <row r="407" ht="15.75" customHeight="1">
      <c r="A407" s="4" t="s">
        <v>414</v>
      </c>
      <c r="B407" s="5">
        <v>43879.0</v>
      </c>
      <c r="C407" s="4" t="s">
        <v>47</v>
      </c>
    </row>
    <row r="408" ht="15.75" customHeight="1">
      <c r="A408" s="4" t="s">
        <v>415</v>
      </c>
      <c r="B408" s="5">
        <v>43879.0</v>
      </c>
      <c r="C408" s="4" t="s">
        <v>47</v>
      </c>
    </row>
    <row r="409" ht="15.75" customHeight="1">
      <c r="A409" s="4" t="s">
        <v>416</v>
      </c>
      <c r="B409" s="5">
        <v>43879.0</v>
      </c>
      <c r="C409" s="4" t="s">
        <v>47</v>
      </c>
    </row>
    <row r="410" ht="15.75" customHeight="1">
      <c r="A410" s="4" t="s">
        <v>417</v>
      </c>
      <c r="B410" s="5">
        <v>43879.0</v>
      </c>
      <c r="C410" s="4" t="s">
        <v>47</v>
      </c>
    </row>
    <row r="411" ht="15.75" customHeight="1">
      <c r="A411" s="4" t="s">
        <v>418</v>
      </c>
      <c r="B411" s="5">
        <v>43879.0</v>
      </c>
      <c r="C411" s="4" t="s">
        <v>47</v>
      </c>
    </row>
    <row r="412" ht="15.75" customHeight="1">
      <c r="A412" s="4" t="s">
        <v>419</v>
      </c>
      <c r="B412" s="5">
        <v>43879.0</v>
      </c>
      <c r="C412" s="4" t="s">
        <v>6</v>
      </c>
    </row>
    <row r="413" ht="15.75" customHeight="1">
      <c r="A413" s="4" t="s">
        <v>420</v>
      </c>
      <c r="B413" s="5">
        <v>43879.0</v>
      </c>
      <c r="C413" s="4" t="s">
        <v>47</v>
      </c>
    </row>
    <row r="414" ht="15.75" customHeight="1">
      <c r="A414" s="4" t="s">
        <v>421</v>
      </c>
      <c r="B414" s="5">
        <v>43880.0</v>
      </c>
      <c r="C414" s="4" t="s">
        <v>47</v>
      </c>
    </row>
    <row r="415" ht="15.75" customHeight="1">
      <c r="A415" s="4" t="s">
        <v>422</v>
      </c>
      <c r="B415" s="5">
        <v>43880.0</v>
      </c>
      <c r="C415" s="4" t="s">
        <v>47</v>
      </c>
    </row>
    <row r="416" ht="15.75" customHeight="1">
      <c r="A416" s="4" t="s">
        <v>423</v>
      </c>
      <c r="B416" s="5">
        <v>43880.0</v>
      </c>
      <c r="C416" s="4" t="s">
        <v>47</v>
      </c>
    </row>
    <row r="417" ht="15.75" customHeight="1">
      <c r="A417" s="4" t="s">
        <v>424</v>
      </c>
      <c r="B417" s="5">
        <v>43880.0</v>
      </c>
      <c r="C417" s="4" t="s">
        <v>4</v>
      </c>
    </row>
    <row r="418" ht="15.75" customHeight="1">
      <c r="A418" s="4" t="s">
        <v>425</v>
      </c>
      <c r="B418" s="5">
        <v>43880.0</v>
      </c>
      <c r="C418" s="4" t="s">
        <v>4</v>
      </c>
    </row>
    <row r="419" ht="15.75" customHeight="1">
      <c r="A419" s="4" t="s">
        <v>426</v>
      </c>
      <c r="B419" s="5">
        <v>43880.0</v>
      </c>
      <c r="C419" s="4" t="s">
        <v>4</v>
      </c>
    </row>
    <row r="420" ht="15.75" customHeight="1">
      <c r="A420" s="4" t="s">
        <v>427</v>
      </c>
      <c r="B420" s="5">
        <v>43881.0</v>
      </c>
      <c r="C420" s="4" t="s">
        <v>4</v>
      </c>
    </row>
    <row r="421" ht="15.75" customHeight="1">
      <c r="A421" s="4" t="s">
        <v>428</v>
      </c>
      <c r="B421" s="5">
        <v>43881.0</v>
      </c>
      <c r="C421" s="4" t="s">
        <v>4</v>
      </c>
    </row>
    <row r="422" ht="15.75" customHeight="1">
      <c r="A422" s="4" t="s">
        <v>429</v>
      </c>
      <c r="B422" s="5">
        <v>43881.0</v>
      </c>
      <c r="C422" s="4" t="s">
        <v>4</v>
      </c>
    </row>
    <row r="423" ht="15.75" customHeight="1">
      <c r="A423" s="4" t="s">
        <v>430</v>
      </c>
      <c r="B423" s="5">
        <v>43881.0</v>
      </c>
      <c r="C423" s="4" t="s">
        <v>4</v>
      </c>
    </row>
    <row r="424" ht="15.75" customHeight="1">
      <c r="A424" s="4" t="s">
        <v>431</v>
      </c>
      <c r="B424" s="5">
        <v>43881.0</v>
      </c>
      <c r="C424" s="4" t="s">
        <v>4</v>
      </c>
    </row>
    <row r="425" ht="15.75" customHeight="1">
      <c r="A425" s="4" t="s">
        <v>432</v>
      </c>
      <c r="B425" s="5">
        <v>43881.0</v>
      </c>
      <c r="C425" s="4" t="s">
        <v>4</v>
      </c>
    </row>
    <row r="426" ht="15.75" customHeight="1">
      <c r="A426" s="4" t="s">
        <v>433</v>
      </c>
      <c r="B426" s="5">
        <v>43881.0</v>
      </c>
      <c r="C426" s="4" t="s">
        <v>4</v>
      </c>
    </row>
    <row r="427" ht="15.75" customHeight="1">
      <c r="A427" s="4" t="s">
        <v>434</v>
      </c>
      <c r="B427" s="5">
        <v>43882.0</v>
      </c>
      <c r="C427" s="4" t="s">
        <v>4</v>
      </c>
    </row>
    <row r="428" ht="15.75" customHeight="1">
      <c r="A428" s="4" t="s">
        <v>435</v>
      </c>
      <c r="B428" s="5">
        <v>43882.0</v>
      </c>
      <c r="C428" s="4" t="s">
        <v>4</v>
      </c>
    </row>
    <row r="429" ht="15.75" customHeight="1">
      <c r="A429" s="4" t="s">
        <v>436</v>
      </c>
      <c r="B429" s="5">
        <v>43882.0</v>
      </c>
      <c r="C429" s="4" t="s">
        <v>4</v>
      </c>
    </row>
    <row r="430" ht="15.75" customHeight="1">
      <c r="A430" s="4" t="s">
        <v>437</v>
      </c>
      <c r="B430" s="5">
        <v>43882.0</v>
      </c>
      <c r="C430" s="4" t="s">
        <v>4</v>
      </c>
    </row>
    <row r="431" ht="15.75" customHeight="1">
      <c r="A431" s="4" t="s">
        <v>438</v>
      </c>
      <c r="B431" s="5">
        <v>43882.0</v>
      </c>
      <c r="C431" s="4" t="s">
        <v>4</v>
      </c>
    </row>
    <row r="432" ht="15.75" customHeight="1">
      <c r="A432" s="4" t="s">
        <v>439</v>
      </c>
      <c r="B432" s="5">
        <v>43882.0</v>
      </c>
      <c r="C432" s="4" t="s">
        <v>4</v>
      </c>
    </row>
    <row r="433" ht="15.75" customHeight="1">
      <c r="A433" s="4" t="s">
        <v>440</v>
      </c>
      <c r="B433" s="5">
        <v>43882.0</v>
      </c>
      <c r="C433" s="4" t="s">
        <v>4</v>
      </c>
    </row>
    <row r="434" ht="15.75" customHeight="1">
      <c r="A434" s="4" t="s">
        <v>441</v>
      </c>
      <c r="B434" s="5">
        <v>43882.0</v>
      </c>
      <c r="C434" s="4" t="s">
        <v>4</v>
      </c>
    </row>
    <row r="435" ht="15.75" customHeight="1">
      <c r="A435" s="4" t="s">
        <v>442</v>
      </c>
      <c r="B435" s="5">
        <v>43882.0</v>
      </c>
      <c r="C435" s="4" t="s">
        <v>4</v>
      </c>
    </row>
    <row r="436" ht="15.75" customHeight="1">
      <c r="A436" s="4" t="s">
        <v>443</v>
      </c>
      <c r="B436" s="5">
        <v>43882.0</v>
      </c>
      <c r="C436" s="4" t="s">
        <v>4</v>
      </c>
    </row>
    <row r="437" ht="15.75" customHeight="1">
      <c r="A437" s="4" t="s">
        <v>444</v>
      </c>
      <c r="B437" s="5">
        <v>43882.0</v>
      </c>
      <c r="C437" s="4" t="s">
        <v>4</v>
      </c>
    </row>
    <row r="438" ht="15.75" customHeight="1">
      <c r="A438" s="4" t="s">
        <v>445</v>
      </c>
      <c r="B438" s="5">
        <v>43882.0</v>
      </c>
      <c r="C438" s="4" t="s">
        <v>4</v>
      </c>
    </row>
    <row r="439" ht="15.75" customHeight="1">
      <c r="A439" s="4" t="s">
        <v>446</v>
      </c>
      <c r="B439" s="5">
        <v>43884.0</v>
      </c>
      <c r="C439" s="4" t="s">
        <v>4</v>
      </c>
    </row>
    <row r="440" ht="15.75" customHeight="1">
      <c r="A440" s="4" t="s">
        <v>447</v>
      </c>
      <c r="B440" s="5">
        <v>43884.0</v>
      </c>
      <c r="C440" s="4" t="s">
        <v>4</v>
      </c>
    </row>
    <row r="441" ht="15.75" customHeight="1">
      <c r="A441" s="4" t="s">
        <v>448</v>
      </c>
      <c r="B441" s="5">
        <v>43884.0</v>
      </c>
      <c r="C441" s="4" t="s">
        <v>4</v>
      </c>
    </row>
    <row r="442" ht="15.75" customHeight="1">
      <c r="A442" s="4" t="s">
        <v>449</v>
      </c>
      <c r="B442" s="5">
        <v>43885.0</v>
      </c>
      <c r="C442" s="4" t="s">
        <v>4</v>
      </c>
    </row>
    <row r="443" ht="15.75" customHeight="1">
      <c r="A443" s="4" t="s">
        <v>450</v>
      </c>
      <c r="B443" s="5">
        <v>43885.0</v>
      </c>
      <c r="C443" s="4" t="s">
        <v>21</v>
      </c>
    </row>
    <row r="444" ht="15.75" customHeight="1">
      <c r="A444" s="4" t="s">
        <v>451</v>
      </c>
      <c r="B444" s="5">
        <v>43885.0</v>
      </c>
      <c r="C444" s="4" t="s">
        <v>47</v>
      </c>
    </row>
    <row r="445" ht="15.75" customHeight="1">
      <c r="A445" s="4" t="s">
        <v>452</v>
      </c>
      <c r="B445" s="5">
        <v>43885.0</v>
      </c>
      <c r="C445" s="4" t="s">
        <v>21</v>
      </c>
    </row>
    <row r="446" ht="15.75" customHeight="1">
      <c r="A446" s="4" t="s">
        <v>453</v>
      </c>
      <c r="B446" s="5">
        <v>43885.0</v>
      </c>
      <c r="C446" s="4" t="s">
        <v>21</v>
      </c>
    </row>
    <row r="447" ht="15.75" customHeight="1">
      <c r="A447" s="4" t="s">
        <v>454</v>
      </c>
      <c r="B447" s="5">
        <v>43885.0</v>
      </c>
      <c r="C447" s="4" t="s">
        <v>53</v>
      </c>
    </row>
    <row r="448" ht="15.75" customHeight="1">
      <c r="A448" s="4" t="s">
        <v>455</v>
      </c>
      <c r="B448" s="5">
        <v>43885.0</v>
      </c>
      <c r="C448" s="4" t="s">
        <v>47</v>
      </c>
    </row>
    <row r="449" ht="15.75" customHeight="1">
      <c r="A449" s="4" t="s">
        <v>456</v>
      </c>
      <c r="B449" s="5">
        <v>43885.0</v>
      </c>
      <c r="C449" s="4" t="s">
        <v>15</v>
      </c>
    </row>
    <row r="450" ht="15.75" customHeight="1">
      <c r="A450" s="4" t="s">
        <v>457</v>
      </c>
      <c r="B450" s="5">
        <v>43885.0</v>
      </c>
      <c r="C450" s="4" t="s">
        <v>4</v>
      </c>
    </row>
    <row r="451" ht="15.75" customHeight="1">
      <c r="A451" s="4" t="s">
        <v>458</v>
      </c>
      <c r="B451" s="5">
        <v>43885.0</v>
      </c>
      <c r="C451" s="4" t="s">
        <v>4</v>
      </c>
    </row>
    <row r="452" ht="15.75" customHeight="1">
      <c r="A452" s="4" t="s">
        <v>459</v>
      </c>
      <c r="B452" s="5">
        <v>43885.0</v>
      </c>
      <c r="C452" s="4" t="s">
        <v>4</v>
      </c>
    </row>
    <row r="453" ht="15.75" customHeight="1">
      <c r="A453" s="4" t="s">
        <v>460</v>
      </c>
      <c r="B453" s="5">
        <v>43885.0</v>
      </c>
      <c r="C453" s="4" t="s">
        <v>4</v>
      </c>
    </row>
    <row r="454" ht="15.75" customHeight="1">
      <c r="A454" s="4" t="s">
        <v>461</v>
      </c>
      <c r="B454" s="5">
        <v>43885.0</v>
      </c>
      <c r="C454" s="4" t="s">
        <v>4</v>
      </c>
    </row>
    <row r="455" ht="15.75" customHeight="1">
      <c r="A455" s="4" t="s">
        <v>462</v>
      </c>
      <c r="B455" s="5">
        <v>43885.0</v>
      </c>
      <c r="C455" s="4" t="s">
        <v>4</v>
      </c>
    </row>
    <row r="456" ht="15.75" customHeight="1">
      <c r="A456" s="4" t="s">
        <v>463</v>
      </c>
      <c r="B456" s="5">
        <v>43885.0</v>
      </c>
      <c r="C456" s="4" t="s">
        <v>4</v>
      </c>
    </row>
    <row r="457" ht="15.75" customHeight="1">
      <c r="A457" s="4" t="s">
        <v>464</v>
      </c>
      <c r="B457" s="5">
        <v>43885.0</v>
      </c>
      <c r="C457" s="4" t="s">
        <v>21</v>
      </c>
    </row>
    <row r="458" ht="15.75" customHeight="1">
      <c r="A458" s="4" t="s">
        <v>465</v>
      </c>
      <c r="B458" s="5">
        <v>43885.0</v>
      </c>
      <c r="C458" s="4" t="s">
        <v>21</v>
      </c>
    </row>
    <row r="459" ht="15.75" customHeight="1">
      <c r="A459" s="4" t="s">
        <v>466</v>
      </c>
      <c r="B459" s="5">
        <v>43885.0</v>
      </c>
      <c r="C459" s="4" t="s">
        <v>47</v>
      </c>
    </row>
    <row r="460" ht="15.75" customHeight="1">
      <c r="A460" s="4" t="s">
        <v>467</v>
      </c>
      <c r="B460" s="5">
        <v>43885.0</v>
      </c>
      <c r="C460" s="4" t="s">
        <v>47</v>
      </c>
    </row>
    <row r="461" ht="15.75" customHeight="1">
      <c r="A461" s="4" t="s">
        <v>468</v>
      </c>
      <c r="B461" s="5">
        <v>43885.0</v>
      </c>
      <c r="C461" s="4" t="s">
        <v>4</v>
      </c>
    </row>
    <row r="462" ht="15.75" customHeight="1">
      <c r="A462" s="4" t="s">
        <v>469</v>
      </c>
      <c r="B462" s="5">
        <v>43886.0</v>
      </c>
      <c r="C462" s="4" t="s">
        <v>4</v>
      </c>
    </row>
    <row r="463" ht="15.75" customHeight="1">
      <c r="A463" s="4" t="s">
        <v>470</v>
      </c>
      <c r="B463" s="5">
        <v>43886.0</v>
      </c>
      <c r="C463" s="4" t="s">
        <v>4</v>
      </c>
    </row>
    <row r="464" ht="15.75" customHeight="1">
      <c r="A464" s="4" t="s">
        <v>471</v>
      </c>
      <c r="B464" s="5">
        <v>43886.0</v>
      </c>
      <c r="C464" s="4" t="s">
        <v>47</v>
      </c>
    </row>
    <row r="465" ht="15.75" customHeight="1">
      <c r="A465" s="4" t="s">
        <v>472</v>
      </c>
      <c r="B465" s="5">
        <v>43886.0</v>
      </c>
      <c r="C465" s="4" t="s">
        <v>21</v>
      </c>
    </row>
    <row r="466" ht="15.75" customHeight="1">
      <c r="A466" s="4" t="s">
        <v>473</v>
      </c>
      <c r="B466" s="5">
        <v>43946.0</v>
      </c>
      <c r="C466" s="4" t="s">
        <v>6</v>
      </c>
    </row>
    <row r="467" ht="15.75" customHeight="1">
      <c r="A467" s="4" t="s">
        <v>474</v>
      </c>
      <c r="B467" s="5">
        <v>43886.0</v>
      </c>
      <c r="C467" s="4" t="s">
        <v>21</v>
      </c>
    </row>
    <row r="468" ht="15.75" customHeight="1">
      <c r="A468" s="4" t="s">
        <v>475</v>
      </c>
      <c r="B468" s="5">
        <v>43886.0</v>
      </c>
      <c r="C468" s="4" t="s">
        <v>47</v>
      </c>
    </row>
    <row r="469" ht="15.75" customHeight="1">
      <c r="A469" s="4" t="s">
        <v>476</v>
      </c>
      <c r="B469" s="5">
        <v>43886.0</v>
      </c>
      <c r="C469" s="4" t="s">
        <v>4</v>
      </c>
    </row>
    <row r="470" ht="15.75" customHeight="1">
      <c r="A470" s="4" t="s">
        <v>477</v>
      </c>
      <c r="B470" s="5">
        <v>43886.0</v>
      </c>
      <c r="C470" s="4" t="s">
        <v>4</v>
      </c>
    </row>
    <row r="471" ht="15.75" customHeight="1">
      <c r="A471" s="4" t="s">
        <v>478</v>
      </c>
      <c r="B471" s="5">
        <v>43886.0</v>
      </c>
      <c r="C471" s="4" t="s">
        <v>4</v>
      </c>
    </row>
    <row r="472" ht="15.75" customHeight="1">
      <c r="A472" s="4" t="s">
        <v>479</v>
      </c>
      <c r="B472" s="5">
        <v>43886.0</v>
      </c>
      <c r="C472" s="4" t="s">
        <v>4</v>
      </c>
    </row>
    <row r="473" ht="15.75" customHeight="1">
      <c r="A473" s="4" t="s">
        <v>480</v>
      </c>
      <c r="B473" s="5">
        <v>43886.0</v>
      </c>
      <c r="C473" s="4" t="s">
        <v>4</v>
      </c>
    </row>
    <row r="474" ht="15.75" customHeight="1">
      <c r="A474" s="4" t="s">
        <v>481</v>
      </c>
      <c r="B474" s="5">
        <v>43886.0</v>
      </c>
      <c r="C474" s="4" t="s">
        <v>15</v>
      </c>
    </row>
    <row r="475" ht="15.75" customHeight="1">
      <c r="A475" s="4" t="s">
        <v>482</v>
      </c>
      <c r="B475" s="5">
        <v>43886.0</v>
      </c>
      <c r="C475" s="4" t="s">
        <v>21</v>
      </c>
    </row>
    <row r="476" ht="15.75" customHeight="1">
      <c r="A476" s="4" t="s">
        <v>483</v>
      </c>
      <c r="B476" s="5">
        <v>43886.0</v>
      </c>
      <c r="C476" s="4" t="s">
        <v>53</v>
      </c>
    </row>
    <row r="477" ht="15.75" customHeight="1">
      <c r="A477" s="4" t="s">
        <v>484</v>
      </c>
      <c r="B477" s="5">
        <v>43886.0</v>
      </c>
      <c r="C477" s="4" t="s">
        <v>4</v>
      </c>
    </row>
    <row r="478" ht="15.75" customHeight="1">
      <c r="A478" s="4" t="s">
        <v>485</v>
      </c>
      <c r="B478" s="5">
        <v>43886.0</v>
      </c>
      <c r="C478" s="4" t="s">
        <v>4</v>
      </c>
    </row>
    <row r="479" ht="15.75" customHeight="1">
      <c r="A479" s="4" t="s">
        <v>486</v>
      </c>
      <c r="B479" s="5">
        <v>43887.0</v>
      </c>
      <c r="C479" s="4" t="s">
        <v>4</v>
      </c>
    </row>
    <row r="480" ht="15.75" customHeight="1">
      <c r="A480" s="4" t="s">
        <v>487</v>
      </c>
      <c r="B480" s="5">
        <v>43887.0</v>
      </c>
      <c r="C480" s="4" t="s">
        <v>4</v>
      </c>
    </row>
    <row r="481" ht="15.75" customHeight="1">
      <c r="A481" s="4" t="s">
        <v>488</v>
      </c>
      <c r="B481" s="5">
        <v>43887.0</v>
      </c>
      <c r="C481" s="4" t="s">
        <v>4</v>
      </c>
    </row>
    <row r="482" ht="15.75" customHeight="1">
      <c r="A482" s="4" t="s">
        <v>489</v>
      </c>
      <c r="B482" s="5">
        <v>43887.0</v>
      </c>
      <c r="C482" s="4" t="s">
        <v>4</v>
      </c>
    </row>
    <row r="483" ht="15.75" customHeight="1">
      <c r="A483" s="4" t="s">
        <v>490</v>
      </c>
      <c r="B483" s="5">
        <v>43887.0</v>
      </c>
      <c r="C483" s="4" t="s">
        <v>4</v>
      </c>
    </row>
    <row r="484" ht="15.75" customHeight="1">
      <c r="A484" s="4" t="s">
        <v>491</v>
      </c>
      <c r="B484" s="5">
        <v>43887.0</v>
      </c>
      <c r="C484" s="4" t="s">
        <v>4</v>
      </c>
    </row>
    <row r="485" ht="15.75" customHeight="1">
      <c r="A485" s="4" t="s">
        <v>492</v>
      </c>
      <c r="B485" s="5">
        <v>43887.0</v>
      </c>
      <c r="C485" s="4" t="s">
        <v>4</v>
      </c>
    </row>
    <row r="486" ht="15.75" customHeight="1">
      <c r="A486" s="4" t="s">
        <v>493</v>
      </c>
      <c r="B486" s="5">
        <v>43887.0</v>
      </c>
      <c r="C486" s="4" t="s">
        <v>4</v>
      </c>
    </row>
    <row r="487" ht="15.75" customHeight="1">
      <c r="A487" s="4" t="s">
        <v>494</v>
      </c>
      <c r="B487" s="5">
        <v>43887.0</v>
      </c>
      <c r="C487" s="4" t="s">
        <v>4</v>
      </c>
    </row>
    <row r="488" ht="15.75" customHeight="1">
      <c r="A488" s="4" t="s">
        <v>495</v>
      </c>
      <c r="B488" s="5">
        <v>43887.0</v>
      </c>
      <c r="C488" s="4" t="s">
        <v>4</v>
      </c>
    </row>
    <row r="489" ht="15.75" customHeight="1">
      <c r="A489" s="4" t="s">
        <v>496</v>
      </c>
      <c r="B489" s="5">
        <v>43887.0</v>
      </c>
      <c r="C489" s="4" t="s">
        <v>4</v>
      </c>
    </row>
    <row r="490" ht="15.75" customHeight="1">
      <c r="A490" s="4" t="s">
        <v>497</v>
      </c>
      <c r="B490" s="5">
        <v>43887.0</v>
      </c>
      <c r="C490" s="4" t="s">
        <v>4</v>
      </c>
    </row>
    <row r="491" ht="15.75" customHeight="1">
      <c r="A491" s="4" t="s">
        <v>498</v>
      </c>
      <c r="B491" s="5">
        <v>43887.0</v>
      </c>
      <c r="C491" s="4" t="s">
        <v>4</v>
      </c>
    </row>
    <row r="492" ht="15.75" customHeight="1">
      <c r="A492" s="4" t="s">
        <v>499</v>
      </c>
      <c r="B492" s="5">
        <v>43888.0</v>
      </c>
      <c r="C492" s="4" t="s">
        <v>53</v>
      </c>
    </row>
    <row r="493" ht="15.75" customHeight="1">
      <c r="A493" s="4" t="s">
        <v>500</v>
      </c>
      <c r="B493" s="5">
        <v>43888.0</v>
      </c>
      <c r="C493" s="4" t="s">
        <v>53</v>
      </c>
    </row>
    <row r="494" ht="15.75" customHeight="1">
      <c r="A494" s="4" t="s">
        <v>501</v>
      </c>
      <c r="B494" s="5">
        <v>43888.0</v>
      </c>
      <c r="C494" s="4" t="s">
        <v>53</v>
      </c>
    </row>
    <row r="495" ht="15.75" customHeight="1">
      <c r="A495" s="4" t="s">
        <v>502</v>
      </c>
      <c r="B495" s="5">
        <v>43888.0</v>
      </c>
      <c r="C495" s="4" t="s">
        <v>47</v>
      </c>
    </row>
    <row r="496" ht="15.75" customHeight="1">
      <c r="A496" s="4" t="s">
        <v>503</v>
      </c>
      <c r="B496" s="5">
        <v>43888.0</v>
      </c>
      <c r="C496" s="4" t="s">
        <v>47</v>
      </c>
    </row>
    <row r="497" ht="15.75" customHeight="1">
      <c r="A497" s="4" t="s">
        <v>504</v>
      </c>
      <c r="B497" s="5">
        <v>43888.0</v>
      </c>
      <c r="C497" s="4" t="s">
        <v>53</v>
      </c>
    </row>
    <row r="498" ht="15.75" customHeight="1">
      <c r="A498" s="4" t="s">
        <v>505</v>
      </c>
      <c r="B498" s="5">
        <v>43888.0</v>
      </c>
      <c r="C498" s="4" t="s">
        <v>53</v>
      </c>
    </row>
    <row r="499" ht="15.75" customHeight="1">
      <c r="A499" s="4" t="s">
        <v>506</v>
      </c>
      <c r="B499" s="5">
        <v>43888.0</v>
      </c>
      <c r="C499" s="4" t="s">
        <v>4</v>
      </c>
    </row>
    <row r="500" ht="15.75" customHeight="1">
      <c r="A500" s="4" t="s">
        <v>507</v>
      </c>
      <c r="B500" s="5">
        <v>43888.0</v>
      </c>
      <c r="C500" s="4" t="s">
        <v>15</v>
      </c>
    </row>
    <row r="501" ht="15.75" customHeight="1">
      <c r="A501" s="4" t="s">
        <v>508</v>
      </c>
      <c r="B501" s="5">
        <v>43888.0</v>
      </c>
      <c r="C501" s="4" t="s">
        <v>15</v>
      </c>
    </row>
    <row r="502" ht="15.75" customHeight="1">
      <c r="A502" s="4" t="s">
        <v>509</v>
      </c>
      <c r="B502" s="5">
        <v>43888.0</v>
      </c>
      <c r="C502" s="4" t="s">
        <v>47</v>
      </c>
    </row>
    <row r="503" ht="15.75" customHeight="1">
      <c r="A503" s="4" t="s">
        <v>510</v>
      </c>
      <c r="B503" s="5">
        <v>43888.0</v>
      </c>
      <c r="C503" s="4" t="s">
        <v>53</v>
      </c>
    </row>
    <row r="504" ht="15.75" customHeight="1">
      <c r="A504" s="4" t="s">
        <v>511</v>
      </c>
      <c r="B504" s="5">
        <v>43888.0</v>
      </c>
      <c r="C504" s="4" t="s">
        <v>47</v>
      </c>
    </row>
    <row r="505" ht="15.75" customHeight="1">
      <c r="A505" s="4" t="s">
        <v>512</v>
      </c>
      <c r="B505" s="5">
        <v>43888.0</v>
      </c>
      <c r="C505" s="4" t="s">
        <v>47</v>
      </c>
    </row>
    <row r="506" ht="15.75" customHeight="1">
      <c r="A506" s="4" t="s">
        <v>513</v>
      </c>
      <c r="B506" s="5">
        <v>43888.0</v>
      </c>
      <c r="C506" s="4" t="s">
        <v>47</v>
      </c>
    </row>
    <row r="507" ht="15.75" customHeight="1">
      <c r="A507" s="4" t="s">
        <v>514</v>
      </c>
      <c r="B507" s="5">
        <v>43888.0</v>
      </c>
      <c r="C507" s="4" t="s">
        <v>47</v>
      </c>
    </row>
    <row r="508" ht="15.75" customHeight="1">
      <c r="A508" s="4" t="s">
        <v>515</v>
      </c>
      <c r="B508" s="5">
        <v>43888.0</v>
      </c>
      <c r="C508" s="4" t="s">
        <v>53</v>
      </c>
    </row>
    <row r="509" ht="15.75" customHeight="1">
      <c r="A509" s="4" t="s">
        <v>516</v>
      </c>
      <c r="B509" s="5">
        <v>43889.0</v>
      </c>
      <c r="C509" s="4" t="s">
        <v>21</v>
      </c>
    </row>
    <row r="510" ht="15.75" customHeight="1">
      <c r="A510" s="4" t="s">
        <v>517</v>
      </c>
      <c r="B510" s="5">
        <v>43889.0</v>
      </c>
      <c r="C510" s="4" t="s">
        <v>4</v>
      </c>
    </row>
    <row r="511" ht="15.75" customHeight="1">
      <c r="A511" s="4" t="s">
        <v>518</v>
      </c>
      <c r="B511" s="5">
        <v>43889.0</v>
      </c>
      <c r="C511" s="4" t="s">
        <v>4</v>
      </c>
    </row>
    <row r="512" ht="15.75" customHeight="1">
      <c r="A512" s="4" t="s">
        <v>519</v>
      </c>
      <c r="B512" s="5">
        <v>43889.0</v>
      </c>
      <c r="C512" s="4" t="s">
        <v>4</v>
      </c>
    </row>
    <row r="513" ht="15.75" customHeight="1">
      <c r="A513" s="4" t="s">
        <v>520</v>
      </c>
      <c r="B513" s="5">
        <v>43889.0</v>
      </c>
      <c r="C513" s="4" t="s">
        <v>47</v>
      </c>
    </row>
    <row r="514" ht="15.75" customHeight="1">
      <c r="A514" s="4" t="s">
        <v>521</v>
      </c>
      <c r="B514" s="5">
        <v>43889.0</v>
      </c>
      <c r="C514" s="4" t="s">
        <v>4</v>
      </c>
    </row>
    <row r="515" ht="15.75" customHeight="1">
      <c r="A515" s="4" t="s">
        <v>522</v>
      </c>
      <c r="B515" s="5">
        <v>43889.0</v>
      </c>
      <c r="C515" s="4" t="s">
        <v>4</v>
      </c>
    </row>
    <row r="516" ht="15.75" customHeight="1">
      <c r="A516" s="4" t="s">
        <v>523</v>
      </c>
      <c r="B516" s="5">
        <v>43889.0</v>
      </c>
      <c r="C516" s="4" t="s">
        <v>4</v>
      </c>
    </row>
    <row r="517" ht="15.75" customHeight="1">
      <c r="A517" s="4" t="s">
        <v>524</v>
      </c>
      <c r="B517" s="5">
        <v>43889.0</v>
      </c>
      <c r="C517" s="4" t="s">
        <v>4</v>
      </c>
    </row>
    <row r="518" ht="15.75" customHeight="1">
      <c r="A518" s="4" t="s">
        <v>525</v>
      </c>
      <c r="B518" s="5">
        <v>43889.0</v>
      </c>
      <c r="C518" s="4" t="s">
        <v>4</v>
      </c>
    </row>
    <row r="519" ht="15.75" customHeight="1">
      <c r="A519" s="4" t="s">
        <v>526</v>
      </c>
      <c r="B519" s="5">
        <v>43889.0</v>
      </c>
      <c r="C519" s="4" t="s">
        <v>4</v>
      </c>
    </row>
    <row r="520" ht="15.75" customHeight="1">
      <c r="A520" s="4" t="s">
        <v>527</v>
      </c>
      <c r="B520" s="5">
        <v>43889.0</v>
      </c>
      <c r="C520" s="4" t="s">
        <v>4</v>
      </c>
    </row>
    <row r="521" ht="15.75" customHeight="1">
      <c r="A521" s="4" t="s">
        <v>528</v>
      </c>
      <c r="B521" s="5">
        <v>43890.0</v>
      </c>
      <c r="C521" s="4" t="s">
        <v>4</v>
      </c>
    </row>
    <row r="522" ht="15.75" customHeight="1">
      <c r="A522" s="4" t="s">
        <v>529</v>
      </c>
      <c r="B522" s="5">
        <v>43890.0</v>
      </c>
      <c r="C522" s="4" t="s">
        <v>4</v>
      </c>
    </row>
    <row r="523" ht="15.75" customHeight="1">
      <c r="A523" s="4" t="s">
        <v>530</v>
      </c>
      <c r="B523" s="5">
        <v>43890.0</v>
      </c>
      <c r="C523" s="4" t="s">
        <v>4</v>
      </c>
    </row>
    <row r="524" ht="15.75" customHeight="1">
      <c r="A524" s="4" t="s">
        <v>531</v>
      </c>
      <c r="B524" s="5">
        <v>43891.0</v>
      </c>
      <c r="C524" s="4" t="s">
        <v>4</v>
      </c>
    </row>
    <row r="525" ht="15.75" customHeight="1">
      <c r="A525" s="4" t="s">
        <v>532</v>
      </c>
      <c r="B525" s="5">
        <v>43891.0</v>
      </c>
      <c r="C525" s="4" t="s">
        <v>4</v>
      </c>
    </row>
    <row r="526" ht="15.75" customHeight="1">
      <c r="A526" s="4" t="s">
        <v>533</v>
      </c>
      <c r="B526" s="5">
        <v>43892.0</v>
      </c>
      <c r="C526" s="4" t="s">
        <v>4</v>
      </c>
    </row>
    <row r="527" ht="15.75" customHeight="1">
      <c r="A527" s="4" t="s">
        <v>534</v>
      </c>
      <c r="B527" s="5">
        <v>43892.0</v>
      </c>
      <c r="C527" s="4" t="s">
        <v>4</v>
      </c>
    </row>
    <row r="528" ht="15.75" customHeight="1">
      <c r="A528" s="4" t="s">
        <v>535</v>
      </c>
      <c r="B528" s="5">
        <v>43892.0</v>
      </c>
      <c r="C528" s="4" t="s">
        <v>4</v>
      </c>
    </row>
    <row r="529" ht="15.75" customHeight="1">
      <c r="A529" s="4" t="s">
        <v>536</v>
      </c>
      <c r="B529" s="5">
        <v>43892.0</v>
      </c>
      <c r="C529" s="4" t="s">
        <v>4</v>
      </c>
    </row>
    <row r="530" ht="15.75" customHeight="1">
      <c r="A530" s="4" t="s">
        <v>537</v>
      </c>
      <c r="B530" s="5">
        <v>43892.0</v>
      </c>
      <c r="C530" s="4" t="s">
        <v>47</v>
      </c>
    </row>
    <row r="531" ht="15.75" customHeight="1">
      <c r="A531" s="4" t="s">
        <v>538</v>
      </c>
      <c r="B531" s="5">
        <v>43892.0</v>
      </c>
      <c r="C531" s="4" t="s">
        <v>47</v>
      </c>
    </row>
    <row r="532" ht="15.75" customHeight="1">
      <c r="A532" s="4" t="s">
        <v>539</v>
      </c>
      <c r="B532" s="5">
        <v>43892.0</v>
      </c>
      <c r="C532" s="4" t="s">
        <v>47</v>
      </c>
    </row>
    <row r="533" ht="15.75" customHeight="1">
      <c r="A533" s="4" t="s">
        <v>540</v>
      </c>
      <c r="B533" s="5">
        <v>43892.0</v>
      </c>
      <c r="C533" s="4" t="s">
        <v>47</v>
      </c>
    </row>
    <row r="534" ht="15.75" customHeight="1">
      <c r="A534" s="4" t="s">
        <v>541</v>
      </c>
      <c r="B534" s="5">
        <v>43892.0</v>
      </c>
      <c r="C534" s="4" t="s">
        <v>47</v>
      </c>
    </row>
    <row r="535" ht="15.75" customHeight="1">
      <c r="A535" s="4" t="s">
        <v>542</v>
      </c>
      <c r="B535" s="5">
        <v>43892.0</v>
      </c>
      <c r="C535" s="4" t="s">
        <v>47</v>
      </c>
    </row>
    <row r="536" ht="15.75" customHeight="1">
      <c r="A536" s="4" t="s">
        <v>543</v>
      </c>
      <c r="B536" s="5">
        <v>43892.0</v>
      </c>
      <c r="C536" s="4" t="s">
        <v>47</v>
      </c>
    </row>
    <row r="537" ht="15.75" customHeight="1">
      <c r="A537" s="4" t="s">
        <v>544</v>
      </c>
      <c r="B537" s="5">
        <v>43892.0</v>
      </c>
      <c r="C537" s="4" t="s">
        <v>47</v>
      </c>
    </row>
    <row r="538" ht="15.75" customHeight="1">
      <c r="A538" s="4" t="s">
        <v>545</v>
      </c>
      <c r="B538" s="5">
        <v>43892.0</v>
      </c>
      <c r="C538" s="4" t="s">
        <v>47</v>
      </c>
    </row>
    <row r="539" ht="15.75" customHeight="1">
      <c r="A539" s="4" t="s">
        <v>546</v>
      </c>
      <c r="B539" s="5">
        <v>43892.0</v>
      </c>
      <c r="C539" s="4" t="s">
        <v>47</v>
      </c>
    </row>
    <row r="540" ht="15.75" customHeight="1">
      <c r="A540" s="4" t="s">
        <v>547</v>
      </c>
      <c r="B540" s="5">
        <v>43892.0</v>
      </c>
      <c r="C540" s="4" t="s">
        <v>47</v>
      </c>
    </row>
    <row r="541" ht="15.75" customHeight="1">
      <c r="A541" s="4" t="s">
        <v>548</v>
      </c>
      <c r="B541" s="5">
        <v>43892.0</v>
      </c>
      <c r="C541" s="4" t="s">
        <v>47</v>
      </c>
    </row>
    <row r="542" ht="15.75" customHeight="1">
      <c r="A542" s="4" t="s">
        <v>549</v>
      </c>
      <c r="B542" s="5">
        <v>43892.0</v>
      </c>
      <c r="C542" s="4" t="s">
        <v>47</v>
      </c>
    </row>
    <row r="543" ht="15.75" customHeight="1">
      <c r="A543" s="4" t="s">
        <v>550</v>
      </c>
      <c r="B543" s="5">
        <v>43892.0</v>
      </c>
      <c r="C543" s="4" t="s">
        <v>47</v>
      </c>
    </row>
    <row r="544" ht="15.75" customHeight="1">
      <c r="A544" s="4" t="s">
        <v>551</v>
      </c>
      <c r="B544" s="5">
        <v>43893.0</v>
      </c>
      <c r="C544" s="4" t="s">
        <v>47</v>
      </c>
    </row>
    <row r="545" ht="15.75" customHeight="1">
      <c r="A545" s="4" t="s">
        <v>552</v>
      </c>
      <c r="B545" s="5">
        <v>43893.0</v>
      </c>
      <c r="C545" s="4" t="s">
        <v>47</v>
      </c>
    </row>
    <row r="546" ht="15.75" customHeight="1">
      <c r="A546" s="4" t="s">
        <v>553</v>
      </c>
      <c r="B546" s="5">
        <v>43893.0</v>
      </c>
      <c r="C546" s="4" t="s">
        <v>47</v>
      </c>
    </row>
    <row r="547" ht="15.75" customHeight="1">
      <c r="A547" s="4" t="s">
        <v>554</v>
      </c>
      <c r="B547" s="5">
        <v>43893.0</v>
      </c>
      <c r="C547" s="4" t="s">
        <v>47</v>
      </c>
    </row>
    <row r="548" ht="15.75" customHeight="1">
      <c r="A548" s="4" t="s">
        <v>555</v>
      </c>
      <c r="B548" s="5">
        <v>43893.0</v>
      </c>
      <c r="C548" s="4" t="s">
        <v>47</v>
      </c>
    </row>
    <row r="549" ht="15.75" customHeight="1">
      <c r="A549" s="4" t="s">
        <v>556</v>
      </c>
      <c r="B549" s="5">
        <v>43893.0</v>
      </c>
      <c r="C549" s="4" t="s">
        <v>47</v>
      </c>
    </row>
    <row r="550" ht="15.75" customHeight="1">
      <c r="A550" s="4" t="s">
        <v>557</v>
      </c>
      <c r="B550" s="5">
        <v>43893.0</v>
      </c>
      <c r="C550" s="4" t="s">
        <v>47</v>
      </c>
    </row>
    <row r="551" ht="15.75" customHeight="1">
      <c r="A551" s="4" t="s">
        <v>558</v>
      </c>
      <c r="B551" s="5">
        <v>43893.0</v>
      </c>
      <c r="C551" s="4" t="s">
        <v>47</v>
      </c>
    </row>
    <row r="552" ht="15.75" customHeight="1">
      <c r="A552" s="4" t="s">
        <v>559</v>
      </c>
      <c r="B552" s="5">
        <v>43893.0</v>
      </c>
      <c r="C552" s="4" t="s">
        <v>47</v>
      </c>
    </row>
    <row r="553" ht="15.75" customHeight="1">
      <c r="A553" s="4" t="s">
        <v>560</v>
      </c>
      <c r="B553" s="5">
        <v>43893.0</v>
      </c>
      <c r="C553" s="4" t="s">
        <v>47</v>
      </c>
    </row>
    <row r="554" ht="15.75" customHeight="1">
      <c r="A554" s="4" t="s">
        <v>561</v>
      </c>
      <c r="B554" s="5">
        <v>43893.0</v>
      </c>
      <c r="C554" s="4" t="s">
        <v>47</v>
      </c>
    </row>
    <row r="555" ht="15.75" customHeight="1">
      <c r="A555" s="4" t="s">
        <v>562</v>
      </c>
      <c r="B555" s="5">
        <v>43893.0</v>
      </c>
      <c r="C555" s="4" t="s">
        <v>47</v>
      </c>
    </row>
    <row r="556" ht="15.75" customHeight="1">
      <c r="A556" s="4" t="s">
        <v>563</v>
      </c>
      <c r="B556" s="5">
        <v>43893.0</v>
      </c>
      <c r="C556" s="4" t="s">
        <v>47</v>
      </c>
    </row>
    <row r="557" ht="15.75" customHeight="1">
      <c r="A557" s="4" t="s">
        <v>564</v>
      </c>
      <c r="B557" s="5">
        <v>44005.0</v>
      </c>
      <c r="C557" s="4" t="s">
        <v>6</v>
      </c>
    </row>
    <row r="558" ht="15.75" customHeight="1">
      <c r="A558" s="4" t="s">
        <v>565</v>
      </c>
      <c r="B558" s="5">
        <v>43893.0</v>
      </c>
      <c r="C558" s="4" t="s">
        <v>47</v>
      </c>
    </row>
    <row r="559" ht="15.75" customHeight="1">
      <c r="A559" s="4" t="s">
        <v>566</v>
      </c>
      <c r="B559" s="5">
        <v>43894.0</v>
      </c>
      <c r="C559" s="4" t="s">
        <v>47</v>
      </c>
    </row>
    <row r="560" ht="15.75" customHeight="1">
      <c r="A560" s="4" t="s">
        <v>567</v>
      </c>
      <c r="B560" s="5">
        <v>43894.0</v>
      </c>
      <c r="C560" s="4" t="s">
        <v>47</v>
      </c>
    </row>
    <row r="561" ht="15.75" customHeight="1">
      <c r="A561" s="4" t="s">
        <v>568</v>
      </c>
      <c r="B561" s="5">
        <v>43894.0</v>
      </c>
      <c r="C561" s="4" t="s">
        <v>47</v>
      </c>
    </row>
    <row r="562" ht="15.75" customHeight="1">
      <c r="A562" s="4" t="s">
        <v>569</v>
      </c>
      <c r="B562" s="5">
        <v>43894.0</v>
      </c>
      <c r="C562" s="4" t="s">
        <v>47</v>
      </c>
    </row>
    <row r="563" ht="15.75" customHeight="1">
      <c r="A563" s="4" t="s">
        <v>570</v>
      </c>
      <c r="B563" s="5">
        <v>43894.0</v>
      </c>
      <c r="C563" s="4" t="s">
        <v>47</v>
      </c>
    </row>
    <row r="564" ht="15.75" customHeight="1">
      <c r="A564" s="4" t="s">
        <v>571</v>
      </c>
      <c r="B564" s="5">
        <v>43894.0</v>
      </c>
      <c r="C564" s="4" t="s">
        <v>47</v>
      </c>
    </row>
    <row r="565" ht="15.75" customHeight="1">
      <c r="A565" s="4" t="s">
        <v>572</v>
      </c>
      <c r="B565" s="5">
        <v>43894.0</v>
      </c>
      <c r="C565" s="4" t="s">
        <v>47</v>
      </c>
    </row>
    <row r="566" ht="15.75" customHeight="1">
      <c r="A566" s="4" t="s">
        <v>573</v>
      </c>
      <c r="B566" s="5">
        <v>43894.0</v>
      </c>
      <c r="C566" s="4" t="s">
        <v>47</v>
      </c>
    </row>
    <row r="567" ht="15.75" customHeight="1">
      <c r="A567" s="4" t="s">
        <v>574</v>
      </c>
      <c r="B567" s="5">
        <v>43894.0</v>
      </c>
      <c r="C567" s="4" t="s">
        <v>47</v>
      </c>
    </row>
    <row r="568" ht="15.75" customHeight="1">
      <c r="A568" s="4" t="s">
        <v>575</v>
      </c>
      <c r="B568" s="5">
        <v>43894.0</v>
      </c>
      <c r="C568" s="4" t="s">
        <v>4</v>
      </c>
    </row>
    <row r="569" ht="15.75" customHeight="1">
      <c r="A569" s="4" t="s">
        <v>576</v>
      </c>
      <c r="B569" s="5">
        <v>43894.0</v>
      </c>
      <c r="C569" s="4" t="s">
        <v>4</v>
      </c>
    </row>
    <row r="570" ht="15.75" customHeight="1">
      <c r="A570" s="4" t="s">
        <v>577</v>
      </c>
      <c r="B570" s="5">
        <v>43894.0</v>
      </c>
      <c r="C570" s="4" t="s">
        <v>4</v>
      </c>
    </row>
    <row r="571" ht="15.75" customHeight="1">
      <c r="A571" s="4" t="s">
        <v>578</v>
      </c>
      <c r="B571" s="5">
        <v>43894.0</v>
      </c>
      <c r="C571" s="4" t="s">
        <v>4</v>
      </c>
    </row>
    <row r="572" ht="15.75" customHeight="1">
      <c r="A572" s="4" t="s">
        <v>579</v>
      </c>
      <c r="B572" s="5">
        <v>43894.0</v>
      </c>
      <c r="C572" s="4" t="s">
        <v>4</v>
      </c>
    </row>
    <row r="573" ht="15.75" customHeight="1">
      <c r="A573" s="4" t="s">
        <v>580</v>
      </c>
      <c r="B573" s="5">
        <v>43894.0</v>
      </c>
      <c r="C573" s="4" t="s">
        <v>4</v>
      </c>
    </row>
    <row r="574" ht="15.75" customHeight="1">
      <c r="A574" s="4" t="s">
        <v>581</v>
      </c>
      <c r="B574" s="5">
        <v>43894.0</v>
      </c>
      <c r="C574" s="4" t="s">
        <v>4</v>
      </c>
    </row>
    <row r="575" ht="15.75" customHeight="1">
      <c r="A575" s="4" t="s">
        <v>582</v>
      </c>
      <c r="B575" s="5">
        <v>43895.0</v>
      </c>
      <c r="C575" s="4" t="s">
        <v>4</v>
      </c>
    </row>
    <row r="576" ht="15.75" customHeight="1">
      <c r="A576" s="4" t="s">
        <v>583</v>
      </c>
      <c r="B576" s="5">
        <v>43895.0</v>
      </c>
      <c r="C576" s="4" t="s">
        <v>4</v>
      </c>
    </row>
    <row r="577" ht="15.75" customHeight="1">
      <c r="A577" s="4" t="s">
        <v>584</v>
      </c>
      <c r="B577" s="5">
        <v>43895.0</v>
      </c>
      <c r="C577" s="4" t="s">
        <v>4</v>
      </c>
    </row>
    <row r="578" ht="15.75" customHeight="1">
      <c r="A578" s="4" t="s">
        <v>585</v>
      </c>
      <c r="B578" s="5">
        <v>43991.0</v>
      </c>
      <c r="C578" s="4" t="s">
        <v>4</v>
      </c>
    </row>
    <row r="579" ht="15.75" customHeight="1">
      <c r="A579" s="4" t="s">
        <v>586</v>
      </c>
      <c r="B579" s="5">
        <v>43895.0</v>
      </c>
      <c r="C579" s="4" t="s">
        <v>4</v>
      </c>
    </row>
    <row r="580" ht="15.75" customHeight="1">
      <c r="A580" s="4" t="s">
        <v>587</v>
      </c>
      <c r="B580" s="5">
        <v>43895.0</v>
      </c>
      <c r="C580" s="4" t="s">
        <v>4</v>
      </c>
    </row>
    <row r="581" ht="15.75" customHeight="1">
      <c r="A581" s="4" t="s">
        <v>588</v>
      </c>
      <c r="B581" s="5">
        <v>43895.0</v>
      </c>
      <c r="C581" s="4" t="s">
        <v>4</v>
      </c>
    </row>
    <row r="582" ht="15.75" customHeight="1">
      <c r="A582" s="4" t="s">
        <v>589</v>
      </c>
      <c r="B582" s="5">
        <v>43895.0</v>
      </c>
      <c r="C582" s="4" t="s">
        <v>4</v>
      </c>
    </row>
    <row r="583" ht="15.75" customHeight="1">
      <c r="A583" s="4" t="s">
        <v>589</v>
      </c>
      <c r="B583" s="5">
        <v>43844.0</v>
      </c>
      <c r="C583" s="4" t="s">
        <v>21</v>
      </c>
    </row>
    <row r="584" ht="15.75" customHeight="1">
      <c r="A584" s="4" t="s">
        <v>590</v>
      </c>
      <c r="B584" s="5">
        <v>43895.0</v>
      </c>
      <c r="C584" s="4" t="s">
        <v>4</v>
      </c>
    </row>
    <row r="585" ht="15.75" customHeight="1">
      <c r="A585" s="4" t="s">
        <v>591</v>
      </c>
      <c r="B585" s="5">
        <v>43895.0</v>
      </c>
      <c r="C585" s="4" t="s">
        <v>4</v>
      </c>
    </row>
    <row r="586" ht="15.75" customHeight="1">
      <c r="A586" s="4" t="s">
        <v>592</v>
      </c>
      <c r="B586" s="5">
        <v>43895.0</v>
      </c>
      <c r="C586" s="4" t="s">
        <v>4</v>
      </c>
    </row>
    <row r="587" ht="15.75" customHeight="1">
      <c r="A587" s="4" t="s">
        <v>593</v>
      </c>
      <c r="B587" s="5">
        <v>43895.0</v>
      </c>
      <c r="C587" s="4" t="s">
        <v>4</v>
      </c>
    </row>
    <row r="588" ht="15.75" customHeight="1">
      <c r="A588" s="4" t="s">
        <v>594</v>
      </c>
      <c r="B588" s="5">
        <v>43896.0</v>
      </c>
      <c r="C588" s="4" t="s">
        <v>4</v>
      </c>
    </row>
    <row r="589" ht="15.75" customHeight="1">
      <c r="A589" s="4" t="s">
        <v>595</v>
      </c>
      <c r="B589" s="5">
        <v>43896.0</v>
      </c>
      <c r="C589" s="4" t="s">
        <v>4</v>
      </c>
    </row>
    <row r="590" ht="15.75" customHeight="1">
      <c r="A590" s="4" t="s">
        <v>596</v>
      </c>
      <c r="B590" s="5">
        <v>43896.0</v>
      </c>
      <c r="C590" s="4" t="s">
        <v>4</v>
      </c>
    </row>
    <row r="591" ht="15.75" customHeight="1">
      <c r="A591" s="4" t="s">
        <v>597</v>
      </c>
      <c r="B591" s="5">
        <v>43896.0</v>
      </c>
      <c r="C591" s="4" t="s">
        <v>4</v>
      </c>
    </row>
    <row r="592" ht="15.75" customHeight="1">
      <c r="A592" s="4" t="s">
        <v>598</v>
      </c>
      <c r="B592" s="5">
        <v>43896.0</v>
      </c>
      <c r="C592" s="4" t="s">
        <v>4</v>
      </c>
    </row>
    <row r="593" ht="15.75" customHeight="1">
      <c r="A593" s="4" t="s">
        <v>599</v>
      </c>
      <c r="B593" s="5">
        <v>43896.0</v>
      </c>
      <c r="C593" s="4" t="s">
        <v>4</v>
      </c>
    </row>
    <row r="594" ht="15.75" customHeight="1">
      <c r="A594" s="4" t="s">
        <v>600</v>
      </c>
      <c r="B594" s="5">
        <v>43896.0</v>
      </c>
      <c r="C594" s="4" t="s">
        <v>4</v>
      </c>
    </row>
    <row r="595" ht="15.75" customHeight="1">
      <c r="A595" s="4" t="s">
        <v>601</v>
      </c>
      <c r="B595" s="5">
        <v>43896.0</v>
      </c>
      <c r="C595" s="4" t="s">
        <v>4</v>
      </c>
    </row>
    <row r="596" ht="15.75" customHeight="1">
      <c r="A596" s="4" t="s">
        <v>602</v>
      </c>
      <c r="B596" s="5">
        <v>43896.0</v>
      </c>
      <c r="C596" s="4" t="s">
        <v>4</v>
      </c>
    </row>
    <row r="597" ht="15.75" customHeight="1">
      <c r="A597" s="4" t="s">
        <v>603</v>
      </c>
      <c r="B597" s="5">
        <v>43896.0</v>
      </c>
      <c r="C597" s="4" t="s">
        <v>4</v>
      </c>
    </row>
    <row r="598" ht="15.75" customHeight="1">
      <c r="A598" s="4" t="s">
        <v>604</v>
      </c>
      <c r="B598" s="5">
        <v>43896.0</v>
      </c>
      <c r="C598" s="4" t="s">
        <v>4</v>
      </c>
    </row>
    <row r="599" ht="15.75" customHeight="1">
      <c r="A599" s="4" t="s">
        <v>605</v>
      </c>
      <c r="B599" s="5">
        <v>43897.0</v>
      </c>
      <c r="C599" s="4" t="s">
        <v>4</v>
      </c>
    </row>
    <row r="600" ht="15.75" customHeight="1">
      <c r="A600" s="4" t="s">
        <v>606</v>
      </c>
      <c r="B600" s="5">
        <v>43898.0</v>
      </c>
      <c r="C600" s="4" t="s">
        <v>4</v>
      </c>
    </row>
    <row r="601" ht="15.75" customHeight="1">
      <c r="A601" s="4" t="s">
        <v>607</v>
      </c>
      <c r="B601" s="5">
        <v>43898.0</v>
      </c>
      <c r="C601" s="4" t="s">
        <v>4</v>
      </c>
    </row>
    <row r="602" ht="15.75" customHeight="1">
      <c r="A602" s="4" t="s">
        <v>608</v>
      </c>
      <c r="B602" s="5">
        <v>43899.0</v>
      </c>
      <c r="C602" s="4" t="s">
        <v>4</v>
      </c>
    </row>
    <row r="603" ht="15.75" customHeight="1">
      <c r="A603" s="4" t="s">
        <v>609</v>
      </c>
      <c r="B603" s="5">
        <v>43899.0</v>
      </c>
      <c r="C603" s="4" t="s">
        <v>4</v>
      </c>
    </row>
    <row r="604" ht="15.75" customHeight="1">
      <c r="A604" s="4" t="s">
        <v>610</v>
      </c>
      <c r="B604" s="5">
        <v>43899.0</v>
      </c>
      <c r="C604" s="4" t="s">
        <v>4</v>
      </c>
    </row>
    <row r="605" ht="15.75" customHeight="1">
      <c r="A605" s="4" t="s">
        <v>611</v>
      </c>
      <c r="B605" s="5">
        <v>43899.0</v>
      </c>
      <c r="C605" s="4" t="s">
        <v>4</v>
      </c>
    </row>
    <row r="606" ht="15.75" customHeight="1">
      <c r="A606" s="4" t="s">
        <v>612</v>
      </c>
      <c r="B606" s="5">
        <v>43899.0</v>
      </c>
      <c r="C606" s="4" t="s">
        <v>4</v>
      </c>
    </row>
    <row r="607" ht="15.75" customHeight="1">
      <c r="A607" s="4" t="s">
        <v>613</v>
      </c>
      <c r="B607" s="5">
        <v>43899.0</v>
      </c>
      <c r="C607" s="4" t="s">
        <v>4</v>
      </c>
    </row>
    <row r="608" ht="15.75" customHeight="1">
      <c r="A608" s="4" t="s">
        <v>614</v>
      </c>
      <c r="B608" s="5">
        <v>43899.0</v>
      </c>
      <c r="C608" s="4" t="s">
        <v>4</v>
      </c>
    </row>
    <row r="609" ht="15.75" customHeight="1">
      <c r="A609" s="4" t="s">
        <v>615</v>
      </c>
      <c r="B609" s="5">
        <v>43899.0</v>
      </c>
      <c r="C609" s="4" t="s">
        <v>4</v>
      </c>
    </row>
    <row r="610" ht="15.75" customHeight="1">
      <c r="A610" s="4" t="s">
        <v>616</v>
      </c>
      <c r="B610" s="5">
        <v>43899.0</v>
      </c>
      <c r="C610" s="4" t="s">
        <v>4</v>
      </c>
    </row>
    <row r="611" ht="15.75" customHeight="1">
      <c r="A611" s="4" t="s">
        <v>617</v>
      </c>
      <c r="B611" s="5">
        <v>43899.0</v>
      </c>
      <c r="C611" s="4" t="s">
        <v>4</v>
      </c>
    </row>
    <row r="612" ht="15.75" customHeight="1">
      <c r="A612" s="4" t="s">
        <v>618</v>
      </c>
      <c r="B612" s="5">
        <v>43899.0</v>
      </c>
      <c r="C612" s="4" t="s">
        <v>4</v>
      </c>
    </row>
    <row r="613" ht="15.75" customHeight="1">
      <c r="A613" s="4" t="s">
        <v>619</v>
      </c>
      <c r="B613" s="5">
        <v>43899.0</v>
      </c>
      <c r="C613" s="4" t="s">
        <v>4</v>
      </c>
    </row>
    <row r="614" ht="15.75" customHeight="1">
      <c r="A614" s="4" t="s">
        <v>620</v>
      </c>
      <c r="B614" s="5">
        <v>43899.0</v>
      </c>
      <c r="C614" s="4" t="s">
        <v>4</v>
      </c>
    </row>
    <row r="615" ht="15.75" customHeight="1">
      <c r="A615" s="4" t="s">
        <v>621</v>
      </c>
      <c r="B615" s="5">
        <v>43899.0</v>
      </c>
      <c r="C615" s="4" t="s">
        <v>4</v>
      </c>
    </row>
    <row r="616" ht="15.75" customHeight="1">
      <c r="A616" s="4" t="s">
        <v>622</v>
      </c>
      <c r="B616" s="5">
        <v>43899.0</v>
      </c>
      <c r="C616" s="4" t="s">
        <v>4</v>
      </c>
    </row>
    <row r="617" ht="15.75" customHeight="1">
      <c r="A617" s="4" t="s">
        <v>623</v>
      </c>
      <c r="B617" s="5">
        <v>43900.0</v>
      </c>
      <c r="C617" s="4" t="s">
        <v>4</v>
      </c>
    </row>
    <row r="618" ht="15.75" customHeight="1">
      <c r="A618" s="4" t="s">
        <v>624</v>
      </c>
      <c r="B618" s="5">
        <v>43900.0</v>
      </c>
      <c r="C618" s="4" t="s">
        <v>4</v>
      </c>
    </row>
    <row r="619" ht="15.75" customHeight="1">
      <c r="A619" s="4" t="s">
        <v>625</v>
      </c>
      <c r="B619" s="5">
        <v>43900.0</v>
      </c>
      <c r="C619" s="4" t="s">
        <v>4</v>
      </c>
    </row>
    <row r="620" ht="15.75" customHeight="1">
      <c r="A620" s="4" t="s">
        <v>626</v>
      </c>
      <c r="B620" s="5">
        <v>43900.0</v>
      </c>
      <c r="C620" s="4" t="s">
        <v>4</v>
      </c>
    </row>
    <row r="621" ht="15.75" customHeight="1">
      <c r="A621" s="4" t="s">
        <v>627</v>
      </c>
      <c r="B621" s="5">
        <v>43900.0</v>
      </c>
      <c r="C621" s="4" t="s">
        <v>4</v>
      </c>
    </row>
    <row r="622" ht="15.75" customHeight="1">
      <c r="A622" s="4" t="s">
        <v>628</v>
      </c>
      <c r="B622" s="5">
        <v>43900.0</v>
      </c>
      <c r="C622" s="4" t="s">
        <v>4</v>
      </c>
    </row>
    <row r="623" ht="15.75" customHeight="1">
      <c r="A623" s="4" t="s">
        <v>629</v>
      </c>
      <c r="B623" s="5">
        <v>43900.0</v>
      </c>
      <c r="C623" s="4" t="s">
        <v>4</v>
      </c>
    </row>
    <row r="624" ht="15.75" customHeight="1">
      <c r="A624" s="4" t="s">
        <v>630</v>
      </c>
      <c r="B624" s="5">
        <v>43900.0</v>
      </c>
      <c r="C624" s="4" t="s">
        <v>4</v>
      </c>
    </row>
    <row r="625" ht="15.75" customHeight="1">
      <c r="A625" s="4" t="s">
        <v>631</v>
      </c>
      <c r="B625" s="5">
        <v>43900.0</v>
      </c>
      <c r="C625" s="4" t="s">
        <v>4</v>
      </c>
    </row>
    <row r="626" ht="15.75" customHeight="1">
      <c r="A626" s="4" t="s">
        <v>632</v>
      </c>
      <c r="B626" s="5">
        <v>43900.0</v>
      </c>
      <c r="C626" s="4" t="s">
        <v>4</v>
      </c>
    </row>
    <row r="627" ht="15.75" customHeight="1">
      <c r="A627" s="4" t="s">
        <v>633</v>
      </c>
      <c r="B627" s="5">
        <v>43900.0</v>
      </c>
      <c r="C627" s="4" t="s">
        <v>4</v>
      </c>
    </row>
    <row r="628" ht="15.75" customHeight="1">
      <c r="A628" s="4" t="s">
        <v>634</v>
      </c>
      <c r="B628" s="5">
        <v>43900.0</v>
      </c>
      <c r="C628" s="4" t="s">
        <v>4</v>
      </c>
    </row>
    <row r="629" ht="15.75" customHeight="1">
      <c r="A629" s="4" t="s">
        <v>635</v>
      </c>
      <c r="B629" s="5">
        <v>43900.0</v>
      </c>
      <c r="C629" s="4" t="s">
        <v>21</v>
      </c>
    </row>
    <row r="630" ht="15.75" customHeight="1">
      <c r="A630" s="4" t="s">
        <v>636</v>
      </c>
      <c r="B630" s="5">
        <v>43901.0</v>
      </c>
      <c r="C630" s="4" t="s">
        <v>21</v>
      </c>
    </row>
    <row r="631" ht="15.75" customHeight="1">
      <c r="A631" s="4" t="s">
        <v>637</v>
      </c>
      <c r="B631" s="5">
        <v>43901.0</v>
      </c>
      <c r="C631" s="4" t="s">
        <v>21</v>
      </c>
    </row>
    <row r="632" ht="15.75" customHeight="1">
      <c r="A632" s="4" t="s">
        <v>638</v>
      </c>
      <c r="B632" s="5">
        <v>43901.0</v>
      </c>
      <c r="C632" s="4" t="s">
        <v>21</v>
      </c>
    </row>
    <row r="633" ht="15.75" customHeight="1">
      <c r="A633" s="4" t="s">
        <v>639</v>
      </c>
      <c r="B633" s="5">
        <v>43901.0</v>
      </c>
      <c r="C633" s="4" t="s">
        <v>21</v>
      </c>
    </row>
    <row r="634" ht="15.75" customHeight="1">
      <c r="A634" s="4" t="s">
        <v>640</v>
      </c>
      <c r="B634" s="5">
        <v>43901.0</v>
      </c>
      <c r="C634" s="4" t="s">
        <v>6</v>
      </c>
    </row>
    <row r="635" ht="15.75" customHeight="1">
      <c r="A635" s="4" t="s">
        <v>641</v>
      </c>
      <c r="B635" s="5">
        <v>43901.0</v>
      </c>
      <c r="C635" s="4" t="s">
        <v>21</v>
      </c>
    </row>
    <row r="636" ht="15.75" customHeight="1">
      <c r="A636" s="4" t="s">
        <v>642</v>
      </c>
      <c r="B636" s="5">
        <v>43901.0</v>
      </c>
      <c r="C636" s="4" t="s">
        <v>21</v>
      </c>
    </row>
    <row r="637" ht="15.75" customHeight="1">
      <c r="A637" s="4" t="s">
        <v>643</v>
      </c>
      <c r="B637" s="5">
        <v>43901.0</v>
      </c>
      <c r="C637" s="4" t="s">
        <v>6</v>
      </c>
    </row>
    <row r="638" ht="15.75" customHeight="1">
      <c r="A638" s="4" t="s">
        <v>644</v>
      </c>
      <c r="B638" s="5">
        <v>43902.0</v>
      </c>
      <c r="C638" s="4" t="s">
        <v>6</v>
      </c>
    </row>
    <row r="639" ht="15.75" customHeight="1">
      <c r="A639" s="4" t="s">
        <v>645</v>
      </c>
      <c r="B639" s="5">
        <v>43902.0</v>
      </c>
      <c r="C639" s="4" t="s">
        <v>21</v>
      </c>
    </row>
    <row r="640" ht="15.75" customHeight="1">
      <c r="A640" s="4" t="s">
        <v>646</v>
      </c>
      <c r="B640" s="5">
        <v>43902.0</v>
      </c>
      <c r="C640" s="4" t="s">
        <v>21</v>
      </c>
    </row>
    <row r="641" ht="15.75" customHeight="1">
      <c r="A641" s="4" t="s">
        <v>647</v>
      </c>
      <c r="B641" s="5">
        <v>43902.0</v>
      </c>
      <c r="C641" s="4" t="s">
        <v>6</v>
      </c>
    </row>
    <row r="642" ht="15.75" customHeight="1">
      <c r="A642" s="4" t="s">
        <v>648</v>
      </c>
      <c r="B642" s="5">
        <v>43903.0</v>
      </c>
      <c r="C642" s="4" t="s">
        <v>6</v>
      </c>
    </row>
    <row r="643" ht="15.75" customHeight="1">
      <c r="A643" s="4" t="s">
        <v>649</v>
      </c>
      <c r="B643" s="5">
        <v>43903.0</v>
      </c>
      <c r="C643" s="4" t="s">
        <v>21</v>
      </c>
    </row>
    <row r="644" ht="15.75" customHeight="1">
      <c r="A644" s="4" t="s">
        <v>650</v>
      </c>
      <c r="B644" s="5">
        <v>43903.0</v>
      </c>
      <c r="C644" s="4" t="s">
        <v>6</v>
      </c>
    </row>
    <row r="645" ht="15.75" customHeight="1">
      <c r="A645" s="4" t="s">
        <v>651</v>
      </c>
      <c r="B645" s="5">
        <v>43903.0</v>
      </c>
      <c r="C645" s="4" t="s">
        <v>6</v>
      </c>
    </row>
    <row r="646" ht="15.75" customHeight="1">
      <c r="A646" s="4" t="s">
        <v>652</v>
      </c>
      <c r="B646" s="5">
        <v>43903.0</v>
      </c>
      <c r="C646" s="4" t="s">
        <v>6</v>
      </c>
    </row>
    <row r="647" ht="15.75" customHeight="1">
      <c r="A647" s="4" t="s">
        <v>653</v>
      </c>
      <c r="B647" s="5">
        <v>43906.0</v>
      </c>
      <c r="C647" s="4" t="s">
        <v>6</v>
      </c>
    </row>
    <row r="648" ht="15.75" customHeight="1">
      <c r="A648" s="4" t="s">
        <v>654</v>
      </c>
      <c r="B648" s="5">
        <v>43906.0</v>
      </c>
      <c r="C648" s="4" t="s">
        <v>6</v>
      </c>
    </row>
    <row r="649" ht="15.75" customHeight="1">
      <c r="A649" s="4" t="s">
        <v>655</v>
      </c>
      <c r="B649" s="5">
        <v>43906.0</v>
      </c>
      <c r="C649" s="4" t="s">
        <v>6</v>
      </c>
    </row>
    <row r="650" ht="15.75" customHeight="1">
      <c r="A650" s="4" t="s">
        <v>656</v>
      </c>
      <c r="B650" s="5">
        <v>43906.0</v>
      </c>
      <c r="C650" s="4" t="s">
        <v>6</v>
      </c>
    </row>
    <row r="651" ht="15.75" customHeight="1">
      <c r="A651" s="4" t="s">
        <v>657</v>
      </c>
      <c r="B651" s="5">
        <v>43906.0</v>
      </c>
      <c r="C651" s="4" t="s">
        <v>6</v>
      </c>
    </row>
    <row r="652" ht="15.75" customHeight="1">
      <c r="A652" s="4" t="s">
        <v>658</v>
      </c>
      <c r="B652" s="5">
        <v>43906.0</v>
      </c>
      <c r="C652" s="4" t="s">
        <v>6</v>
      </c>
    </row>
    <row r="653" ht="15.75" customHeight="1">
      <c r="A653" s="4" t="s">
        <v>659</v>
      </c>
      <c r="B653" s="5">
        <v>43906.0</v>
      </c>
      <c r="C653" s="4" t="s">
        <v>6</v>
      </c>
    </row>
    <row r="654" ht="15.75" customHeight="1">
      <c r="A654" s="4" t="s">
        <v>660</v>
      </c>
      <c r="B654" s="5">
        <v>43906.0</v>
      </c>
      <c r="C654" s="4" t="s">
        <v>6</v>
      </c>
    </row>
    <row r="655" ht="15.75" customHeight="1">
      <c r="A655" s="4" t="s">
        <v>661</v>
      </c>
      <c r="B655" s="5">
        <v>43906.0</v>
      </c>
      <c r="C655" s="4" t="s">
        <v>21</v>
      </c>
    </row>
    <row r="656" ht="15.75" customHeight="1">
      <c r="A656" s="4" t="s">
        <v>662</v>
      </c>
      <c r="B656" s="5">
        <v>43906.0</v>
      </c>
      <c r="C656" s="4" t="s">
        <v>6</v>
      </c>
    </row>
    <row r="657" ht="15.75" customHeight="1">
      <c r="A657" s="4" t="s">
        <v>663</v>
      </c>
      <c r="B657" s="5">
        <v>43906.0</v>
      </c>
      <c r="C657" s="4" t="s">
        <v>6</v>
      </c>
    </row>
    <row r="658" ht="15.75" customHeight="1">
      <c r="A658" s="4" t="s">
        <v>664</v>
      </c>
      <c r="B658" s="5">
        <v>43906.0</v>
      </c>
      <c r="C658" s="4" t="s">
        <v>6</v>
      </c>
    </row>
    <row r="659" ht="15.75" customHeight="1">
      <c r="A659" s="4" t="s">
        <v>665</v>
      </c>
      <c r="B659" s="5">
        <v>43907.0</v>
      </c>
      <c r="C659" s="4" t="s">
        <v>6</v>
      </c>
    </row>
    <row r="660" ht="15.75" customHeight="1">
      <c r="A660" s="4" t="s">
        <v>666</v>
      </c>
      <c r="B660" s="5">
        <v>43907.0</v>
      </c>
      <c r="C660" s="4" t="s">
        <v>6</v>
      </c>
    </row>
    <row r="661" ht="15.75" customHeight="1">
      <c r="A661" s="4" t="s">
        <v>667</v>
      </c>
      <c r="B661" s="5">
        <v>43907.0</v>
      </c>
      <c r="C661" s="4" t="s">
        <v>6</v>
      </c>
    </row>
    <row r="662" ht="15.75" customHeight="1">
      <c r="A662" s="4" t="s">
        <v>668</v>
      </c>
      <c r="B662" s="5">
        <v>43907.0</v>
      </c>
      <c r="C662" s="4" t="s">
        <v>6</v>
      </c>
    </row>
    <row r="663" ht="15.75" customHeight="1">
      <c r="A663" s="4" t="s">
        <v>669</v>
      </c>
      <c r="B663" s="5">
        <v>43907.0</v>
      </c>
      <c r="C663" s="4" t="s">
        <v>6</v>
      </c>
    </row>
    <row r="664" ht="15.75" customHeight="1">
      <c r="A664" s="4" t="s">
        <v>670</v>
      </c>
      <c r="B664" s="5">
        <v>43907.0</v>
      </c>
      <c r="C664" s="4" t="s">
        <v>6</v>
      </c>
    </row>
    <row r="665" ht="15.75" customHeight="1">
      <c r="A665" s="4" t="s">
        <v>671</v>
      </c>
      <c r="B665" s="5">
        <v>43907.0</v>
      </c>
      <c r="C665" s="4" t="s">
        <v>6</v>
      </c>
    </row>
    <row r="666" ht="15.75" customHeight="1">
      <c r="A666" s="4" t="s">
        <v>672</v>
      </c>
      <c r="B666" s="5">
        <v>43907.0</v>
      </c>
      <c r="C666" s="4" t="s">
        <v>6</v>
      </c>
    </row>
    <row r="667" ht="15.75" customHeight="1">
      <c r="A667" s="4" t="s">
        <v>673</v>
      </c>
      <c r="B667" s="5">
        <v>43908.0</v>
      </c>
      <c r="C667" s="4" t="s">
        <v>6</v>
      </c>
    </row>
    <row r="668" ht="15.75" customHeight="1">
      <c r="A668" s="4" t="s">
        <v>674</v>
      </c>
      <c r="B668" s="5">
        <v>43908.0</v>
      </c>
      <c r="C668" s="4" t="s">
        <v>47</v>
      </c>
    </row>
    <row r="669" ht="15.75" customHeight="1">
      <c r="A669" s="4" t="s">
        <v>675</v>
      </c>
      <c r="B669" s="5">
        <v>43908.0</v>
      </c>
      <c r="C669" s="4" t="s">
        <v>6</v>
      </c>
    </row>
    <row r="670" ht="15.75" customHeight="1">
      <c r="A670" s="4" t="s">
        <v>676</v>
      </c>
      <c r="B670" s="5">
        <v>43908.0</v>
      </c>
      <c r="C670" s="4" t="s">
        <v>6</v>
      </c>
    </row>
    <row r="671" ht="15.75" customHeight="1">
      <c r="A671" s="4" t="s">
        <v>677</v>
      </c>
      <c r="B671" s="5">
        <v>43908.0</v>
      </c>
      <c r="C671" s="4" t="s">
        <v>6</v>
      </c>
    </row>
    <row r="672" ht="15.75" customHeight="1">
      <c r="A672" s="4" t="s">
        <v>678</v>
      </c>
      <c r="B672" s="5">
        <v>43908.0</v>
      </c>
      <c r="C672" s="4" t="s">
        <v>6</v>
      </c>
    </row>
    <row r="673" ht="15.75" customHeight="1">
      <c r="A673" s="4" t="s">
        <v>679</v>
      </c>
      <c r="B673" s="5">
        <v>43908.0</v>
      </c>
      <c r="C673" s="4" t="s">
        <v>6</v>
      </c>
    </row>
    <row r="674" ht="15.75" customHeight="1">
      <c r="A674" s="4" t="s">
        <v>680</v>
      </c>
      <c r="B674" s="5">
        <v>43908.0</v>
      </c>
      <c r="C674" s="4" t="s">
        <v>6</v>
      </c>
    </row>
    <row r="675" ht="15.75" customHeight="1">
      <c r="A675" s="4" t="s">
        <v>681</v>
      </c>
      <c r="B675" s="5">
        <v>43908.0</v>
      </c>
      <c r="C675" s="4" t="s">
        <v>6</v>
      </c>
    </row>
    <row r="676" ht="15.75" customHeight="1">
      <c r="A676" s="4" t="s">
        <v>682</v>
      </c>
      <c r="B676" s="5">
        <v>43908.0</v>
      </c>
      <c r="C676" s="4" t="s">
        <v>6</v>
      </c>
    </row>
    <row r="677" ht="15.75" customHeight="1">
      <c r="A677" s="4" t="s">
        <v>683</v>
      </c>
      <c r="B677" s="5">
        <v>43908.0</v>
      </c>
      <c r="C677" s="4" t="s">
        <v>6</v>
      </c>
    </row>
    <row r="678" ht="15.75" customHeight="1">
      <c r="A678" s="4" t="s">
        <v>684</v>
      </c>
      <c r="B678" s="5">
        <v>43908.0</v>
      </c>
      <c r="C678" s="4" t="s">
        <v>6</v>
      </c>
    </row>
    <row r="679" ht="15.75" customHeight="1">
      <c r="A679" s="4" t="s">
        <v>685</v>
      </c>
      <c r="B679" s="5">
        <v>43908.0</v>
      </c>
      <c r="C679" s="4" t="s">
        <v>6</v>
      </c>
    </row>
    <row r="680" ht="15.75" customHeight="1">
      <c r="A680" s="4" t="s">
        <v>686</v>
      </c>
      <c r="B680" s="5">
        <v>43908.0</v>
      </c>
      <c r="C680" s="4" t="s">
        <v>6</v>
      </c>
    </row>
    <row r="681" ht="15.75" customHeight="1">
      <c r="A681" s="4" t="s">
        <v>687</v>
      </c>
      <c r="B681" s="5">
        <v>43908.0</v>
      </c>
      <c r="C681" s="4" t="s">
        <v>6</v>
      </c>
    </row>
    <row r="682" ht="15.75" customHeight="1">
      <c r="A682" s="4" t="s">
        <v>688</v>
      </c>
      <c r="B682" s="5">
        <v>43908.0</v>
      </c>
      <c r="C682" s="4" t="s">
        <v>6</v>
      </c>
    </row>
    <row r="683" ht="15.75" customHeight="1">
      <c r="A683" s="4" t="s">
        <v>689</v>
      </c>
      <c r="B683" s="5">
        <v>43909.0</v>
      </c>
      <c r="C683" s="4" t="s">
        <v>6</v>
      </c>
    </row>
    <row r="684" ht="15.75" customHeight="1">
      <c r="A684" s="4" t="s">
        <v>690</v>
      </c>
      <c r="B684" s="5">
        <v>43909.0</v>
      </c>
      <c r="C684" s="4" t="s">
        <v>6</v>
      </c>
    </row>
    <row r="685" ht="15.75" customHeight="1">
      <c r="A685" s="4" t="s">
        <v>691</v>
      </c>
      <c r="B685" s="5">
        <v>43909.0</v>
      </c>
      <c r="C685" s="4" t="s">
        <v>6</v>
      </c>
    </row>
    <row r="686" ht="15.75" customHeight="1">
      <c r="A686" s="4" t="s">
        <v>692</v>
      </c>
      <c r="B686" s="5">
        <v>43909.0</v>
      </c>
      <c r="C686" s="4" t="s">
        <v>6</v>
      </c>
    </row>
    <row r="687" ht="15.75" customHeight="1">
      <c r="A687" s="4" t="s">
        <v>693</v>
      </c>
      <c r="B687" s="5">
        <v>43909.0</v>
      </c>
      <c r="C687" s="4" t="s">
        <v>6</v>
      </c>
    </row>
    <row r="688" ht="15.75" customHeight="1">
      <c r="A688" s="4" t="s">
        <v>694</v>
      </c>
      <c r="B688" s="5">
        <v>43909.0</v>
      </c>
      <c r="C688" s="4" t="s">
        <v>6</v>
      </c>
    </row>
    <row r="689" ht="15.75" customHeight="1">
      <c r="A689" s="4" t="s">
        <v>695</v>
      </c>
      <c r="B689" s="5">
        <v>43909.0</v>
      </c>
      <c r="C689" s="4" t="s">
        <v>6</v>
      </c>
    </row>
    <row r="690" ht="15.75" customHeight="1">
      <c r="A690" s="4" t="s">
        <v>696</v>
      </c>
      <c r="B690" s="5">
        <v>43909.0</v>
      </c>
      <c r="C690" s="4" t="s">
        <v>6</v>
      </c>
    </row>
    <row r="691" ht="15.75" customHeight="1">
      <c r="A691" s="4" t="s">
        <v>697</v>
      </c>
      <c r="B691" s="5">
        <v>43909.0</v>
      </c>
      <c r="C691" s="4" t="s">
        <v>6</v>
      </c>
    </row>
    <row r="692" ht="15.75" customHeight="1">
      <c r="A692" s="4" t="s">
        <v>698</v>
      </c>
      <c r="B692" s="5">
        <v>43910.0</v>
      </c>
      <c r="C692" s="4" t="s">
        <v>6</v>
      </c>
    </row>
    <row r="693" ht="15.75" customHeight="1">
      <c r="A693" s="4" t="s">
        <v>699</v>
      </c>
      <c r="B693" s="5">
        <v>43910.0</v>
      </c>
      <c r="C693" s="4" t="s">
        <v>6</v>
      </c>
    </row>
    <row r="694" ht="15.75" customHeight="1">
      <c r="A694" s="4" t="s">
        <v>700</v>
      </c>
      <c r="B694" s="5">
        <v>43910.0</v>
      </c>
      <c r="C694" s="4" t="s">
        <v>6</v>
      </c>
    </row>
    <row r="695" ht="15.75" customHeight="1">
      <c r="A695" s="4" t="s">
        <v>701</v>
      </c>
      <c r="B695" s="5">
        <v>43910.0</v>
      </c>
      <c r="C695" s="4" t="s">
        <v>6</v>
      </c>
    </row>
    <row r="696" ht="15.75" customHeight="1">
      <c r="A696" s="4" t="s">
        <v>702</v>
      </c>
      <c r="B696" s="5">
        <v>43911.0</v>
      </c>
      <c r="C696" s="4" t="s">
        <v>6</v>
      </c>
    </row>
    <row r="697" ht="15.75" customHeight="1">
      <c r="A697" s="4" t="s">
        <v>703</v>
      </c>
      <c r="B697" s="5">
        <v>43911.0</v>
      </c>
      <c r="C697" s="4" t="s">
        <v>6</v>
      </c>
    </row>
    <row r="698" ht="15.75" customHeight="1">
      <c r="A698" s="4" t="s">
        <v>704</v>
      </c>
      <c r="B698" s="5">
        <v>43911.0</v>
      </c>
      <c r="C698" s="4" t="s">
        <v>6</v>
      </c>
    </row>
    <row r="699" ht="15.75" customHeight="1">
      <c r="A699" s="4" t="s">
        <v>705</v>
      </c>
      <c r="B699" s="5">
        <v>43911.0</v>
      </c>
      <c r="C699" s="4" t="s">
        <v>6</v>
      </c>
    </row>
    <row r="700" ht="15.75" customHeight="1">
      <c r="A700" s="4" t="s">
        <v>706</v>
      </c>
      <c r="B700" s="5">
        <v>43912.0</v>
      </c>
      <c r="C700" s="4" t="s">
        <v>6</v>
      </c>
    </row>
    <row r="701" ht="15.75" customHeight="1">
      <c r="A701" s="4" t="s">
        <v>707</v>
      </c>
      <c r="B701" s="5">
        <v>43912.0</v>
      </c>
      <c r="C701" s="4" t="s">
        <v>6</v>
      </c>
    </row>
    <row r="702" ht="15.75" customHeight="1">
      <c r="A702" s="4" t="s">
        <v>708</v>
      </c>
      <c r="B702" s="5">
        <v>43912.0</v>
      </c>
      <c r="C702" s="4" t="s">
        <v>6</v>
      </c>
    </row>
    <row r="703" ht="15.75" customHeight="1">
      <c r="A703" s="4" t="s">
        <v>709</v>
      </c>
      <c r="B703" s="5">
        <v>43912.0</v>
      </c>
      <c r="C703" s="4" t="s">
        <v>6</v>
      </c>
    </row>
    <row r="704" ht="15.75" customHeight="1">
      <c r="A704" s="4" t="s">
        <v>710</v>
      </c>
      <c r="B704" s="5">
        <v>43912.0</v>
      </c>
      <c r="C704" s="4" t="s">
        <v>6</v>
      </c>
    </row>
    <row r="705" ht="15.75" customHeight="1">
      <c r="A705" s="4" t="s">
        <v>711</v>
      </c>
      <c r="B705" s="5">
        <v>43913.0</v>
      </c>
      <c r="C705" s="4" t="s">
        <v>6</v>
      </c>
    </row>
    <row r="706" ht="15.75" customHeight="1">
      <c r="A706" s="4" t="s">
        <v>712</v>
      </c>
      <c r="B706" s="5">
        <v>43913.0</v>
      </c>
      <c r="C706" s="4" t="s">
        <v>6</v>
      </c>
    </row>
    <row r="707" ht="15.75" customHeight="1">
      <c r="A707" s="4" t="s">
        <v>713</v>
      </c>
      <c r="B707" s="5">
        <v>43913.0</v>
      </c>
      <c r="C707" s="4" t="s">
        <v>6</v>
      </c>
    </row>
    <row r="708" ht="15.75" customHeight="1">
      <c r="A708" s="4" t="s">
        <v>714</v>
      </c>
      <c r="B708" s="5">
        <v>43913.0</v>
      </c>
      <c r="C708" s="4" t="s">
        <v>6</v>
      </c>
    </row>
    <row r="709" ht="15.75" customHeight="1">
      <c r="A709" s="4" t="s">
        <v>715</v>
      </c>
      <c r="B709" s="5">
        <v>43913.0</v>
      </c>
      <c r="C709" s="4" t="s">
        <v>6</v>
      </c>
    </row>
    <row r="710" ht="15.75" customHeight="1">
      <c r="A710" s="4" t="s">
        <v>716</v>
      </c>
      <c r="B710" s="5">
        <v>43913.0</v>
      </c>
      <c r="C710" s="4" t="s">
        <v>6</v>
      </c>
    </row>
    <row r="711" ht="15.75" customHeight="1">
      <c r="A711" s="4" t="s">
        <v>717</v>
      </c>
      <c r="B711" s="5">
        <v>43913.0</v>
      </c>
      <c r="C711" s="4" t="s">
        <v>6</v>
      </c>
    </row>
    <row r="712" ht="15.75" customHeight="1">
      <c r="A712" s="4" t="s">
        <v>718</v>
      </c>
      <c r="B712" s="5">
        <v>43913.0</v>
      </c>
      <c r="C712" s="4" t="s">
        <v>6</v>
      </c>
    </row>
    <row r="713" ht="15.75" customHeight="1">
      <c r="A713" s="4" t="s">
        <v>719</v>
      </c>
      <c r="B713" s="5">
        <v>43914.0</v>
      </c>
      <c r="C713" s="4" t="s">
        <v>6</v>
      </c>
    </row>
    <row r="714" ht="15.75" customHeight="1">
      <c r="A714" s="4" t="s">
        <v>720</v>
      </c>
      <c r="B714" s="5">
        <v>43914.0</v>
      </c>
      <c r="C714" s="4" t="s">
        <v>6</v>
      </c>
    </row>
    <row r="715" ht="15.75" customHeight="1">
      <c r="A715" s="4" t="s">
        <v>721</v>
      </c>
      <c r="B715" s="5">
        <v>43914.0</v>
      </c>
      <c r="C715" s="4" t="s">
        <v>6</v>
      </c>
    </row>
    <row r="716" ht="15.75" customHeight="1">
      <c r="A716" s="4" t="s">
        <v>722</v>
      </c>
      <c r="B716" s="5">
        <v>43914.0</v>
      </c>
      <c r="C716" s="4" t="s">
        <v>6</v>
      </c>
    </row>
    <row r="717" ht="15.75" customHeight="1">
      <c r="A717" s="4" t="s">
        <v>723</v>
      </c>
      <c r="B717" s="5">
        <v>43914.0</v>
      </c>
      <c r="C717" s="4" t="s">
        <v>6</v>
      </c>
    </row>
    <row r="718" ht="15.75" customHeight="1">
      <c r="A718" s="4" t="s">
        <v>724</v>
      </c>
      <c r="B718" s="5">
        <v>43914.0</v>
      </c>
      <c r="C718" s="4" t="s">
        <v>6</v>
      </c>
    </row>
    <row r="719" ht="15.75" customHeight="1">
      <c r="A719" s="4" t="s">
        <v>725</v>
      </c>
      <c r="B719" s="5">
        <v>43914.0</v>
      </c>
      <c r="C719" s="4" t="s">
        <v>6</v>
      </c>
    </row>
    <row r="720" ht="15.75" customHeight="1">
      <c r="A720" s="4" t="s">
        <v>726</v>
      </c>
      <c r="B720" s="5">
        <v>43914.0</v>
      </c>
      <c r="C720" s="4" t="s">
        <v>6</v>
      </c>
    </row>
    <row r="721" ht="15.75" customHeight="1">
      <c r="A721" s="4" t="s">
        <v>727</v>
      </c>
      <c r="B721" s="5">
        <v>43914.0</v>
      </c>
      <c r="C721" s="4" t="s">
        <v>6</v>
      </c>
    </row>
    <row r="722" ht="15.75" customHeight="1">
      <c r="A722" s="4" t="s">
        <v>728</v>
      </c>
      <c r="B722" s="5">
        <v>43914.0</v>
      </c>
      <c r="C722" s="4" t="s">
        <v>6</v>
      </c>
    </row>
    <row r="723" ht="15.75" customHeight="1">
      <c r="A723" s="4" t="s">
        <v>729</v>
      </c>
      <c r="B723" s="5">
        <v>43914.0</v>
      </c>
      <c r="C723" s="4" t="s">
        <v>6</v>
      </c>
    </row>
    <row r="724" ht="15.75" customHeight="1">
      <c r="A724" s="4" t="s">
        <v>730</v>
      </c>
      <c r="B724" s="5">
        <v>43914.0</v>
      </c>
      <c r="C724" s="4" t="s">
        <v>6</v>
      </c>
    </row>
    <row r="725" ht="15.75" customHeight="1">
      <c r="A725" s="4" t="s">
        <v>731</v>
      </c>
      <c r="B725" s="5">
        <v>43915.0</v>
      </c>
      <c r="C725" s="4" t="s">
        <v>6</v>
      </c>
    </row>
    <row r="726" ht="15.75" customHeight="1">
      <c r="A726" s="4" t="s">
        <v>732</v>
      </c>
      <c r="B726" s="5">
        <v>43915.0</v>
      </c>
      <c r="C726" s="4" t="s">
        <v>6</v>
      </c>
    </row>
    <row r="727" ht="15.75" customHeight="1">
      <c r="A727" s="4" t="s">
        <v>733</v>
      </c>
      <c r="B727" s="5">
        <v>43915.0</v>
      </c>
      <c r="C727" s="4" t="s">
        <v>6</v>
      </c>
    </row>
    <row r="728" ht="15.75" customHeight="1">
      <c r="A728" s="4" t="s">
        <v>734</v>
      </c>
      <c r="B728" s="5">
        <v>43915.0</v>
      </c>
      <c r="C728" s="4" t="s">
        <v>6</v>
      </c>
    </row>
    <row r="729" ht="15.75" customHeight="1">
      <c r="A729" s="4" t="s">
        <v>735</v>
      </c>
      <c r="B729" s="5">
        <v>43915.0</v>
      </c>
      <c r="C729" s="4" t="s">
        <v>6</v>
      </c>
    </row>
    <row r="730" ht="15.75" customHeight="1">
      <c r="A730" s="4" t="s">
        <v>736</v>
      </c>
      <c r="B730" s="5">
        <v>43916.0</v>
      </c>
      <c r="C730" s="4" t="s">
        <v>6</v>
      </c>
    </row>
    <row r="731" ht="15.75" customHeight="1">
      <c r="A731" s="4" t="s">
        <v>737</v>
      </c>
      <c r="B731" s="5">
        <v>43916.0</v>
      </c>
      <c r="C731" s="4" t="s">
        <v>6</v>
      </c>
    </row>
    <row r="732" ht="15.75" customHeight="1">
      <c r="A732" s="4" t="s">
        <v>738</v>
      </c>
      <c r="B732" s="5">
        <v>43916.0</v>
      </c>
      <c r="C732" s="4" t="s">
        <v>6</v>
      </c>
    </row>
    <row r="733" ht="15.75" customHeight="1">
      <c r="A733" s="4" t="s">
        <v>739</v>
      </c>
      <c r="B733" s="5">
        <v>43916.0</v>
      </c>
      <c r="C733" s="4" t="s">
        <v>6</v>
      </c>
    </row>
    <row r="734" ht="15.75" customHeight="1">
      <c r="A734" s="4" t="s">
        <v>740</v>
      </c>
      <c r="B734" s="5">
        <v>43916.0</v>
      </c>
      <c r="C734" s="4" t="s">
        <v>6</v>
      </c>
    </row>
    <row r="735" ht="15.75" customHeight="1">
      <c r="A735" s="4" t="s">
        <v>741</v>
      </c>
      <c r="B735" s="5">
        <v>43916.0</v>
      </c>
      <c r="C735" s="4" t="s">
        <v>6</v>
      </c>
    </row>
    <row r="736" ht="15.75" customHeight="1">
      <c r="A736" s="4" t="s">
        <v>742</v>
      </c>
      <c r="B736" s="5">
        <v>43916.0</v>
      </c>
      <c r="C736" s="4" t="s">
        <v>6</v>
      </c>
    </row>
    <row r="737" ht="15.75" customHeight="1">
      <c r="A737" s="4" t="s">
        <v>743</v>
      </c>
      <c r="B737" s="5">
        <v>43916.0</v>
      </c>
      <c r="C737" s="4" t="s">
        <v>6</v>
      </c>
    </row>
    <row r="738" ht="15.75" customHeight="1">
      <c r="A738" s="4" t="s">
        <v>744</v>
      </c>
      <c r="B738" s="5">
        <v>43916.0</v>
      </c>
      <c r="C738" s="4" t="s">
        <v>6</v>
      </c>
    </row>
    <row r="739" ht="15.75" customHeight="1">
      <c r="A739" s="4" t="s">
        <v>745</v>
      </c>
      <c r="B739" s="5">
        <v>43916.0</v>
      </c>
      <c r="C739" s="4" t="s">
        <v>6</v>
      </c>
    </row>
    <row r="740" ht="15.75" customHeight="1">
      <c r="A740" s="4" t="s">
        <v>746</v>
      </c>
      <c r="B740" s="5">
        <v>43916.0</v>
      </c>
      <c r="C740" s="4" t="s">
        <v>6</v>
      </c>
    </row>
    <row r="741" ht="15.75" customHeight="1">
      <c r="A741" s="4" t="s">
        <v>747</v>
      </c>
      <c r="B741" s="5">
        <v>43916.0</v>
      </c>
      <c r="C741" s="4" t="s">
        <v>6</v>
      </c>
    </row>
    <row r="742" ht="15.75" customHeight="1">
      <c r="A742" s="4" t="s">
        <v>748</v>
      </c>
      <c r="B742" s="5">
        <v>43916.0</v>
      </c>
      <c r="C742" s="4" t="s">
        <v>6</v>
      </c>
    </row>
    <row r="743" ht="15.75" customHeight="1">
      <c r="A743" s="4" t="s">
        <v>749</v>
      </c>
      <c r="B743" s="5">
        <v>43916.0</v>
      </c>
      <c r="C743" s="4" t="s">
        <v>6</v>
      </c>
    </row>
    <row r="744" ht="15.75" customHeight="1">
      <c r="A744" s="4" t="s">
        <v>750</v>
      </c>
      <c r="B744" s="5">
        <v>43916.0</v>
      </c>
      <c r="C744" s="4" t="s">
        <v>6</v>
      </c>
    </row>
    <row r="745" ht="15.75" customHeight="1">
      <c r="A745" s="4" t="s">
        <v>751</v>
      </c>
      <c r="B745" s="5">
        <v>43916.0</v>
      </c>
      <c r="C745" s="4" t="s">
        <v>6</v>
      </c>
    </row>
    <row r="746" ht="15.75" customHeight="1">
      <c r="A746" s="4" t="s">
        <v>752</v>
      </c>
      <c r="B746" s="5">
        <v>43916.0</v>
      </c>
      <c r="C746" s="4" t="s">
        <v>6</v>
      </c>
    </row>
    <row r="747" ht="15.75" customHeight="1">
      <c r="A747" s="4" t="s">
        <v>753</v>
      </c>
      <c r="B747" s="5">
        <v>43916.0</v>
      </c>
      <c r="C747" s="4" t="s">
        <v>6</v>
      </c>
    </row>
    <row r="748" ht="15.75" customHeight="1">
      <c r="A748" s="4" t="s">
        <v>754</v>
      </c>
      <c r="B748" s="5">
        <v>43916.0</v>
      </c>
      <c r="C748" s="4" t="s">
        <v>6</v>
      </c>
    </row>
    <row r="749" ht="15.75" customHeight="1">
      <c r="A749" s="4" t="s">
        <v>755</v>
      </c>
      <c r="B749" s="5">
        <v>43916.0</v>
      </c>
      <c r="C749" s="4" t="s">
        <v>6</v>
      </c>
    </row>
    <row r="750" ht="15.75" customHeight="1">
      <c r="A750" s="4" t="s">
        <v>756</v>
      </c>
      <c r="B750" s="5">
        <v>43916.0</v>
      </c>
      <c r="C750" s="4" t="s">
        <v>6</v>
      </c>
    </row>
    <row r="751" ht="15.75" customHeight="1">
      <c r="A751" s="4" t="s">
        <v>757</v>
      </c>
      <c r="B751" s="5">
        <v>43916.0</v>
      </c>
      <c r="C751" s="4" t="s">
        <v>6</v>
      </c>
    </row>
    <row r="752" ht="15.75" customHeight="1">
      <c r="A752" s="4" t="s">
        <v>758</v>
      </c>
      <c r="B752" s="5">
        <v>43916.0</v>
      </c>
      <c r="C752" s="4" t="s">
        <v>6</v>
      </c>
    </row>
    <row r="753" ht="15.75" customHeight="1">
      <c r="A753" s="4" t="s">
        <v>759</v>
      </c>
      <c r="B753" s="5">
        <v>43916.0</v>
      </c>
      <c r="C753" s="4" t="s">
        <v>6</v>
      </c>
    </row>
    <row r="754" ht="15.75" customHeight="1">
      <c r="A754" s="4" t="s">
        <v>760</v>
      </c>
      <c r="B754" s="5">
        <v>43916.0</v>
      </c>
      <c r="C754" s="4" t="s">
        <v>6</v>
      </c>
    </row>
    <row r="755" ht="15.75" customHeight="1">
      <c r="A755" s="4" t="s">
        <v>761</v>
      </c>
      <c r="B755" s="5">
        <v>43916.0</v>
      </c>
      <c r="C755" s="4" t="s">
        <v>6</v>
      </c>
    </row>
    <row r="756" ht="15.75" customHeight="1">
      <c r="A756" s="4" t="s">
        <v>762</v>
      </c>
      <c r="B756" s="5">
        <v>43916.0</v>
      </c>
      <c r="C756" s="4" t="s">
        <v>6</v>
      </c>
    </row>
    <row r="757" ht="15.75" customHeight="1">
      <c r="A757" s="4" t="s">
        <v>763</v>
      </c>
      <c r="B757" s="5">
        <v>43917.0</v>
      </c>
      <c r="C757" s="4" t="s">
        <v>6</v>
      </c>
    </row>
    <row r="758" ht="15.75" customHeight="1">
      <c r="A758" s="4" t="s">
        <v>764</v>
      </c>
      <c r="B758" s="5">
        <v>43917.0</v>
      </c>
      <c r="C758" s="4" t="s">
        <v>6</v>
      </c>
    </row>
    <row r="759" ht="15.75" customHeight="1">
      <c r="A759" s="4" t="s">
        <v>765</v>
      </c>
      <c r="B759" s="5">
        <v>43917.0</v>
      </c>
      <c r="C759" s="4" t="s">
        <v>6</v>
      </c>
    </row>
    <row r="760" ht="15.75" customHeight="1">
      <c r="A760" s="4" t="s">
        <v>766</v>
      </c>
      <c r="B760" s="5">
        <v>43917.0</v>
      </c>
      <c r="C760" s="4" t="s">
        <v>6</v>
      </c>
    </row>
    <row r="761" ht="15.75" customHeight="1">
      <c r="A761" s="4" t="s">
        <v>767</v>
      </c>
      <c r="B761" s="5">
        <v>43917.0</v>
      </c>
      <c r="C761" s="4" t="s">
        <v>6</v>
      </c>
    </row>
    <row r="762" ht="15.75" customHeight="1">
      <c r="A762" s="4" t="s">
        <v>768</v>
      </c>
      <c r="B762" s="5">
        <v>43917.0</v>
      </c>
      <c r="C762" s="4" t="s">
        <v>6</v>
      </c>
    </row>
    <row r="763" ht="15.75" customHeight="1">
      <c r="A763" s="4" t="s">
        <v>769</v>
      </c>
      <c r="B763" s="5">
        <v>43917.0</v>
      </c>
      <c r="C763" s="4" t="s">
        <v>6</v>
      </c>
    </row>
    <row r="764" ht="15.75" customHeight="1">
      <c r="A764" s="4" t="s">
        <v>770</v>
      </c>
      <c r="B764" s="5">
        <v>43917.0</v>
      </c>
      <c r="C764" s="4" t="s">
        <v>6</v>
      </c>
    </row>
    <row r="765" ht="15.75" customHeight="1">
      <c r="A765" s="4" t="s">
        <v>771</v>
      </c>
      <c r="B765" s="5">
        <v>43917.0</v>
      </c>
      <c r="C765" s="4" t="s">
        <v>6</v>
      </c>
    </row>
    <row r="766" ht="15.75" customHeight="1">
      <c r="A766" s="4" t="s">
        <v>772</v>
      </c>
      <c r="B766" s="5">
        <v>43917.0</v>
      </c>
      <c r="C766" s="4" t="s">
        <v>4</v>
      </c>
    </row>
    <row r="767" ht="15.75" customHeight="1">
      <c r="A767" s="4" t="s">
        <v>773</v>
      </c>
      <c r="B767" s="5">
        <v>43918.0</v>
      </c>
      <c r="C767" s="4" t="s">
        <v>4</v>
      </c>
    </row>
    <row r="768" ht="15.75" customHeight="1">
      <c r="A768" s="4" t="s">
        <v>774</v>
      </c>
      <c r="B768" s="5">
        <v>43918.0</v>
      </c>
      <c r="C768" s="4" t="s">
        <v>47</v>
      </c>
    </row>
    <row r="769" ht="15.75" customHeight="1">
      <c r="A769" s="4" t="s">
        <v>775</v>
      </c>
      <c r="B769" s="5">
        <v>43918.0</v>
      </c>
      <c r="C769" s="4" t="s">
        <v>47</v>
      </c>
    </row>
    <row r="770" ht="15.75" customHeight="1">
      <c r="A770" s="4" t="s">
        <v>776</v>
      </c>
      <c r="B770" s="5">
        <v>43918.0</v>
      </c>
      <c r="C770" s="4" t="s">
        <v>21</v>
      </c>
    </row>
    <row r="771" ht="15.75" customHeight="1">
      <c r="A771" s="4" t="s">
        <v>776</v>
      </c>
      <c r="B771" s="5">
        <v>43918.0</v>
      </c>
      <c r="C771" s="4" t="s">
        <v>4</v>
      </c>
    </row>
    <row r="772" ht="15.75" customHeight="1">
      <c r="A772" s="4" t="s">
        <v>777</v>
      </c>
      <c r="B772" s="5">
        <v>43919.0</v>
      </c>
      <c r="C772" s="4" t="s">
        <v>47</v>
      </c>
    </row>
    <row r="773" ht="15.75" customHeight="1">
      <c r="A773" s="4" t="s">
        <v>778</v>
      </c>
      <c r="B773" s="5">
        <v>43919.0</v>
      </c>
      <c r="C773" s="4" t="s">
        <v>47</v>
      </c>
    </row>
    <row r="774" ht="15.75" customHeight="1">
      <c r="A774" s="4" t="s">
        <v>779</v>
      </c>
      <c r="B774" s="5">
        <v>43919.0</v>
      </c>
      <c r="C774" s="4" t="s">
        <v>4</v>
      </c>
    </row>
    <row r="775" ht="15.75" customHeight="1">
      <c r="A775" s="4" t="s">
        <v>780</v>
      </c>
      <c r="B775" s="5">
        <v>43919.0</v>
      </c>
      <c r="C775" s="4" t="s">
        <v>4</v>
      </c>
    </row>
    <row r="776" ht="15.75" customHeight="1">
      <c r="A776" s="4" t="s">
        <v>781</v>
      </c>
      <c r="B776" s="5">
        <v>43919.0</v>
      </c>
      <c r="C776" s="4" t="s">
        <v>4</v>
      </c>
    </row>
    <row r="777" ht="15.75" customHeight="1">
      <c r="A777" s="4" t="s">
        <v>782</v>
      </c>
      <c r="B777" s="5">
        <v>43920.0</v>
      </c>
      <c r="C777" s="4" t="s">
        <v>4</v>
      </c>
    </row>
    <row r="778" ht="15.75" customHeight="1">
      <c r="A778" s="4" t="s">
        <v>783</v>
      </c>
      <c r="B778" s="5">
        <v>43920.0</v>
      </c>
      <c r="C778" s="4" t="s">
        <v>4</v>
      </c>
    </row>
    <row r="779" ht="15.75" customHeight="1">
      <c r="A779" s="4" t="s">
        <v>784</v>
      </c>
      <c r="B779" s="5">
        <v>43920.0</v>
      </c>
      <c r="C779" s="4" t="s">
        <v>4</v>
      </c>
    </row>
    <row r="780" ht="15.75" customHeight="1">
      <c r="A780" s="4" t="s">
        <v>785</v>
      </c>
      <c r="B780" s="5">
        <v>43920.0</v>
      </c>
      <c r="C780" s="4" t="s">
        <v>4</v>
      </c>
    </row>
    <row r="781" ht="15.75" customHeight="1">
      <c r="A781" s="4" t="s">
        <v>786</v>
      </c>
      <c r="B781" s="5">
        <v>43920.0</v>
      </c>
      <c r="C781" s="4" t="s">
        <v>4</v>
      </c>
    </row>
    <row r="782" ht="15.75" customHeight="1">
      <c r="A782" s="4" t="s">
        <v>787</v>
      </c>
      <c r="B782" s="5">
        <v>43920.0</v>
      </c>
      <c r="C782" s="4" t="s">
        <v>4</v>
      </c>
    </row>
    <row r="783" ht="15.75" customHeight="1">
      <c r="A783" s="4" t="s">
        <v>788</v>
      </c>
      <c r="B783" s="5">
        <v>43920.0</v>
      </c>
      <c r="C783" s="4" t="s">
        <v>4</v>
      </c>
    </row>
    <row r="784" ht="15.75" customHeight="1">
      <c r="A784" s="4" t="s">
        <v>789</v>
      </c>
      <c r="B784" s="5">
        <v>43920.0</v>
      </c>
      <c r="C784" s="4" t="s">
        <v>4</v>
      </c>
    </row>
    <row r="785" ht="15.75" customHeight="1">
      <c r="A785" s="4" t="s">
        <v>790</v>
      </c>
      <c r="B785" s="5">
        <v>43920.0</v>
      </c>
      <c r="C785" s="4" t="s">
        <v>4</v>
      </c>
    </row>
    <row r="786" ht="15.75" customHeight="1">
      <c r="A786" s="4" t="s">
        <v>791</v>
      </c>
      <c r="B786" s="5">
        <v>43921.0</v>
      </c>
      <c r="C786" s="4" t="s">
        <v>4</v>
      </c>
    </row>
    <row r="787" ht="15.75" customHeight="1">
      <c r="A787" s="4" t="s">
        <v>792</v>
      </c>
      <c r="B787" s="5">
        <v>43921.0</v>
      </c>
      <c r="C787" s="4" t="s">
        <v>4</v>
      </c>
    </row>
    <row r="788" ht="15.75" customHeight="1">
      <c r="A788" s="4" t="s">
        <v>793</v>
      </c>
      <c r="B788" s="5">
        <v>43921.0</v>
      </c>
      <c r="C788" s="4" t="s">
        <v>4</v>
      </c>
    </row>
    <row r="789" ht="15.75" customHeight="1">
      <c r="A789" s="4" t="s">
        <v>794</v>
      </c>
      <c r="B789" s="5">
        <v>43921.0</v>
      </c>
      <c r="C789" s="4" t="s">
        <v>47</v>
      </c>
    </row>
    <row r="790" ht="15.75" customHeight="1">
      <c r="A790" s="4" t="s">
        <v>795</v>
      </c>
      <c r="B790" s="5">
        <v>43921.0</v>
      </c>
      <c r="C790" s="4" t="s">
        <v>53</v>
      </c>
    </row>
    <row r="791" ht="15.75" customHeight="1">
      <c r="A791" s="4" t="s">
        <v>796</v>
      </c>
      <c r="B791" s="5">
        <v>43921.0</v>
      </c>
      <c r="C791" s="4" t="s">
        <v>53</v>
      </c>
    </row>
    <row r="792" ht="15.75" customHeight="1">
      <c r="A792" s="4" t="s">
        <v>797</v>
      </c>
      <c r="B792" s="5">
        <v>43921.0</v>
      </c>
      <c r="C792" s="4" t="s">
        <v>53</v>
      </c>
    </row>
    <row r="793" ht="15.75" customHeight="1">
      <c r="A793" s="4" t="s">
        <v>798</v>
      </c>
      <c r="B793" s="5">
        <v>43921.0</v>
      </c>
      <c r="C793" s="4" t="s">
        <v>53</v>
      </c>
    </row>
    <row r="794" ht="15.75" customHeight="1">
      <c r="A794" s="4" t="s">
        <v>799</v>
      </c>
      <c r="B794" s="5">
        <v>43922.0</v>
      </c>
      <c r="C794" s="4" t="s">
        <v>53</v>
      </c>
    </row>
    <row r="795" ht="15.75" customHeight="1">
      <c r="A795" s="4" t="s">
        <v>800</v>
      </c>
      <c r="B795" s="5">
        <v>43922.0</v>
      </c>
      <c r="C795" s="4" t="s">
        <v>53</v>
      </c>
    </row>
    <row r="796" ht="15.75" customHeight="1">
      <c r="A796" s="4" t="s">
        <v>801</v>
      </c>
      <c r="B796" s="5">
        <v>43922.0</v>
      </c>
      <c r="C796" s="4" t="s">
        <v>53</v>
      </c>
    </row>
    <row r="797" ht="15.75" customHeight="1">
      <c r="A797" s="4" t="s">
        <v>802</v>
      </c>
      <c r="B797" s="5">
        <v>43922.0</v>
      </c>
      <c r="C797" s="4" t="s">
        <v>47</v>
      </c>
    </row>
    <row r="798" ht="15.75" customHeight="1">
      <c r="A798" s="4" t="s">
        <v>803</v>
      </c>
      <c r="B798" s="5">
        <v>43922.0</v>
      </c>
      <c r="C798" s="4" t="s">
        <v>53</v>
      </c>
    </row>
    <row r="799" ht="15.75" customHeight="1">
      <c r="A799" s="4" t="s">
        <v>804</v>
      </c>
      <c r="B799" s="5">
        <v>43922.0</v>
      </c>
      <c r="C799" s="4" t="s">
        <v>53</v>
      </c>
    </row>
    <row r="800" ht="15.75" customHeight="1">
      <c r="A800" s="4" t="s">
        <v>805</v>
      </c>
      <c r="B800" s="5">
        <v>43923.0</v>
      </c>
      <c r="C800" s="4" t="s">
        <v>4</v>
      </c>
    </row>
    <row r="801" ht="15.75" customHeight="1">
      <c r="A801" s="4" t="s">
        <v>806</v>
      </c>
      <c r="B801" s="5">
        <v>43950.0</v>
      </c>
      <c r="C801" s="4" t="s">
        <v>6</v>
      </c>
    </row>
    <row r="802" ht="15.75" customHeight="1">
      <c r="A802" s="4" t="s">
        <v>807</v>
      </c>
      <c r="B802" s="5">
        <v>43923.0</v>
      </c>
      <c r="C802" s="4" t="s">
        <v>4</v>
      </c>
    </row>
    <row r="803" ht="15.75" customHeight="1">
      <c r="A803" s="4" t="s">
        <v>808</v>
      </c>
      <c r="B803" s="5">
        <v>43923.0</v>
      </c>
      <c r="C803" s="4" t="s">
        <v>4</v>
      </c>
    </row>
    <row r="804" ht="15.75" customHeight="1">
      <c r="A804" s="4" t="s">
        <v>809</v>
      </c>
      <c r="B804" s="5">
        <v>43923.0</v>
      </c>
      <c r="C804" s="4" t="s">
        <v>4</v>
      </c>
    </row>
    <row r="805" ht="15.75" customHeight="1">
      <c r="A805" s="4" t="s">
        <v>810</v>
      </c>
      <c r="B805" s="5">
        <v>43923.0</v>
      </c>
      <c r="C805" s="4" t="s">
        <v>4</v>
      </c>
    </row>
    <row r="806" ht="15.75" customHeight="1">
      <c r="A806" s="4" t="s">
        <v>811</v>
      </c>
      <c r="B806" s="5">
        <v>43923.0</v>
      </c>
      <c r="C806" s="4" t="s">
        <v>4</v>
      </c>
    </row>
    <row r="807" ht="15.75" customHeight="1">
      <c r="A807" s="4" t="s">
        <v>812</v>
      </c>
      <c r="B807" s="5">
        <v>43923.0</v>
      </c>
      <c r="C807" s="4" t="s">
        <v>4</v>
      </c>
    </row>
    <row r="808" ht="15.75" customHeight="1">
      <c r="A808" s="4" t="s">
        <v>813</v>
      </c>
      <c r="B808" s="5">
        <v>43923.0</v>
      </c>
      <c r="C808" s="4" t="s">
        <v>4</v>
      </c>
    </row>
    <row r="809" ht="15.75" customHeight="1">
      <c r="A809" s="4" t="s">
        <v>814</v>
      </c>
      <c r="B809" s="5">
        <v>43924.0</v>
      </c>
      <c r="C809" s="4" t="s">
        <v>47</v>
      </c>
    </row>
    <row r="810" ht="15.75" customHeight="1">
      <c r="A810" s="4" t="s">
        <v>815</v>
      </c>
      <c r="B810" s="5">
        <v>43924.0</v>
      </c>
      <c r="C810" s="4" t="s">
        <v>21</v>
      </c>
    </row>
    <row r="811" ht="15.75" customHeight="1">
      <c r="A811" s="4" t="s">
        <v>816</v>
      </c>
      <c r="B811" s="5">
        <v>43924.0</v>
      </c>
      <c r="C811" s="4" t="s">
        <v>21</v>
      </c>
    </row>
    <row r="812" ht="15.75" customHeight="1">
      <c r="A812" s="4" t="s">
        <v>817</v>
      </c>
      <c r="B812" s="5">
        <v>43924.0</v>
      </c>
      <c r="C812" s="4" t="s">
        <v>21</v>
      </c>
    </row>
    <row r="813" ht="15.75" customHeight="1">
      <c r="A813" s="4" t="s">
        <v>818</v>
      </c>
      <c r="B813" s="5">
        <v>43926.0</v>
      </c>
      <c r="C813" s="4" t="s">
        <v>47</v>
      </c>
    </row>
    <row r="814" ht="15.75" customHeight="1">
      <c r="A814" s="4" t="s">
        <v>819</v>
      </c>
      <c r="B814" s="5">
        <v>43926.0</v>
      </c>
      <c r="C814" s="4" t="s">
        <v>4</v>
      </c>
    </row>
    <row r="815" ht="15.75" customHeight="1">
      <c r="A815" s="4" t="s">
        <v>820</v>
      </c>
      <c r="B815" s="5">
        <v>43927.0</v>
      </c>
      <c r="C815" s="4" t="s">
        <v>4</v>
      </c>
    </row>
    <row r="816" ht="15.75" customHeight="1">
      <c r="A816" s="4" t="s">
        <v>821</v>
      </c>
      <c r="B816" s="5">
        <v>43927.0</v>
      </c>
      <c r="C816" s="4" t="s">
        <v>4</v>
      </c>
    </row>
    <row r="817" ht="15.75" customHeight="1">
      <c r="A817" s="4" t="s">
        <v>822</v>
      </c>
      <c r="B817" s="5">
        <v>43927.0</v>
      </c>
      <c r="C817" s="4" t="s">
        <v>4</v>
      </c>
    </row>
    <row r="818" ht="15.75" customHeight="1">
      <c r="A818" s="4" t="s">
        <v>823</v>
      </c>
      <c r="B818" s="5">
        <v>43927.0</v>
      </c>
      <c r="C818" s="4" t="s">
        <v>4</v>
      </c>
    </row>
    <row r="819" ht="15.75" customHeight="1">
      <c r="A819" s="4" t="s">
        <v>824</v>
      </c>
      <c r="B819" s="5">
        <v>43927.0</v>
      </c>
      <c r="C819" s="4" t="s">
        <v>4</v>
      </c>
    </row>
    <row r="820" ht="15.75" customHeight="1">
      <c r="A820" s="4" t="s">
        <v>825</v>
      </c>
      <c r="B820" s="5">
        <v>43928.0</v>
      </c>
      <c r="C820" s="4" t="s">
        <v>4</v>
      </c>
    </row>
    <row r="821" ht="15.75" customHeight="1">
      <c r="A821" s="4" t="s">
        <v>826</v>
      </c>
      <c r="B821" s="5">
        <v>43928.0</v>
      </c>
      <c r="C821" s="4" t="s">
        <v>4</v>
      </c>
    </row>
    <row r="822" ht="15.75" customHeight="1">
      <c r="A822" s="4" t="s">
        <v>827</v>
      </c>
      <c r="B822" s="5">
        <v>43928.0</v>
      </c>
      <c r="C822" s="4" t="s">
        <v>4</v>
      </c>
    </row>
    <row r="823" ht="15.75" customHeight="1">
      <c r="A823" s="4" t="s">
        <v>828</v>
      </c>
      <c r="B823" s="5">
        <v>43928.0</v>
      </c>
      <c r="C823" s="4" t="s">
        <v>4</v>
      </c>
    </row>
    <row r="824" ht="15.75" customHeight="1">
      <c r="A824" s="4" t="s">
        <v>829</v>
      </c>
      <c r="B824" s="5">
        <v>43928.0</v>
      </c>
      <c r="C824" s="4" t="s">
        <v>21</v>
      </c>
    </row>
    <row r="825" ht="15.75" customHeight="1">
      <c r="A825" s="4" t="s">
        <v>830</v>
      </c>
      <c r="B825" s="5">
        <v>43928.0</v>
      </c>
      <c r="C825" s="4" t="s">
        <v>4</v>
      </c>
    </row>
    <row r="826" ht="15.75" customHeight="1">
      <c r="A826" s="4" t="s">
        <v>831</v>
      </c>
      <c r="B826" s="5">
        <v>43928.0</v>
      </c>
      <c r="C826" s="4" t="s">
        <v>4</v>
      </c>
    </row>
    <row r="827" ht="15.75" customHeight="1">
      <c r="A827" s="4" t="s">
        <v>832</v>
      </c>
      <c r="B827" s="5">
        <v>43928.0</v>
      </c>
      <c r="C827" s="4" t="s">
        <v>4</v>
      </c>
    </row>
    <row r="828" ht="15.75" customHeight="1">
      <c r="A828" s="4" t="s">
        <v>833</v>
      </c>
      <c r="B828" s="5">
        <v>43928.0</v>
      </c>
      <c r="C828" s="4" t="s">
        <v>4</v>
      </c>
    </row>
    <row r="829" ht="15.75" customHeight="1">
      <c r="A829" s="4" t="s">
        <v>834</v>
      </c>
      <c r="B829" s="5">
        <v>43928.0</v>
      </c>
      <c r="C829" s="4" t="s">
        <v>4</v>
      </c>
    </row>
    <row r="830" ht="15.75" customHeight="1">
      <c r="A830" s="4" t="s">
        <v>835</v>
      </c>
      <c r="B830" s="5">
        <v>43928.0</v>
      </c>
      <c r="C830" s="4" t="s">
        <v>4</v>
      </c>
    </row>
    <row r="831" ht="15.75" customHeight="1">
      <c r="A831" s="4" t="s">
        <v>836</v>
      </c>
      <c r="B831" s="5">
        <v>43928.0</v>
      </c>
      <c r="C831" s="4" t="s">
        <v>47</v>
      </c>
    </row>
    <row r="832" ht="15.75" customHeight="1">
      <c r="A832" s="4" t="s">
        <v>837</v>
      </c>
      <c r="B832" s="5">
        <v>43928.0</v>
      </c>
      <c r="C832" s="4" t="s">
        <v>4</v>
      </c>
    </row>
    <row r="833" ht="15.75" customHeight="1">
      <c r="A833" s="4" t="s">
        <v>838</v>
      </c>
      <c r="B833" s="5">
        <v>43928.0</v>
      </c>
      <c r="C833" s="4" t="s">
        <v>4</v>
      </c>
    </row>
    <row r="834" ht="15.75" customHeight="1">
      <c r="A834" s="4" t="s">
        <v>839</v>
      </c>
      <c r="B834" s="5">
        <v>43928.0</v>
      </c>
      <c r="C834" s="4" t="s">
        <v>4</v>
      </c>
    </row>
    <row r="835" ht="15.75" customHeight="1">
      <c r="A835" s="4" t="s">
        <v>840</v>
      </c>
      <c r="B835" s="5">
        <v>43928.0</v>
      </c>
      <c r="C835" s="4" t="s">
        <v>4</v>
      </c>
    </row>
    <row r="836" ht="15.75" customHeight="1">
      <c r="A836" s="4" t="s">
        <v>841</v>
      </c>
      <c r="B836" s="5">
        <v>43928.0</v>
      </c>
      <c r="C836" s="4" t="s">
        <v>4</v>
      </c>
    </row>
    <row r="837" ht="15.75" customHeight="1">
      <c r="A837" s="4" t="s">
        <v>842</v>
      </c>
      <c r="B837" s="5">
        <v>43928.0</v>
      </c>
      <c r="C837" s="4" t="s">
        <v>4</v>
      </c>
    </row>
    <row r="838" ht="15.75" customHeight="1">
      <c r="A838" s="4" t="s">
        <v>843</v>
      </c>
      <c r="B838" s="5">
        <v>43928.0</v>
      </c>
      <c r="C838" s="4" t="s">
        <v>4</v>
      </c>
    </row>
    <row r="839" ht="15.75" customHeight="1">
      <c r="A839" s="4" t="s">
        <v>844</v>
      </c>
      <c r="B839" s="5">
        <v>43928.0</v>
      </c>
      <c r="C839" s="4" t="s">
        <v>4</v>
      </c>
    </row>
    <row r="840" ht="15.75" customHeight="1">
      <c r="A840" s="4" t="s">
        <v>845</v>
      </c>
      <c r="B840" s="5">
        <v>43928.0</v>
      </c>
      <c r="C840" s="4" t="s">
        <v>4</v>
      </c>
    </row>
    <row r="841" ht="15.75" customHeight="1">
      <c r="A841" s="4" t="s">
        <v>846</v>
      </c>
      <c r="B841" s="5">
        <v>43928.0</v>
      </c>
      <c r="C841" s="4" t="s">
        <v>4</v>
      </c>
    </row>
    <row r="842" ht="15.75" customHeight="1">
      <c r="A842" s="4" t="s">
        <v>847</v>
      </c>
      <c r="B842" s="5">
        <v>43928.0</v>
      </c>
      <c r="C842" s="4" t="s">
        <v>4</v>
      </c>
    </row>
    <row r="843" ht="15.75" customHeight="1">
      <c r="A843" s="4" t="s">
        <v>848</v>
      </c>
      <c r="B843" s="5">
        <v>43928.0</v>
      </c>
      <c r="C843" s="4" t="s">
        <v>4</v>
      </c>
    </row>
    <row r="844" ht="15.75" customHeight="1">
      <c r="A844" s="4" t="s">
        <v>849</v>
      </c>
      <c r="B844" s="5">
        <v>43928.0</v>
      </c>
      <c r="C844" s="4" t="s">
        <v>4</v>
      </c>
    </row>
    <row r="845" ht="15.75" customHeight="1">
      <c r="A845" s="4" t="s">
        <v>850</v>
      </c>
      <c r="B845" s="5">
        <v>43928.0</v>
      </c>
      <c r="C845" s="4" t="s">
        <v>4</v>
      </c>
    </row>
    <row r="846" ht="15.75" customHeight="1">
      <c r="A846" s="4" t="s">
        <v>851</v>
      </c>
      <c r="B846" s="5">
        <v>43928.0</v>
      </c>
      <c r="C846" s="4" t="s">
        <v>4</v>
      </c>
    </row>
    <row r="847" ht="15.75" customHeight="1">
      <c r="A847" s="4" t="s">
        <v>852</v>
      </c>
      <c r="B847" s="5">
        <v>43928.0</v>
      </c>
      <c r="C847" s="4" t="s">
        <v>4</v>
      </c>
    </row>
    <row r="848" ht="15.75" customHeight="1">
      <c r="A848" s="4" t="s">
        <v>853</v>
      </c>
      <c r="B848" s="5">
        <v>43928.0</v>
      </c>
      <c r="C848" s="4" t="s">
        <v>4</v>
      </c>
    </row>
    <row r="849" ht="15.75" customHeight="1">
      <c r="A849" s="4" t="s">
        <v>854</v>
      </c>
      <c r="B849" s="5">
        <v>43928.0</v>
      </c>
      <c r="C849" s="4" t="s">
        <v>4</v>
      </c>
    </row>
    <row r="850" ht="15.75" customHeight="1">
      <c r="A850" s="4" t="s">
        <v>855</v>
      </c>
      <c r="B850" s="5">
        <v>43929.0</v>
      </c>
      <c r="C850" s="4" t="s">
        <v>4</v>
      </c>
    </row>
    <row r="851" ht="15.75" customHeight="1">
      <c r="A851" s="4" t="s">
        <v>856</v>
      </c>
      <c r="B851" s="5">
        <v>43929.0</v>
      </c>
      <c r="C851" s="4" t="s">
        <v>4</v>
      </c>
    </row>
    <row r="852" ht="15.75" customHeight="1">
      <c r="A852" s="4" t="s">
        <v>857</v>
      </c>
      <c r="B852" s="5">
        <v>43929.0</v>
      </c>
      <c r="C852" s="4" t="s">
        <v>4</v>
      </c>
    </row>
    <row r="853" ht="15.75" customHeight="1">
      <c r="A853" s="4" t="s">
        <v>858</v>
      </c>
      <c r="B853" s="5">
        <v>43929.0</v>
      </c>
      <c r="C853" s="4" t="s">
        <v>4</v>
      </c>
    </row>
    <row r="854" ht="15.75" customHeight="1">
      <c r="A854" s="4" t="s">
        <v>859</v>
      </c>
      <c r="B854" s="5">
        <v>43929.0</v>
      </c>
      <c r="C854" s="4" t="s">
        <v>4</v>
      </c>
    </row>
    <row r="855" ht="15.75" customHeight="1">
      <c r="A855" s="4" t="s">
        <v>860</v>
      </c>
      <c r="B855" s="5">
        <v>43929.0</v>
      </c>
      <c r="C855" s="4" t="s">
        <v>4</v>
      </c>
    </row>
    <row r="856" ht="15.75" customHeight="1">
      <c r="A856" s="4" t="s">
        <v>861</v>
      </c>
      <c r="B856" s="5">
        <v>43929.0</v>
      </c>
      <c r="C856" s="4" t="s">
        <v>4</v>
      </c>
    </row>
    <row r="857" ht="15.75" customHeight="1">
      <c r="A857" s="4" t="s">
        <v>862</v>
      </c>
      <c r="B857" s="5">
        <v>43930.0</v>
      </c>
      <c r="C857" s="4" t="s">
        <v>4</v>
      </c>
    </row>
    <row r="858" ht="15.75" customHeight="1">
      <c r="A858" s="4" t="s">
        <v>863</v>
      </c>
      <c r="B858" s="5">
        <v>43930.0</v>
      </c>
      <c r="C858" s="4" t="s">
        <v>4</v>
      </c>
    </row>
    <row r="859" ht="15.75" customHeight="1">
      <c r="A859" s="4" t="s">
        <v>864</v>
      </c>
      <c r="B859" s="5">
        <v>43931.0</v>
      </c>
      <c r="C859" s="4" t="s">
        <v>4</v>
      </c>
    </row>
    <row r="860" ht="15.75" customHeight="1">
      <c r="A860" s="4" t="s">
        <v>865</v>
      </c>
      <c r="B860" s="5">
        <v>43932.0</v>
      </c>
      <c r="C860" s="4" t="s">
        <v>4</v>
      </c>
    </row>
    <row r="861" ht="15.75" customHeight="1">
      <c r="A861" s="4" t="s">
        <v>865</v>
      </c>
      <c r="B861" s="5">
        <v>43865.0</v>
      </c>
      <c r="C861" s="4" t="s">
        <v>47</v>
      </c>
    </row>
    <row r="862" ht="15.75" customHeight="1">
      <c r="A862" s="4" t="s">
        <v>866</v>
      </c>
      <c r="B862" s="5">
        <v>43933.0</v>
      </c>
      <c r="C862" s="4" t="s">
        <v>4</v>
      </c>
    </row>
    <row r="863" ht="15.75" customHeight="1">
      <c r="A863" s="4" t="s">
        <v>867</v>
      </c>
      <c r="B863" s="5">
        <v>43934.0</v>
      </c>
      <c r="C863" s="4" t="s">
        <v>4</v>
      </c>
    </row>
    <row r="864" ht="15.75" customHeight="1">
      <c r="A864" s="4" t="s">
        <v>868</v>
      </c>
      <c r="B864" s="5">
        <v>43934.0</v>
      </c>
      <c r="C864" s="4" t="s">
        <v>4</v>
      </c>
    </row>
    <row r="865" ht="15.75" customHeight="1">
      <c r="A865" s="4" t="s">
        <v>869</v>
      </c>
      <c r="B865" s="5">
        <v>43934.0</v>
      </c>
      <c r="C865" s="4" t="s">
        <v>4</v>
      </c>
    </row>
    <row r="866" ht="15.75" customHeight="1">
      <c r="A866" s="4" t="s">
        <v>870</v>
      </c>
      <c r="B866" s="5">
        <v>43934.0</v>
      </c>
      <c r="C866" s="4" t="s">
        <v>4</v>
      </c>
    </row>
    <row r="867" ht="15.75" customHeight="1">
      <c r="A867" s="4" t="s">
        <v>871</v>
      </c>
      <c r="B867" s="5">
        <v>43935.0</v>
      </c>
      <c r="C867" s="4" t="s">
        <v>4</v>
      </c>
    </row>
    <row r="868" ht="15.75" customHeight="1">
      <c r="A868" s="4" t="s">
        <v>872</v>
      </c>
      <c r="B868" s="5">
        <v>43935.0</v>
      </c>
      <c r="C868" s="4" t="s">
        <v>4</v>
      </c>
    </row>
    <row r="869" ht="15.75" customHeight="1">
      <c r="A869" s="4" t="s">
        <v>873</v>
      </c>
      <c r="B869" s="5">
        <v>43935.0</v>
      </c>
      <c r="C869" s="4" t="s">
        <v>4</v>
      </c>
    </row>
    <row r="870" ht="15.75" customHeight="1">
      <c r="A870" s="4" t="s">
        <v>874</v>
      </c>
      <c r="B870" s="5">
        <v>43935.0</v>
      </c>
      <c r="C870" s="4" t="s">
        <v>4</v>
      </c>
    </row>
    <row r="871" ht="15.75" customHeight="1">
      <c r="A871" s="4" t="s">
        <v>875</v>
      </c>
      <c r="B871" s="5">
        <v>43935.0</v>
      </c>
      <c r="C871" s="4" t="s">
        <v>4</v>
      </c>
    </row>
    <row r="872" ht="15.75" customHeight="1">
      <c r="A872" s="4" t="s">
        <v>876</v>
      </c>
      <c r="B872" s="5">
        <v>43935.0</v>
      </c>
      <c r="C872" s="4" t="s">
        <v>4</v>
      </c>
    </row>
    <row r="873" ht="15.75" customHeight="1">
      <c r="A873" s="4" t="s">
        <v>877</v>
      </c>
      <c r="B873" s="5">
        <v>43935.0</v>
      </c>
      <c r="C873" s="4" t="s">
        <v>4</v>
      </c>
    </row>
    <row r="874" ht="15.75" customHeight="1">
      <c r="A874" s="4" t="s">
        <v>878</v>
      </c>
      <c r="B874" s="5">
        <v>43936.0</v>
      </c>
      <c r="C874" s="4" t="s">
        <v>4</v>
      </c>
    </row>
    <row r="875" ht="15.75" customHeight="1">
      <c r="A875" s="4" t="s">
        <v>879</v>
      </c>
      <c r="B875" s="5">
        <v>43936.0</v>
      </c>
      <c r="C875" s="4" t="s">
        <v>4</v>
      </c>
    </row>
    <row r="876" ht="15.75" customHeight="1">
      <c r="A876" s="4" t="s">
        <v>880</v>
      </c>
      <c r="B876" s="5">
        <v>43936.0</v>
      </c>
      <c r="C876" s="4" t="s">
        <v>4</v>
      </c>
    </row>
    <row r="877" ht="15.75" customHeight="1">
      <c r="A877" s="4" t="s">
        <v>881</v>
      </c>
      <c r="B877" s="5">
        <v>43936.0</v>
      </c>
      <c r="C877" s="4" t="s">
        <v>4</v>
      </c>
    </row>
    <row r="878" ht="15.75" customHeight="1">
      <c r="A878" s="4" t="s">
        <v>882</v>
      </c>
      <c r="B878" s="5">
        <v>43936.0</v>
      </c>
      <c r="C878" s="4" t="s">
        <v>4</v>
      </c>
    </row>
    <row r="879" ht="15.75" customHeight="1">
      <c r="A879" s="4" t="s">
        <v>883</v>
      </c>
      <c r="B879" s="5">
        <v>43936.0</v>
      </c>
      <c r="C879" s="4" t="s">
        <v>4</v>
      </c>
    </row>
    <row r="880" ht="15.75" customHeight="1">
      <c r="A880" s="4" t="s">
        <v>884</v>
      </c>
      <c r="B880" s="5">
        <v>43936.0</v>
      </c>
      <c r="C880" s="4" t="s">
        <v>4</v>
      </c>
    </row>
    <row r="881" ht="15.75" customHeight="1">
      <c r="A881" s="4" t="s">
        <v>885</v>
      </c>
      <c r="B881" s="5">
        <v>43936.0</v>
      </c>
      <c r="C881" s="4" t="s">
        <v>4</v>
      </c>
    </row>
    <row r="882" ht="15.75" customHeight="1">
      <c r="A882" s="4" t="s">
        <v>886</v>
      </c>
      <c r="B882" s="5">
        <v>43936.0</v>
      </c>
      <c r="C882" s="4" t="s">
        <v>4</v>
      </c>
    </row>
    <row r="883" ht="15.75" customHeight="1">
      <c r="A883" s="4" t="s">
        <v>887</v>
      </c>
      <c r="B883" s="5">
        <v>43936.0</v>
      </c>
      <c r="C883" s="4" t="s">
        <v>4</v>
      </c>
    </row>
    <row r="884" ht="15.75" customHeight="1">
      <c r="A884" s="4" t="s">
        <v>888</v>
      </c>
      <c r="B884" s="5">
        <v>43937.0</v>
      </c>
      <c r="C884" s="4" t="s">
        <v>4</v>
      </c>
    </row>
    <row r="885" ht="15.75" customHeight="1">
      <c r="A885" s="4" t="s">
        <v>889</v>
      </c>
      <c r="B885" s="5">
        <v>43937.0</v>
      </c>
      <c r="C885" s="4" t="s">
        <v>4</v>
      </c>
    </row>
    <row r="886" ht="15.75" customHeight="1">
      <c r="A886" s="4" t="s">
        <v>890</v>
      </c>
      <c r="B886" s="5">
        <v>43937.0</v>
      </c>
      <c r="C886" s="4" t="s">
        <v>4</v>
      </c>
    </row>
    <row r="887" ht="15.75" customHeight="1">
      <c r="A887" s="4" t="s">
        <v>891</v>
      </c>
      <c r="B887" s="5">
        <v>43937.0</v>
      </c>
      <c r="C887" s="4" t="s">
        <v>4</v>
      </c>
    </row>
    <row r="888" ht="15.75" customHeight="1">
      <c r="A888" s="4" t="s">
        <v>892</v>
      </c>
      <c r="B888" s="5">
        <v>43937.0</v>
      </c>
      <c r="C888" s="4" t="s">
        <v>4</v>
      </c>
    </row>
    <row r="889" ht="15.75" customHeight="1">
      <c r="A889" s="4" t="s">
        <v>893</v>
      </c>
      <c r="B889" s="5">
        <v>43937.0</v>
      </c>
      <c r="C889" s="4" t="s">
        <v>4</v>
      </c>
    </row>
    <row r="890" ht="15.75" customHeight="1">
      <c r="A890" s="4" t="s">
        <v>894</v>
      </c>
      <c r="B890" s="5">
        <v>43937.0</v>
      </c>
      <c r="C890" s="4" t="s">
        <v>4</v>
      </c>
    </row>
    <row r="891" ht="15.75" customHeight="1">
      <c r="A891" s="4" t="s">
        <v>895</v>
      </c>
      <c r="B891" s="5">
        <v>43937.0</v>
      </c>
      <c r="C891" s="4" t="s">
        <v>4</v>
      </c>
    </row>
    <row r="892" ht="15.75" customHeight="1">
      <c r="A892" s="4" t="s">
        <v>896</v>
      </c>
      <c r="B892" s="5">
        <v>43937.0</v>
      </c>
      <c r="C892" s="4" t="s">
        <v>4</v>
      </c>
    </row>
    <row r="893" ht="15.75" customHeight="1">
      <c r="A893" s="4" t="s">
        <v>897</v>
      </c>
      <c r="B893" s="5">
        <v>43937.0</v>
      </c>
      <c r="C893" s="4" t="s">
        <v>4</v>
      </c>
    </row>
    <row r="894" ht="15.75" customHeight="1">
      <c r="A894" s="4" t="s">
        <v>898</v>
      </c>
      <c r="B894" s="5">
        <v>43937.0</v>
      </c>
      <c r="C894" s="4" t="s">
        <v>4</v>
      </c>
    </row>
    <row r="895" ht="15.75" customHeight="1">
      <c r="A895" s="4" t="s">
        <v>899</v>
      </c>
      <c r="B895" s="5">
        <v>43937.0</v>
      </c>
      <c r="C895" s="4" t="s">
        <v>4</v>
      </c>
    </row>
    <row r="896" ht="15.75" customHeight="1">
      <c r="A896" s="4" t="s">
        <v>900</v>
      </c>
      <c r="B896" s="5">
        <v>43938.0</v>
      </c>
      <c r="C896" s="4" t="s">
        <v>4</v>
      </c>
    </row>
    <row r="897" ht="15.75" customHeight="1">
      <c r="A897" s="4" t="s">
        <v>901</v>
      </c>
      <c r="B897" s="5">
        <v>43938.0</v>
      </c>
      <c r="C897" s="4" t="s">
        <v>4</v>
      </c>
    </row>
    <row r="898" ht="15.75" customHeight="1">
      <c r="A898" s="4" t="s">
        <v>902</v>
      </c>
      <c r="B898" s="5">
        <v>43938.0</v>
      </c>
      <c r="C898" s="4" t="s">
        <v>21</v>
      </c>
    </row>
    <row r="899" ht="15.75" customHeight="1">
      <c r="A899" s="4" t="s">
        <v>903</v>
      </c>
      <c r="B899" s="5">
        <v>43938.0</v>
      </c>
      <c r="C899" s="4" t="s">
        <v>21</v>
      </c>
    </row>
    <row r="900" ht="15.75" customHeight="1">
      <c r="A900" s="4" t="s">
        <v>904</v>
      </c>
      <c r="B900" s="5">
        <v>43938.0</v>
      </c>
      <c r="C900" s="4" t="s">
        <v>21</v>
      </c>
    </row>
    <row r="901" ht="15.75" customHeight="1">
      <c r="A901" s="4" t="s">
        <v>905</v>
      </c>
      <c r="B901" s="5">
        <v>43938.0</v>
      </c>
      <c r="C901" s="4" t="s">
        <v>21</v>
      </c>
    </row>
    <row r="902" ht="15.75" customHeight="1">
      <c r="A902" s="4" t="s">
        <v>906</v>
      </c>
      <c r="B902" s="5">
        <v>43938.0</v>
      </c>
      <c r="C902" s="4" t="s">
        <v>21</v>
      </c>
    </row>
    <row r="903" ht="15.75" customHeight="1">
      <c r="A903" s="4" t="s">
        <v>907</v>
      </c>
      <c r="B903" s="5">
        <v>43939.0</v>
      </c>
      <c r="C903" s="4" t="s">
        <v>21</v>
      </c>
    </row>
    <row r="904" ht="15.75" customHeight="1">
      <c r="A904" s="4" t="s">
        <v>908</v>
      </c>
      <c r="B904" s="5">
        <v>43939.0</v>
      </c>
      <c r="C904" s="4" t="s">
        <v>21</v>
      </c>
    </row>
    <row r="905" ht="15.75" customHeight="1">
      <c r="A905" s="4" t="s">
        <v>909</v>
      </c>
      <c r="B905" s="5">
        <v>43940.0</v>
      </c>
      <c r="C905" s="4" t="s">
        <v>21</v>
      </c>
    </row>
    <row r="906" ht="15.75" customHeight="1">
      <c r="A906" s="4" t="s">
        <v>910</v>
      </c>
      <c r="B906" s="5">
        <v>43940.0</v>
      </c>
      <c r="C906" s="4" t="s">
        <v>6</v>
      </c>
    </row>
    <row r="907" ht="15.75" customHeight="1">
      <c r="A907" s="4" t="s">
        <v>911</v>
      </c>
      <c r="B907" s="5">
        <v>43940.0</v>
      </c>
      <c r="C907" s="4" t="s">
        <v>6</v>
      </c>
    </row>
    <row r="908" ht="15.75" customHeight="1">
      <c r="A908" s="4" t="s">
        <v>912</v>
      </c>
      <c r="B908" s="5">
        <v>43940.0</v>
      </c>
      <c r="C908" s="4" t="s">
        <v>21</v>
      </c>
    </row>
    <row r="909" ht="15.75" customHeight="1">
      <c r="A909" s="4" t="s">
        <v>913</v>
      </c>
      <c r="B909" s="5">
        <v>43941.0</v>
      </c>
      <c r="C909" s="4" t="s">
        <v>6</v>
      </c>
    </row>
    <row r="910" ht="15.75" customHeight="1">
      <c r="A910" s="4" t="s">
        <v>914</v>
      </c>
      <c r="B910" s="5">
        <v>43941.0</v>
      </c>
      <c r="C910" s="4" t="s">
        <v>6</v>
      </c>
    </row>
    <row r="911" ht="15.75" customHeight="1">
      <c r="A911" s="4" t="s">
        <v>915</v>
      </c>
      <c r="B911" s="5">
        <v>43941.0</v>
      </c>
      <c r="C911" s="4" t="s">
        <v>6</v>
      </c>
    </row>
    <row r="912" ht="15.75" customHeight="1">
      <c r="A912" s="4" t="s">
        <v>916</v>
      </c>
      <c r="B912" s="5">
        <v>43941.0</v>
      </c>
      <c r="C912" s="4" t="s">
        <v>21</v>
      </c>
    </row>
    <row r="913" ht="15.75" customHeight="1">
      <c r="A913" s="4" t="s">
        <v>917</v>
      </c>
      <c r="B913" s="5">
        <v>43941.0</v>
      </c>
      <c r="C913" s="4" t="s">
        <v>6</v>
      </c>
    </row>
    <row r="914" ht="15.75" customHeight="1">
      <c r="A914" s="4" t="s">
        <v>918</v>
      </c>
      <c r="B914" s="5">
        <v>43941.0</v>
      </c>
      <c r="C914" s="4" t="s">
        <v>21</v>
      </c>
    </row>
    <row r="915" ht="15.75" customHeight="1">
      <c r="A915" s="4" t="s">
        <v>919</v>
      </c>
      <c r="B915" s="5">
        <v>43941.0</v>
      </c>
      <c r="C915" s="4" t="s">
        <v>6</v>
      </c>
    </row>
    <row r="916" ht="15.75" customHeight="1">
      <c r="A916" s="4" t="s">
        <v>920</v>
      </c>
      <c r="B916" s="5">
        <v>43941.0</v>
      </c>
      <c r="C916" s="4" t="s">
        <v>6</v>
      </c>
    </row>
    <row r="917" ht="15.75" customHeight="1">
      <c r="A917" s="4" t="s">
        <v>921</v>
      </c>
      <c r="B917" s="5">
        <v>43941.0</v>
      </c>
      <c r="C917" s="4" t="s">
        <v>6</v>
      </c>
    </row>
    <row r="918" ht="15.75" customHeight="1">
      <c r="A918" s="4" t="s">
        <v>922</v>
      </c>
      <c r="B918" s="5">
        <v>43942.0</v>
      </c>
      <c r="C918" s="4" t="s">
        <v>6</v>
      </c>
    </row>
    <row r="919" ht="15.75" customHeight="1">
      <c r="A919" s="4" t="s">
        <v>923</v>
      </c>
      <c r="B919" s="5">
        <v>43942.0</v>
      </c>
      <c r="C919" s="4" t="s">
        <v>21</v>
      </c>
    </row>
    <row r="920" ht="15.75" customHeight="1">
      <c r="A920" s="4" t="s">
        <v>924</v>
      </c>
      <c r="B920" s="5">
        <v>43942.0</v>
      </c>
      <c r="C920" s="4" t="s">
        <v>21</v>
      </c>
    </row>
    <row r="921" ht="15.75" customHeight="1">
      <c r="A921" s="4" t="s">
        <v>925</v>
      </c>
      <c r="B921" s="5">
        <v>43942.0</v>
      </c>
      <c r="C921" s="4" t="s">
        <v>6</v>
      </c>
    </row>
    <row r="922" ht="15.75" customHeight="1">
      <c r="A922" s="4" t="s">
        <v>926</v>
      </c>
      <c r="B922" s="5">
        <v>43942.0</v>
      </c>
      <c r="C922" s="4" t="s">
        <v>6</v>
      </c>
    </row>
    <row r="923" ht="15.75" customHeight="1">
      <c r="A923" s="4" t="s">
        <v>927</v>
      </c>
      <c r="B923" s="5">
        <v>43942.0</v>
      </c>
      <c r="C923" s="4" t="s">
        <v>21</v>
      </c>
    </row>
    <row r="924" ht="15.75" customHeight="1">
      <c r="A924" s="4" t="s">
        <v>928</v>
      </c>
      <c r="B924" s="5">
        <v>43942.0</v>
      </c>
      <c r="C924" s="4" t="s">
        <v>21</v>
      </c>
    </row>
    <row r="925" ht="15.75" customHeight="1">
      <c r="A925" s="4" t="s">
        <v>929</v>
      </c>
      <c r="B925" s="5">
        <v>43942.0</v>
      </c>
      <c r="C925" s="4" t="s">
        <v>21</v>
      </c>
    </row>
    <row r="926" ht="15.75" customHeight="1">
      <c r="A926" s="4" t="s">
        <v>930</v>
      </c>
      <c r="B926" s="5">
        <v>43943.0</v>
      </c>
      <c r="C926" s="4" t="s">
        <v>6</v>
      </c>
    </row>
    <row r="927" ht="15.75" customHeight="1">
      <c r="A927" s="4" t="s">
        <v>931</v>
      </c>
      <c r="B927" s="5">
        <v>43943.0</v>
      </c>
      <c r="C927" s="4" t="s">
        <v>6</v>
      </c>
    </row>
    <row r="928" ht="15.75" customHeight="1">
      <c r="A928" s="4" t="s">
        <v>932</v>
      </c>
      <c r="B928" s="5">
        <v>43943.0</v>
      </c>
      <c r="C928" s="4" t="s">
        <v>6</v>
      </c>
    </row>
    <row r="929" ht="15.75" customHeight="1">
      <c r="A929" s="4" t="s">
        <v>933</v>
      </c>
      <c r="B929" s="5">
        <v>43943.0</v>
      </c>
      <c r="C929" s="4" t="s">
        <v>6</v>
      </c>
    </row>
    <row r="930" ht="15.75" customHeight="1">
      <c r="A930" s="4" t="s">
        <v>934</v>
      </c>
      <c r="B930" s="5">
        <v>43943.0</v>
      </c>
      <c r="C930" s="4" t="s">
        <v>21</v>
      </c>
    </row>
    <row r="931" ht="15.75" customHeight="1">
      <c r="A931" s="4" t="s">
        <v>935</v>
      </c>
      <c r="B931" s="5">
        <v>43943.0</v>
      </c>
      <c r="C931" s="4" t="s">
        <v>21</v>
      </c>
    </row>
    <row r="932" ht="15.75" customHeight="1">
      <c r="A932" s="4" t="s">
        <v>936</v>
      </c>
      <c r="B932" s="5">
        <v>43943.0</v>
      </c>
      <c r="C932" s="4" t="s">
        <v>6</v>
      </c>
    </row>
    <row r="933" ht="15.75" customHeight="1">
      <c r="A933" s="4" t="s">
        <v>937</v>
      </c>
      <c r="B933" s="5">
        <v>43943.0</v>
      </c>
      <c r="C933" s="4" t="s">
        <v>6</v>
      </c>
    </row>
    <row r="934" ht="15.75" customHeight="1">
      <c r="A934" s="4" t="s">
        <v>938</v>
      </c>
      <c r="B934" s="5">
        <v>43943.0</v>
      </c>
      <c r="C934" s="4" t="s">
        <v>6</v>
      </c>
    </row>
    <row r="935" ht="15.75" customHeight="1">
      <c r="A935" s="4" t="s">
        <v>939</v>
      </c>
      <c r="B935" s="5">
        <v>43943.0</v>
      </c>
      <c r="C935" s="4" t="s">
        <v>6</v>
      </c>
    </row>
    <row r="936" ht="15.75" customHeight="1">
      <c r="A936" s="4" t="s">
        <v>940</v>
      </c>
      <c r="B936" s="5">
        <v>43944.0</v>
      </c>
      <c r="C936" s="4" t="s">
        <v>6</v>
      </c>
    </row>
    <row r="937" ht="15.75" customHeight="1">
      <c r="A937" s="4" t="s">
        <v>941</v>
      </c>
      <c r="B937" s="5">
        <v>43944.0</v>
      </c>
      <c r="C937" s="4" t="s">
        <v>6</v>
      </c>
    </row>
    <row r="938" ht="15.75" customHeight="1">
      <c r="A938" s="4" t="s">
        <v>942</v>
      </c>
      <c r="B938" s="5">
        <v>43944.0</v>
      </c>
      <c r="C938" s="4" t="s">
        <v>6</v>
      </c>
    </row>
    <row r="939" ht="15.75" customHeight="1">
      <c r="A939" s="4" t="s">
        <v>943</v>
      </c>
      <c r="B939" s="5">
        <v>43944.0</v>
      </c>
      <c r="C939" s="4" t="s">
        <v>6</v>
      </c>
    </row>
    <row r="940" ht="15.75" customHeight="1">
      <c r="A940" s="4" t="s">
        <v>944</v>
      </c>
      <c r="B940" s="5">
        <v>43944.0</v>
      </c>
      <c r="C940" s="4" t="s">
        <v>6</v>
      </c>
    </row>
    <row r="941" ht="15.75" customHeight="1">
      <c r="A941" s="4" t="s">
        <v>945</v>
      </c>
      <c r="B941" s="5">
        <v>43944.0</v>
      </c>
      <c r="C941" s="4" t="s">
        <v>6</v>
      </c>
    </row>
    <row r="942" ht="15.75" customHeight="1">
      <c r="A942" s="4" t="s">
        <v>946</v>
      </c>
      <c r="B942" s="5">
        <v>43944.0</v>
      </c>
      <c r="C942" s="4" t="s">
        <v>6</v>
      </c>
    </row>
    <row r="943" ht="15.75" customHeight="1">
      <c r="A943" s="4" t="s">
        <v>947</v>
      </c>
      <c r="B943" s="5">
        <v>43944.0</v>
      </c>
      <c r="C943" s="4" t="s">
        <v>6</v>
      </c>
    </row>
    <row r="944" ht="15.75" customHeight="1">
      <c r="A944" s="4" t="s">
        <v>948</v>
      </c>
      <c r="B944" s="5">
        <v>43944.0</v>
      </c>
      <c r="C944" s="4" t="s">
        <v>6</v>
      </c>
    </row>
    <row r="945" ht="15.75" customHeight="1">
      <c r="A945" s="4" t="s">
        <v>949</v>
      </c>
      <c r="B945" s="5">
        <v>43944.0</v>
      </c>
      <c r="C945" s="4" t="s">
        <v>6</v>
      </c>
    </row>
    <row r="946" ht="15.75" customHeight="1">
      <c r="A946" s="4" t="s">
        <v>950</v>
      </c>
      <c r="B946" s="5">
        <v>43944.0</v>
      </c>
      <c r="C946" s="4" t="s">
        <v>6</v>
      </c>
    </row>
    <row r="947" ht="15.75" customHeight="1">
      <c r="A947" s="4" t="s">
        <v>951</v>
      </c>
      <c r="B947" s="5">
        <v>43944.0</v>
      </c>
      <c r="C947" s="4" t="s">
        <v>6</v>
      </c>
    </row>
    <row r="948" ht="15.75" customHeight="1">
      <c r="A948" s="4" t="s">
        <v>952</v>
      </c>
      <c r="B948" s="5">
        <v>43945.0</v>
      </c>
      <c r="C948" s="4" t="s">
        <v>6</v>
      </c>
    </row>
    <row r="949" ht="15.75" customHeight="1">
      <c r="A949" s="4" t="s">
        <v>953</v>
      </c>
      <c r="B949" s="5">
        <v>43945.0</v>
      </c>
      <c r="C949" s="4" t="s">
        <v>6</v>
      </c>
    </row>
    <row r="950" ht="15.75" customHeight="1">
      <c r="A950" s="4" t="s">
        <v>954</v>
      </c>
      <c r="B950" s="5">
        <v>43945.0</v>
      </c>
      <c r="C950" s="4" t="s">
        <v>6</v>
      </c>
    </row>
    <row r="951" ht="15.75" customHeight="1">
      <c r="A951" s="4" t="s">
        <v>955</v>
      </c>
      <c r="B951" s="5">
        <v>43945.0</v>
      </c>
      <c r="C951" s="4" t="s">
        <v>6</v>
      </c>
    </row>
    <row r="952" ht="15.75" customHeight="1">
      <c r="A952" s="4" t="s">
        <v>956</v>
      </c>
      <c r="B952" s="5">
        <v>43945.0</v>
      </c>
      <c r="C952" s="4" t="s">
        <v>6</v>
      </c>
    </row>
    <row r="953" ht="15.75" customHeight="1">
      <c r="A953" s="4" t="s">
        <v>957</v>
      </c>
      <c r="B953" s="5">
        <v>43945.0</v>
      </c>
      <c r="C953" s="4" t="s">
        <v>6</v>
      </c>
    </row>
    <row r="954" ht="15.75" customHeight="1">
      <c r="A954" s="4" t="s">
        <v>958</v>
      </c>
      <c r="B954" s="5">
        <v>43945.0</v>
      </c>
      <c r="C954" s="4" t="s">
        <v>6</v>
      </c>
    </row>
    <row r="955" ht="15.75" customHeight="1">
      <c r="A955" s="4" t="s">
        <v>959</v>
      </c>
      <c r="B955" s="5">
        <v>43945.0</v>
      </c>
      <c r="C955" s="4" t="s">
        <v>6</v>
      </c>
    </row>
    <row r="956" ht="15.75" customHeight="1">
      <c r="A956" s="4" t="s">
        <v>960</v>
      </c>
      <c r="B956" s="5">
        <v>43945.0</v>
      </c>
      <c r="C956" s="4" t="s">
        <v>6</v>
      </c>
    </row>
    <row r="957" ht="15.75" customHeight="1">
      <c r="A957" s="4" t="s">
        <v>961</v>
      </c>
      <c r="B957" s="5">
        <v>43945.0</v>
      </c>
      <c r="C957" s="4" t="s">
        <v>6</v>
      </c>
    </row>
    <row r="958" ht="15.75" customHeight="1">
      <c r="A958" s="4" t="s">
        <v>962</v>
      </c>
      <c r="B958" s="5">
        <v>43946.0</v>
      </c>
      <c r="C958" s="4" t="s">
        <v>6</v>
      </c>
    </row>
    <row r="959" ht="15.75" customHeight="1">
      <c r="A959" s="4" t="s">
        <v>963</v>
      </c>
      <c r="B959" s="5">
        <v>43946.0</v>
      </c>
      <c r="C959" s="4" t="s">
        <v>6</v>
      </c>
    </row>
    <row r="960" ht="15.75" customHeight="1">
      <c r="A960" s="4" t="s">
        <v>964</v>
      </c>
      <c r="B960" s="5">
        <v>43947.0</v>
      </c>
      <c r="C960" s="4" t="s">
        <v>6</v>
      </c>
    </row>
    <row r="961" ht="15.75" customHeight="1">
      <c r="A961" s="4" t="s">
        <v>965</v>
      </c>
      <c r="B961" s="5">
        <v>43947.0</v>
      </c>
      <c r="C961" s="4" t="s">
        <v>6</v>
      </c>
    </row>
    <row r="962" ht="15.75" customHeight="1">
      <c r="A962" s="4" t="s">
        <v>966</v>
      </c>
      <c r="B962" s="5">
        <v>43948.0</v>
      </c>
      <c r="C962" s="4" t="s">
        <v>6</v>
      </c>
    </row>
    <row r="963" ht="15.75" customHeight="1">
      <c r="A963" s="4" t="s">
        <v>967</v>
      </c>
      <c r="B963" s="5">
        <v>43948.0</v>
      </c>
      <c r="C963" s="4" t="s">
        <v>6</v>
      </c>
    </row>
    <row r="964" ht="15.75" customHeight="1">
      <c r="A964" s="4" t="s">
        <v>968</v>
      </c>
      <c r="B964" s="5">
        <v>43948.0</v>
      </c>
      <c r="C964" s="4" t="s">
        <v>6</v>
      </c>
    </row>
    <row r="965" ht="15.75" customHeight="1">
      <c r="A965" s="4" t="s">
        <v>969</v>
      </c>
      <c r="B965" s="5">
        <v>43948.0</v>
      </c>
      <c r="C965" s="4" t="s">
        <v>6</v>
      </c>
    </row>
    <row r="966" ht="15.75" customHeight="1">
      <c r="A966" s="4" t="s">
        <v>970</v>
      </c>
      <c r="B966" s="5">
        <v>43948.0</v>
      </c>
      <c r="C966" s="4" t="s">
        <v>6</v>
      </c>
    </row>
    <row r="967" ht="15.75" customHeight="1">
      <c r="A967" s="4" t="s">
        <v>971</v>
      </c>
      <c r="B967" s="5">
        <v>43948.0</v>
      </c>
      <c r="C967" s="4" t="s">
        <v>6</v>
      </c>
    </row>
    <row r="968" ht="15.75" customHeight="1">
      <c r="A968" s="4" t="s">
        <v>972</v>
      </c>
      <c r="B968" s="5">
        <v>43949.0</v>
      </c>
      <c r="C968" s="4" t="s">
        <v>6</v>
      </c>
    </row>
    <row r="969" ht="15.75" customHeight="1">
      <c r="A969" s="4" t="s">
        <v>973</v>
      </c>
      <c r="B969" s="5">
        <v>43949.0</v>
      </c>
      <c r="C969" s="4" t="s">
        <v>6</v>
      </c>
    </row>
    <row r="970" ht="15.75" customHeight="1">
      <c r="A970" s="4" t="s">
        <v>974</v>
      </c>
      <c r="B970" s="5">
        <v>43949.0</v>
      </c>
      <c r="C970" s="4" t="s">
        <v>6</v>
      </c>
    </row>
    <row r="971" ht="15.75" customHeight="1">
      <c r="A971" s="4" t="s">
        <v>975</v>
      </c>
      <c r="B971" s="5">
        <v>43949.0</v>
      </c>
      <c r="C971" s="4" t="s">
        <v>6</v>
      </c>
    </row>
    <row r="972" ht="15.75" customHeight="1">
      <c r="A972" s="4" t="s">
        <v>976</v>
      </c>
      <c r="B972" s="5">
        <v>43949.0</v>
      </c>
      <c r="C972" s="4" t="s">
        <v>6</v>
      </c>
    </row>
    <row r="973" ht="15.75" customHeight="1">
      <c r="A973" s="4" t="s">
        <v>977</v>
      </c>
      <c r="B973" s="5">
        <v>43949.0</v>
      </c>
      <c r="C973" s="4" t="s">
        <v>6</v>
      </c>
    </row>
    <row r="974" ht="15.75" customHeight="1">
      <c r="A974" s="4" t="s">
        <v>978</v>
      </c>
      <c r="B974" s="5">
        <v>43949.0</v>
      </c>
      <c r="C974" s="4" t="s">
        <v>6</v>
      </c>
    </row>
    <row r="975" ht="15.75" customHeight="1">
      <c r="A975" s="4" t="s">
        <v>979</v>
      </c>
      <c r="B975" s="5">
        <v>43949.0</v>
      </c>
      <c r="C975" s="4" t="s">
        <v>6</v>
      </c>
    </row>
    <row r="976" ht="15.75" customHeight="1">
      <c r="A976" s="4" t="s">
        <v>980</v>
      </c>
      <c r="B976" s="5">
        <v>43950.0</v>
      </c>
      <c r="C976" s="4" t="s">
        <v>6</v>
      </c>
    </row>
    <row r="977" ht="15.75" customHeight="1">
      <c r="A977" s="4" t="s">
        <v>981</v>
      </c>
      <c r="B977" s="5">
        <v>43950.0</v>
      </c>
      <c r="C977" s="4" t="s">
        <v>6</v>
      </c>
    </row>
    <row r="978" ht="15.75" customHeight="1">
      <c r="A978" s="4" t="s">
        <v>982</v>
      </c>
      <c r="B978" s="5">
        <v>43950.0</v>
      </c>
      <c r="C978" s="4" t="s">
        <v>6</v>
      </c>
    </row>
    <row r="979" ht="15.75" customHeight="1">
      <c r="A979" s="4" t="s">
        <v>983</v>
      </c>
      <c r="B979" s="5">
        <v>43950.0</v>
      </c>
      <c r="C979" s="4" t="s">
        <v>6</v>
      </c>
    </row>
    <row r="980" ht="15.75" customHeight="1">
      <c r="A980" s="4" t="s">
        <v>984</v>
      </c>
      <c r="B980" s="5">
        <v>43950.0</v>
      </c>
      <c r="C980" s="4" t="s">
        <v>6</v>
      </c>
    </row>
    <row r="981" ht="15.75" customHeight="1">
      <c r="A981" s="4" t="s">
        <v>985</v>
      </c>
      <c r="B981" s="5">
        <v>43950.0</v>
      </c>
      <c r="C981" s="4" t="s">
        <v>6</v>
      </c>
    </row>
    <row r="982" ht="15.75" customHeight="1">
      <c r="A982" s="4" t="s">
        <v>986</v>
      </c>
      <c r="B982" s="5">
        <v>43950.0</v>
      </c>
      <c r="C982" s="4" t="s">
        <v>6</v>
      </c>
    </row>
    <row r="983" ht="15.75" customHeight="1">
      <c r="A983" s="4" t="s">
        <v>987</v>
      </c>
      <c r="B983" s="5">
        <v>43950.0</v>
      </c>
      <c r="C983" s="4" t="s">
        <v>6</v>
      </c>
    </row>
    <row r="984" ht="15.75" customHeight="1">
      <c r="A984" s="4" t="s">
        <v>988</v>
      </c>
      <c r="B984" s="5">
        <v>43950.0</v>
      </c>
      <c r="C984" s="4" t="s">
        <v>6</v>
      </c>
    </row>
    <row r="985" ht="15.75" customHeight="1">
      <c r="A985" s="4" t="s">
        <v>989</v>
      </c>
      <c r="B985" s="5">
        <v>43951.0</v>
      </c>
      <c r="C985" s="4" t="s">
        <v>6</v>
      </c>
    </row>
    <row r="986" ht="15.75" customHeight="1">
      <c r="A986" s="4" t="s">
        <v>990</v>
      </c>
      <c r="B986" s="5">
        <v>43951.0</v>
      </c>
      <c r="C986" s="4" t="s">
        <v>6</v>
      </c>
    </row>
    <row r="987" ht="15.75" customHeight="1">
      <c r="A987" s="4" t="s">
        <v>991</v>
      </c>
      <c r="B987" s="5">
        <v>43951.0</v>
      </c>
      <c r="C987" s="4" t="s">
        <v>6</v>
      </c>
    </row>
    <row r="988" ht="15.75" customHeight="1">
      <c r="A988" s="4" t="s">
        <v>992</v>
      </c>
      <c r="B988" s="5">
        <v>43951.0</v>
      </c>
      <c r="C988" s="4" t="s">
        <v>6</v>
      </c>
    </row>
    <row r="989" ht="15.75" customHeight="1">
      <c r="A989" s="4" t="s">
        <v>993</v>
      </c>
      <c r="B989" s="5">
        <v>43951.0</v>
      </c>
      <c r="C989" s="4" t="s">
        <v>6</v>
      </c>
    </row>
    <row r="990" ht="15.75" customHeight="1">
      <c r="A990" s="4" t="s">
        <v>994</v>
      </c>
      <c r="B990" s="5">
        <v>43952.0</v>
      </c>
      <c r="C990" s="4" t="s">
        <v>6</v>
      </c>
    </row>
    <row r="991" ht="15.75" customHeight="1">
      <c r="A991" s="4" t="s">
        <v>995</v>
      </c>
      <c r="B991" s="5">
        <v>43952.0</v>
      </c>
      <c r="C991" s="4" t="s">
        <v>6</v>
      </c>
    </row>
    <row r="992" ht="15.75" customHeight="1">
      <c r="A992" s="4" t="s">
        <v>996</v>
      </c>
      <c r="B992" s="5">
        <v>43952.0</v>
      </c>
      <c r="C992" s="4" t="s">
        <v>6</v>
      </c>
    </row>
    <row r="993" ht="15.75" customHeight="1">
      <c r="A993" s="4" t="s">
        <v>997</v>
      </c>
      <c r="B993" s="5">
        <v>43952.0</v>
      </c>
      <c r="C993" s="4" t="s">
        <v>6</v>
      </c>
    </row>
    <row r="994" ht="15.75" customHeight="1">
      <c r="A994" s="4" t="s">
        <v>998</v>
      </c>
      <c r="B994" s="5">
        <v>43952.0</v>
      </c>
      <c r="C994" s="4" t="s">
        <v>6</v>
      </c>
    </row>
    <row r="995" ht="15.75" customHeight="1">
      <c r="A995" s="4" t="s">
        <v>999</v>
      </c>
      <c r="B995" s="5">
        <v>43952.0</v>
      </c>
      <c r="C995" s="4" t="s">
        <v>6</v>
      </c>
    </row>
    <row r="996" ht="15.75" customHeight="1">
      <c r="A996" s="4" t="s">
        <v>1000</v>
      </c>
      <c r="B996" s="5">
        <v>43953.0</v>
      </c>
      <c r="C996" s="4" t="s">
        <v>6</v>
      </c>
    </row>
    <row r="997" ht="15.75" customHeight="1">
      <c r="A997" s="4" t="s">
        <v>1001</v>
      </c>
      <c r="B997" s="5">
        <v>43953.0</v>
      </c>
      <c r="C997" s="4" t="s">
        <v>6</v>
      </c>
    </row>
    <row r="998" ht="15.75" customHeight="1">
      <c r="A998" s="4" t="s">
        <v>1002</v>
      </c>
      <c r="B998" s="5">
        <v>43953.0</v>
      </c>
      <c r="C998" s="4" t="s">
        <v>6</v>
      </c>
    </row>
    <row r="999" ht="15.75" customHeight="1">
      <c r="A999" s="4" t="s">
        <v>1003</v>
      </c>
      <c r="B999" s="5">
        <v>43953.0</v>
      </c>
      <c r="C999" s="4" t="s">
        <v>6</v>
      </c>
    </row>
    <row r="1000" ht="15.75" customHeight="1">
      <c r="A1000" s="4" t="s">
        <v>1004</v>
      </c>
      <c r="B1000" s="5">
        <v>43955.0</v>
      </c>
      <c r="C1000" s="4" t="s">
        <v>6</v>
      </c>
    </row>
    <row r="1001" ht="15.75" customHeight="1">
      <c r="A1001" s="4" t="s">
        <v>1005</v>
      </c>
      <c r="B1001" s="5">
        <v>43955.0</v>
      </c>
      <c r="C1001" s="4" t="s">
        <v>6</v>
      </c>
    </row>
    <row r="1002" ht="15.75" customHeight="1">
      <c r="A1002" s="4" t="s">
        <v>1006</v>
      </c>
      <c r="B1002" s="5">
        <v>43955.0</v>
      </c>
      <c r="C1002" s="4" t="s">
        <v>6</v>
      </c>
    </row>
    <row r="1003" ht="15.75" customHeight="1">
      <c r="A1003" s="4" t="s">
        <v>1007</v>
      </c>
      <c r="B1003" s="5">
        <v>43955.0</v>
      </c>
      <c r="C1003" s="4" t="s">
        <v>6</v>
      </c>
    </row>
    <row r="1004" ht="15.75" customHeight="1">
      <c r="A1004" s="4" t="s">
        <v>1008</v>
      </c>
      <c r="B1004" s="5">
        <v>43955.0</v>
      </c>
      <c r="C1004" s="4" t="s">
        <v>6</v>
      </c>
    </row>
    <row r="1005" ht="15.75" customHeight="1">
      <c r="A1005" s="4" t="s">
        <v>1009</v>
      </c>
      <c r="B1005" s="5">
        <v>43955.0</v>
      </c>
      <c r="C1005" s="4" t="s">
        <v>6</v>
      </c>
    </row>
    <row r="1006" ht="15.75" customHeight="1">
      <c r="A1006" s="4" t="s">
        <v>1010</v>
      </c>
      <c r="B1006" s="5">
        <v>43955.0</v>
      </c>
      <c r="C1006" s="4" t="s">
        <v>6</v>
      </c>
    </row>
    <row r="1007" ht="15.75" customHeight="1">
      <c r="A1007" s="4" t="s">
        <v>1011</v>
      </c>
      <c r="B1007" s="5">
        <v>43955.0</v>
      </c>
      <c r="C1007" s="4" t="s">
        <v>6</v>
      </c>
    </row>
    <row r="1008" ht="15.75" customHeight="1">
      <c r="A1008" s="4" t="s">
        <v>1012</v>
      </c>
      <c r="B1008" s="5">
        <v>43955.0</v>
      </c>
      <c r="C1008" s="4" t="s">
        <v>6</v>
      </c>
    </row>
    <row r="1009" ht="15.75" customHeight="1">
      <c r="A1009" s="4" t="s">
        <v>1013</v>
      </c>
      <c r="B1009" s="5">
        <v>43955.0</v>
      </c>
      <c r="C1009" s="4" t="s">
        <v>6</v>
      </c>
    </row>
    <row r="1010" ht="15.75" customHeight="1">
      <c r="A1010" s="4" t="s">
        <v>1014</v>
      </c>
      <c r="B1010" s="5">
        <v>43956.0</v>
      </c>
      <c r="C1010" s="4" t="s">
        <v>6</v>
      </c>
    </row>
    <row r="1011" ht="15.75" customHeight="1">
      <c r="A1011" s="4" t="s">
        <v>1015</v>
      </c>
      <c r="B1011" s="5">
        <v>43956.0</v>
      </c>
      <c r="C1011" s="4" t="s">
        <v>6</v>
      </c>
    </row>
    <row r="1012" ht="15.75" customHeight="1">
      <c r="A1012" s="4" t="s">
        <v>1016</v>
      </c>
      <c r="B1012" s="5">
        <v>43956.0</v>
      </c>
      <c r="C1012" s="4" t="s">
        <v>6</v>
      </c>
    </row>
    <row r="1013" ht="15.75" customHeight="1">
      <c r="A1013" s="4" t="s">
        <v>1017</v>
      </c>
      <c r="B1013" s="5">
        <v>44000.0</v>
      </c>
      <c r="C1013" s="4" t="s">
        <v>6</v>
      </c>
    </row>
    <row r="1014" ht="15.75" customHeight="1">
      <c r="A1014" s="4" t="s">
        <v>1018</v>
      </c>
      <c r="B1014" s="5">
        <v>43956.0</v>
      </c>
      <c r="C1014" s="4" t="s">
        <v>6</v>
      </c>
    </row>
    <row r="1015" ht="15.75" customHeight="1">
      <c r="A1015" s="4" t="s">
        <v>1019</v>
      </c>
      <c r="B1015" s="5">
        <v>43956.0</v>
      </c>
      <c r="C1015" s="4" t="s">
        <v>6</v>
      </c>
    </row>
    <row r="1016" ht="15.75" customHeight="1">
      <c r="A1016" s="4" t="s">
        <v>1020</v>
      </c>
      <c r="B1016" s="5">
        <v>43956.0</v>
      </c>
      <c r="C1016" s="4" t="s">
        <v>6</v>
      </c>
    </row>
    <row r="1017" ht="15.75" customHeight="1">
      <c r="A1017" s="4" t="s">
        <v>1021</v>
      </c>
      <c r="B1017" s="5">
        <v>43956.0</v>
      </c>
      <c r="C1017" s="4" t="s">
        <v>6</v>
      </c>
    </row>
    <row r="1018" ht="15.75" customHeight="1">
      <c r="A1018" s="4" t="s">
        <v>1022</v>
      </c>
      <c r="B1018" s="5">
        <v>43956.0</v>
      </c>
      <c r="C1018" s="4" t="s">
        <v>6</v>
      </c>
    </row>
    <row r="1019" ht="15.75" customHeight="1">
      <c r="A1019" s="4" t="s">
        <v>1023</v>
      </c>
      <c r="B1019" s="5">
        <v>43957.0</v>
      </c>
      <c r="C1019" s="4" t="s">
        <v>6</v>
      </c>
    </row>
    <row r="1020" ht="15.75" customHeight="1">
      <c r="A1020" s="4" t="s">
        <v>1024</v>
      </c>
      <c r="B1020" s="5">
        <v>43957.0</v>
      </c>
      <c r="C1020" s="4" t="s">
        <v>6</v>
      </c>
    </row>
    <row r="1021" ht="15.75" customHeight="1">
      <c r="A1021" s="4" t="s">
        <v>1025</v>
      </c>
      <c r="B1021" s="5">
        <v>43957.0</v>
      </c>
      <c r="C1021" s="4" t="s">
        <v>6</v>
      </c>
    </row>
    <row r="1022" ht="15.75" customHeight="1">
      <c r="A1022" s="4" t="s">
        <v>1026</v>
      </c>
      <c r="B1022" s="5">
        <v>43957.0</v>
      </c>
      <c r="C1022" s="4" t="s">
        <v>6</v>
      </c>
    </row>
    <row r="1023" ht="15.75" customHeight="1">
      <c r="A1023" s="4" t="s">
        <v>1027</v>
      </c>
      <c r="B1023" s="5">
        <v>43957.0</v>
      </c>
      <c r="C1023" s="4" t="s">
        <v>6</v>
      </c>
    </row>
    <row r="1024" ht="15.75" customHeight="1">
      <c r="A1024" s="4" t="s">
        <v>1028</v>
      </c>
      <c r="B1024" s="5">
        <v>43958.0</v>
      </c>
      <c r="C1024" s="4" t="s">
        <v>6</v>
      </c>
    </row>
    <row r="1025" ht="15.75" customHeight="1">
      <c r="A1025" s="4" t="s">
        <v>1029</v>
      </c>
      <c r="B1025" s="5">
        <v>43958.0</v>
      </c>
      <c r="C1025" s="4" t="s">
        <v>21</v>
      </c>
    </row>
    <row r="1026" ht="15.75" customHeight="1">
      <c r="A1026" s="4" t="s">
        <v>1030</v>
      </c>
      <c r="B1026" s="5">
        <v>43958.0</v>
      </c>
      <c r="C1026" s="4" t="s">
        <v>6</v>
      </c>
    </row>
    <row r="1027" ht="15.75" customHeight="1">
      <c r="A1027" s="4" t="s">
        <v>1031</v>
      </c>
      <c r="B1027" s="5">
        <v>43958.0</v>
      </c>
      <c r="C1027" s="4" t="s">
        <v>6</v>
      </c>
    </row>
    <row r="1028" ht="15.75" customHeight="1">
      <c r="A1028" s="4" t="s">
        <v>1032</v>
      </c>
      <c r="B1028" s="5">
        <v>43959.0</v>
      </c>
      <c r="C1028" s="4" t="s">
        <v>6</v>
      </c>
    </row>
    <row r="1029" ht="15.75" customHeight="1">
      <c r="A1029" s="4" t="s">
        <v>1033</v>
      </c>
      <c r="B1029" s="5">
        <v>43959.0</v>
      </c>
      <c r="C1029" s="4" t="s">
        <v>6</v>
      </c>
    </row>
    <row r="1030" ht="15.75" customHeight="1">
      <c r="A1030" s="4" t="s">
        <v>1034</v>
      </c>
      <c r="B1030" s="5">
        <v>43959.0</v>
      </c>
      <c r="C1030" s="4" t="s">
        <v>6</v>
      </c>
    </row>
    <row r="1031" ht="15.75" customHeight="1">
      <c r="A1031" s="4" t="s">
        <v>1035</v>
      </c>
      <c r="B1031" s="5">
        <v>43959.0</v>
      </c>
      <c r="C1031" s="4" t="s">
        <v>6</v>
      </c>
    </row>
    <row r="1032" ht="15.75" customHeight="1">
      <c r="A1032" s="4" t="s">
        <v>1036</v>
      </c>
      <c r="B1032" s="5">
        <v>43959.0</v>
      </c>
      <c r="C1032" s="4" t="s">
        <v>6</v>
      </c>
    </row>
    <row r="1033" ht="15.75" customHeight="1">
      <c r="A1033" s="4" t="s">
        <v>1037</v>
      </c>
      <c r="B1033" s="5">
        <v>43960.0</v>
      </c>
      <c r="C1033" s="4" t="s">
        <v>6</v>
      </c>
    </row>
    <row r="1034" ht="15.75" customHeight="1">
      <c r="A1034" s="4" t="s">
        <v>1038</v>
      </c>
      <c r="B1034" s="5">
        <v>43960.0</v>
      </c>
      <c r="C1034" s="4" t="s">
        <v>6</v>
      </c>
    </row>
    <row r="1035" ht="15.75" customHeight="1">
      <c r="A1035" s="4" t="s">
        <v>1039</v>
      </c>
      <c r="B1035" s="5">
        <v>43960.0</v>
      </c>
      <c r="C1035" s="4" t="s">
        <v>6</v>
      </c>
    </row>
    <row r="1036" ht="15.75" customHeight="1">
      <c r="A1036" s="4" t="s">
        <v>1040</v>
      </c>
      <c r="B1036" s="5">
        <v>43961.0</v>
      </c>
      <c r="C1036" s="4" t="s">
        <v>6</v>
      </c>
    </row>
    <row r="1037" ht="15.75" customHeight="1">
      <c r="A1037" s="4" t="s">
        <v>1041</v>
      </c>
      <c r="B1037" s="5">
        <v>43961.0</v>
      </c>
      <c r="C1037" s="4" t="s">
        <v>6</v>
      </c>
    </row>
    <row r="1038" ht="15.75" customHeight="1">
      <c r="A1038" s="4" t="s">
        <v>1042</v>
      </c>
      <c r="B1038" s="5">
        <v>43962.0</v>
      </c>
      <c r="C1038" s="4" t="s">
        <v>6</v>
      </c>
    </row>
    <row r="1039" ht="15.75" customHeight="1">
      <c r="A1039" s="4" t="s">
        <v>1043</v>
      </c>
      <c r="B1039" s="5">
        <v>43962.0</v>
      </c>
      <c r="C1039" s="4" t="s">
        <v>6</v>
      </c>
    </row>
    <row r="1040" ht="15.75" customHeight="1">
      <c r="A1040" s="4" t="s">
        <v>1044</v>
      </c>
      <c r="B1040" s="5">
        <v>43962.0</v>
      </c>
      <c r="C1040" s="4" t="s">
        <v>6</v>
      </c>
    </row>
    <row r="1041" ht="15.75" customHeight="1">
      <c r="A1041" s="4" t="s">
        <v>1045</v>
      </c>
      <c r="B1041" s="5">
        <v>43962.0</v>
      </c>
      <c r="C1041" s="4" t="s">
        <v>6</v>
      </c>
    </row>
    <row r="1042" ht="15.75" customHeight="1">
      <c r="A1042" s="4" t="s">
        <v>1046</v>
      </c>
      <c r="B1042" s="5">
        <v>43962.0</v>
      </c>
      <c r="C1042" s="4" t="s">
        <v>6</v>
      </c>
    </row>
    <row r="1043" ht="15.75" customHeight="1">
      <c r="A1043" s="4" t="s">
        <v>1047</v>
      </c>
      <c r="B1043" s="5">
        <v>43962.0</v>
      </c>
      <c r="C1043" s="4" t="s">
        <v>6</v>
      </c>
    </row>
    <row r="1044" ht="15.75" customHeight="1">
      <c r="A1044" s="4" t="s">
        <v>1048</v>
      </c>
      <c r="B1044" s="5">
        <v>43962.0</v>
      </c>
      <c r="C1044" s="4" t="s">
        <v>6</v>
      </c>
    </row>
    <row r="1045" ht="15.75" customHeight="1">
      <c r="A1045" s="4" t="s">
        <v>1049</v>
      </c>
      <c r="B1045" s="5">
        <v>43962.0</v>
      </c>
      <c r="C1045" s="4" t="s">
        <v>6</v>
      </c>
    </row>
    <row r="1046" ht="15.75" customHeight="1">
      <c r="A1046" s="4" t="s">
        <v>1050</v>
      </c>
      <c r="B1046" s="5">
        <v>43962.0</v>
      </c>
      <c r="C1046" s="4" t="s">
        <v>6</v>
      </c>
    </row>
    <row r="1047" ht="15.75" customHeight="1">
      <c r="A1047" s="4" t="s">
        <v>1051</v>
      </c>
      <c r="B1047" s="5">
        <v>43962.0</v>
      </c>
      <c r="C1047" s="4" t="s">
        <v>6</v>
      </c>
    </row>
    <row r="1048" ht="15.75" customHeight="1">
      <c r="A1048" s="4" t="s">
        <v>1052</v>
      </c>
      <c r="B1048" s="5">
        <v>43962.0</v>
      </c>
      <c r="C1048" s="4" t="s">
        <v>6</v>
      </c>
    </row>
    <row r="1049" ht="15.75" customHeight="1">
      <c r="A1049" s="4" t="s">
        <v>1053</v>
      </c>
      <c r="B1049" s="5">
        <v>43962.0</v>
      </c>
      <c r="C1049" s="4" t="s">
        <v>6</v>
      </c>
    </row>
    <row r="1050" ht="15.75" customHeight="1">
      <c r="A1050" s="4" t="s">
        <v>1054</v>
      </c>
      <c r="B1050" s="5">
        <v>43962.0</v>
      </c>
      <c r="C1050" s="4" t="s">
        <v>6</v>
      </c>
    </row>
    <row r="1051" ht="15.75" customHeight="1">
      <c r="A1051" s="4" t="s">
        <v>1055</v>
      </c>
      <c r="B1051" s="5">
        <v>43963.0</v>
      </c>
      <c r="C1051" s="4" t="s">
        <v>6</v>
      </c>
    </row>
    <row r="1052" ht="15.75" customHeight="1">
      <c r="A1052" s="4" t="s">
        <v>1056</v>
      </c>
      <c r="B1052" s="5">
        <v>43963.0</v>
      </c>
      <c r="C1052" s="4" t="s">
        <v>6</v>
      </c>
    </row>
    <row r="1053" ht="15.75" customHeight="1">
      <c r="A1053" s="4" t="s">
        <v>1057</v>
      </c>
      <c r="B1053" s="5">
        <v>43963.0</v>
      </c>
      <c r="C1053" s="4" t="s">
        <v>6</v>
      </c>
    </row>
    <row r="1054" ht="15.75" customHeight="1">
      <c r="A1054" s="4" t="s">
        <v>1058</v>
      </c>
      <c r="B1054" s="5">
        <v>43963.0</v>
      </c>
      <c r="C1054" s="4" t="s">
        <v>6</v>
      </c>
    </row>
    <row r="1055" ht="15.75" customHeight="1">
      <c r="A1055" s="4" t="s">
        <v>1059</v>
      </c>
      <c r="B1055" s="5">
        <v>43963.0</v>
      </c>
      <c r="C1055" s="4" t="s">
        <v>6</v>
      </c>
    </row>
    <row r="1056" ht="15.75" customHeight="1">
      <c r="A1056" s="4" t="s">
        <v>1060</v>
      </c>
      <c r="B1056" s="5">
        <v>43963.0</v>
      </c>
      <c r="C1056" s="4" t="s">
        <v>6</v>
      </c>
    </row>
    <row r="1057" ht="15.75" customHeight="1">
      <c r="A1057" s="4" t="s">
        <v>1061</v>
      </c>
      <c r="B1057" s="5">
        <v>43963.0</v>
      </c>
      <c r="C1057" s="4" t="s">
        <v>6</v>
      </c>
    </row>
    <row r="1058" ht="15.75" customHeight="1">
      <c r="A1058" s="4" t="s">
        <v>1062</v>
      </c>
      <c r="B1058" s="5">
        <v>43963.0</v>
      </c>
      <c r="C1058" s="4" t="s">
        <v>6</v>
      </c>
    </row>
    <row r="1059" ht="15.75" customHeight="1">
      <c r="A1059" s="4" t="s">
        <v>1063</v>
      </c>
      <c r="B1059" s="5">
        <v>43964.0</v>
      </c>
      <c r="C1059" s="4" t="s">
        <v>6</v>
      </c>
    </row>
    <row r="1060" ht="15.75" customHeight="1">
      <c r="A1060" s="4" t="s">
        <v>1064</v>
      </c>
      <c r="B1060" s="5">
        <v>43964.0</v>
      </c>
      <c r="C1060" s="4" t="s">
        <v>6</v>
      </c>
    </row>
    <row r="1061" ht="15.75" customHeight="1">
      <c r="A1061" s="4" t="s">
        <v>1065</v>
      </c>
      <c r="B1061" s="5">
        <v>43965.0</v>
      </c>
      <c r="C1061" s="4" t="s">
        <v>6</v>
      </c>
    </row>
    <row r="1062" ht="15.75" customHeight="1">
      <c r="A1062" s="4" t="s">
        <v>1066</v>
      </c>
      <c r="B1062" s="5">
        <v>43965.0</v>
      </c>
      <c r="C1062" s="4" t="s">
        <v>6</v>
      </c>
    </row>
    <row r="1063" ht="15.75" customHeight="1">
      <c r="A1063" s="4" t="s">
        <v>1067</v>
      </c>
      <c r="B1063" s="5">
        <v>43965.0</v>
      </c>
      <c r="C1063" s="4" t="s">
        <v>6</v>
      </c>
    </row>
    <row r="1064" ht="15.75" customHeight="1">
      <c r="A1064" s="4" t="s">
        <v>1068</v>
      </c>
      <c r="B1064" s="5">
        <v>43965.0</v>
      </c>
      <c r="C1064" s="4" t="s">
        <v>6</v>
      </c>
    </row>
    <row r="1065" ht="15.75" customHeight="1">
      <c r="A1065" s="4" t="s">
        <v>1069</v>
      </c>
      <c r="B1065" s="5">
        <v>43965.0</v>
      </c>
      <c r="C1065" s="4" t="s">
        <v>6</v>
      </c>
    </row>
    <row r="1066" ht="15.75" customHeight="1">
      <c r="A1066" s="4" t="s">
        <v>1070</v>
      </c>
      <c r="B1066" s="5">
        <v>43965.0</v>
      </c>
      <c r="C1066" s="4" t="s">
        <v>6</v>
      </c>
    </row>
    <row r="1067" ht="15.75" customHeight="1">
      <c r="A1067" s="4" t="s">
        <v>1071</v>
      </c>
      <c r="B1067" s="5">
        <v>43966.0</v>
      </c>
      <c r="C1067" s="4" t="s">
        <v>6</v>
      </c>
    </row>
    <row r="1068" ht="15.75" customHeight="1">
      <c r="A1068" s="4" t="s">
        <v>1072</v>
      </c>
      <c r="B1068" s="5">
        <v>43966.0</v>
      </c>
      <c r="C1068" s="4" t="s">
        <v>6</v>
      </c>
    </row>
    <row r="1069" ht="15.75" customHeight="1">
      <c r="A1069" s="4" t="s">
        <v>1073</v>
      </c>
      <c r="B1069" s="5">
        <v>43966.0</v>
      </c>
      <c r="C1069" s="4" t="s">
        <v>6</v>
      </c>
    </row>
    <row r="1070" ht="15.75" customHeight="1">
      <c r="A1070" s="4" t="s">
        <v>1074</v>
      </c>
      <c r="B1070" s="5">
        <v>43966.0</v>
      </c>
      <c r="C1070" s="4" t="s">
        <v>6</v>
      </c>
    </row>
    <row r="1071" ht="15.75" customHeight="1">
      <c r="A1071" s="4" t="s">
        <v>1075</v>
      </c>
      <c r="B1071" s="5">
        <v>43966.0</v>
      </c>
      <c r="C1071" s="4" t="s">
        <v>6</v>
      </c>
    </row>
    <row r="1072" ht="15.75" customHeight="1">
      <c r="A1072" s="4" t="s">
        <v>1076</v>
      </c>
      <c r="B1072" s="5">
        <v>43966.0</v>
      </c>
      <c r="C1072" s="4" t="s">
        <v>6</v>
      </c>
    </row>
    <row r="1073" ht="15.75" customHeight="1">
      <c r="A1073" s="4" t="s">
        <v>1077</v>
      </c>
      <c r="B1073" s="5">
        <v>43966.0</v>
      </c>
      <c r="C1073" s="4" t="s">
        <v>6</v>
      </c>
    </row>
    <row r="1074" ht="15.75" customHeight="1">
      <c r="A1074" s="4" t="s">
        <v>1078</v>
      </c>
      <c r="B1074" s="5">
        <v>43966.0</v>
      </c>
      <c r="C1074" s="4" t="s">
        <v>6</v>
      </c>
    </row>
    <row r="1075" ht="15.75" customHeight="1">
      <c r="A1075" s="4" t="s">
        <v>1079</v>
      </c>
      <c r="B1075" s="5">
        <v>43966.0</v>
      </c>
      <c r="C1075" s="4" t="s">
        <v>6</v>
      </c>
    </row>
    <row r="1076" ht="15.75" customHeight="1">
      <c r="A1076" s="4" t="s">
        <v>1080</v>
      </c>
      <c r="B1076" s="5">
        <v>43966.0</v>
      </c>
      <c r="C1076" s="4" t="s">
        <v>6</v>
      </c>
    </row>
    <row r="1077" ht="15.75" customHeight="1">
      <c r="A1077" s="4" t="s">
        <v>1081</v>
      </c>
      <c r="B1077" s="5">
        <v>43967.0</v>
      </c>
      <c r="C1077" s="4" t="s">
        <v>6</v>
      </c>
    </row>
    <row r="1078" ht="15.75" customHeight="1">
      <c r="A1078" s="4" t="s">
        <v>1082</v>
      </c>
      <c r="B1078" s="5">
        <v>43967.0</v>
      </c>
      <c r="C1078" s="4" t="s">
        <v>6</v>
      </c>
    </row>
    <row r="1079" ht="15.75" customHeight="1">
      <c r="A1079" s="4" t="s">
        <v>1083</v>
      </c>
      <c r="B1079" s="5">
        <v>43967.0</v>
      </c>
      <c r="C1079" s="4" t="s">
        <v>6</v>
      </c>
    </row>
    <row r="1080" ht="15.75" customHeight="1">
      <c r="A1080" s="4" t="s">
        <v>1084</v>
      </c>
      <c r="B1080" s="5">
        <v>43967.0</v>
      </c>
      <c r="C1080" s="4" t="s">
        <v>6</v>
      </c>
    </row>
    <row r="1081" ht="15.75" customHeight="1">
      <c r="A1081" s="4" t="s">
        <v>1085</v>
      </c>
      <c r="B1081" s="5">
        <v>43968.0</v>
      </c>
      <c r="C1081" s="4" t="s">
        <v>6</v>
      </c>
    </row>
    <row r="1082" ht="15.75" customHeight="1">
      <c r="A1082" s="4" t="s">
        <v>1086</v>
      </c>
      <c r="B1082" s="5">
        <v>43968.0</v>
      </c>
      <c r="C1082" s="4" t="s">
        <v>6</v>
      </c>
    </row>
    <row r="1083" ht="15.75" customHeight="1">
      <c r="A1083" s="4" t="s">
        <v>1087</v>
      </c>
      <c r="B1083" s="5">
        <v>43969.0</v>
      </c>
      <c r="C1083" s="4" t="s">
        <v>6</v>
      </c>
    </row>
    <row r="1084" ht="15.75" customHeight="1">
      <c r="A1084" s="4" t="s">
        <v>1088</v>
      </c>
      <c r="B1084" s="5">
        <v>43969.0</v>
      </c>
      <c r="C1084" s="4" t="s">
        <v>6</v>
      </c>
    </row>
    <row r="1085" ht="15.75" customHeight="1">
      <c r="A1085" s="4" t="s">
        <v>1089</v>
      </c>
      <c r="B1085" s="5">
        <v>43969.0</v>
      </c>
      <c r="C1085" s="4" t="s">
        <v>6</v>
      </c>
    </row>
    <row r="1086" ht="15.75" customHeight="1">
      <c r="A1086" s="4" t="s">
        <v>1090</v>
      </c>
      <c r="B1086" s="5">
        <v>43969.0</v>
      </c>
      <c r="C1086" s="4" t="s">
        <v>6</v>
      </c>
    </row>
    <row r="1087" ht="15.75" customHeight="1">
      <c r="A1087" s="4" t="s">
        <v>1091</v>
      </c>
      <c r="B1087" s="5">
        <v>43969.0</v>
      </c>
      <c r="C1087" s="4" t="s">
        <v>6</v>
      </c>
    </row>
    <row r="1088" ht="15.75" customHeight="1">
      <c r="A1088" s="4" t="s">
        <v>1092</v>
      </c>
      <c r="B1088" s="5">
        <v>43969.0</v>
      </c>
      <c r="C1088" s="4" t="s">
        <v>6</v>
      </c>
    </row>
    <row r="1089" ht="15.75" customHeight="1">
      <c r="A1089" s="4" t="s">
        <v>1093</v>
      </c>
      <c r="B1089" s="5">
        <v>43969.0</v>
      </c>
      <c r="C1089" s="4" t="s">
        <v>6</v>
      </c>
    </row>
    <row r="1090" ht="15.75" customHeight="1">
      <c r="A1090" s="4" t="s">
        <v>1094</v>
      </c>
      <c r="B1090" s="5">
        <v>43969.0</v>
      </c>
      <c r="C1090" s="4" t="s">
        <v>6</v>
      </c>
    </row>
    <row r="1091" ht="15.75" customHeight="1">
      <c r="A1091" s="4" t="s">
        <v>1095</v>
      </c>
      <c r="B1091" s="5">
        <v>43969.0</v>
      </c>
      <c r="C1091" s="4" t="s">
        <v>6</v>
      </c>
    </row>
    <row r="1092" ht="15.75" customHeight="1">
      <c r="A1092" s="4" t="s">
        <v>1096</v>
      </c>
      <c r="B1092" s="5">
        <v>43970.0</v>
      </c>
      <c r="C1092" s="4" t="s">
        <v>6</v>
      </c>
    </row>
    <row r="1093" ht="15.75" customHeight="1">
      <c r="A1093" s="4" t="s">
        <v>1097</v>
      </c>
      <c r="B1093" s="5">
        <v>43970.0</v>
      </c>
      <c r="C1093" s="4" t="s">
        <v>6</v>
      </c>
    </row>
    <row r="1094" ht="15.75" customHeight="1">
      <c r="A1094" s="4" t="s">
        <v>1098</v>
      </c>
      <c r="B1094" s="5">
        <v>43970.0</v>
      </c>
      <c r="C1094" s="4" t="s">
        <v>6</v>
      </c>
    </row>
    <row r="1095" ht="15.75" customHeight="1">
      <c r="A1095" s="4" t="s">
        <v>1099</v>
      </c>
      <c r="B1095" s="5">
        <v>43970.0</v>
      </c>
      <c r="C1095" s="4" t="s">
        <v>6</v>
      </c>
    </row>
    <row r="1096" ht="15.75" customHeight="1">
      <c r="A1096" s="4" t="s">
        <v>1100</v>
      </c>
      <c r="B1096" s="5">
        <v>43970.0</v>
      </c>
      <c r="C1096" s="4" t="s">
        <v>4</v>
      </c>
    </row>
    <row r="1097" ht="15.75" customHeight="1">
      <c r="A1097" s="4" t="s">
        <v>1101</v>
      </c>
      <c r="B1097" s="5">
        <v>43970.0</v>
      </c>
      <c r="C1097" s="4" t="s">
        <v>4</v>
      </c>
    </row>
    <row r="1098" ht="15.75" customHeight="1">
      <c r="A1098" s="4" t="s">
        <v>1102</v>
      </c>
      <c r="B1098" s="5">
        <v>43970.0</v>
      </c>
      <c r="C1098" s="4" t="s">
        <v>4</v>
      </c>
    </row>
    <row r="1099" ht="15.75" customHeight="1">
      <c r="A1099" s="4" t="s">
        <v>1103</v>
      </c>
      <c r="B1099" s="5">
        <v>43971.0</v>
      </c>
      <c r="C1099" s="4" t="s">
        <v>4</v>
      </c>
    </row>
    <row r="1100" ht="15.75" customHeight="1">
      <c r="A1100" s="4" t="s">
        <v>1104</v>
      </c>
      <c r="B1100" s="5">
        <v>43971.0</v>
      </c>
      <c r="C1100" s="4" t="s">
        <v>4</v>
      </c>
    </row>
    <row r="1101" ht="15.75" customHeight="1">
      <c r="A1101" s="4" t="s">
        <v>1105</v>
      </c>
      <c r="B1101" s="5">
        <v>43971.0</v>
      </c>
      <c r="C1101" s="4" t="s">
        <v>4</v>
      </c>
    </row>
    <row r="1102" ht="15.75" customHeight="1">
      <c r="A1102" s="4" t="s">
        <v>1106</v>
      </c>
      <c r="B1102" s="5">
        <v>43971.0</v>
      </c>
      <c r="C1102" s="4" t="s">
        <v>4</v>
      </c>
    </row>
    <row r="1103" ht="15.75" customHeight="1">
      <c r="A1103" s="4" t="s">
        <v>1107</v>
      </c>
      <c r="B1103" s="5">
        <v>43971.0</v>
      </c>
      <c r="C1103" s="4" t="s">
        <v>4</v>
      </c>
    </row>
    <row r="1104" ht="15.75" customHeight="1">
      <c r="A1104" s="4" t="s">
        <v>1108</v>
      </c>
      <c r="B1104" s="5">
        <v>43971.0</v>
      </c>
      <c r="C1104" s="4" t="s">
        <v>4</v>
      </c>
    </row>
    <row r="1105" ht="15.75" customHeight="1">
      <c r="A1105" s="4" t="s">
        <v>1109</v>
      </c>
      <c r="B1105" s="5">
        <v>43971.0</v>
      </c>
      <c r="C1105" s="4" t="s">
        <v>4</v>
      </c>
    </row>
    <row r="1106" ht="15.75" customHeight="1">
      <c r="A1106" s="4" t="s">
        <v>1110</v>
      </c>
      <c r="B1106" s="5">
        <v>43971.0</v>
      </c>
      <c r="C1106" s="4" t="s">
        <v>4</v>
      </c>
    </row>
    <row r="1107" ht="15.75" customHeight="1">
      <c r="A1107" s="4" t="s">
        <v>1111</v>
      </c>
      <c r="B1107" s="5">
        <v>43971.0</v>
      </c>
      <c r="C1107" s="4" t="s">
        <v>4</v>
      </c>
    </row>
    <row r="1108" ht="15.75" customHeight="1">
      <c r="A1108" s="4" t="s">
        <v>1112</v>
      </c>
      <c r="B1108" s="5">
        <v>43971.0</v>
      </c>
      <c r="C1108" s="4" t="s">
        <v>4</v>
      </c>
    </row>
    <row r="1109" ht="15.75" customHeight="1">
      <c r="A1109" s="4" t="s">
        <v>1113</v>
      </c>
      <c r="B1109" s="5">
        <v>43971.0</v>
      </c>
      <c r="C1109" s="4" t="s">
        <v>4</v>
      </c>
    </row>
    <row r="1110" ht="15.75" customHeight="1">
      <c r="A1110" s="4" t="s">
        <v>1114</v>
      </c>
      <c r="B1110" s="5">
        <v>43971.0</v>
      </c>
      <c r="C1110" s="4" t="s">
        <v>4</v>
      </c>
    </row>
    <row r="1111" ht="15.75" customHeight="1">
      <c r="A1111" s="4" t="s">
        <v>1115</v>
      </c>
      <c r="B1111" s="5">
        <v>43971.0</v>
      </c>
      <c r="C1111" s="4" t="s">
        <v>4</v>
      </c>
    </row>
    <row r="1112" ht="15.75" customHeight="1">
      <c r="A1112" s="4" t="s">
        <v>1116</v>
      </c>
      <c r="B1112" s="5">
        <v>43971.0</v>
      </c>
      <c r="C1112" s="4" t="s">
        <v>4</v>
      </c>
    </row>
    <row r="1113" ht="15.75" customHeight="1">
      <c r="A1113" s="4" t="s">
        <v>1117</v>
      </c>
      <c r="B1113" s="5">
        <v>43971.0</v>
      </c>
      <c r="C1113" s="4" t="s">
        <v>4</v>
      </c>
    </row>
    <row r="1114" ht="15.75" customHeight="1">
      <c r="A1114" s="4" t="s">
        <v>1118</v>
      </c>
      <c r="B1114" s="5">
        <v>43972.0</v>
      </c>
      <c r="C1114" s="4" t="s">
        <v>4</v>
      </c>
    </row>
    <row r="1115" ht="15.75" customHeight="1">
      <c r="A1115" s="4" t="s">
        <v>1119</v>
      </c>
      <c r="B1115" s="5">
        <v>43972.0</v>
      </c>
      <c r="C1115" s="4" t="s">
        <v>4</v>
      </c>
    </row>
    <row r="1116" ht="15.75" customHeight="1">
      <c r="A1116" s="4" t="s">
        <v>1120</v>
      </c>
      <c r="B1116" s="5">
        <v>43972.0</v>
      </c>
      <c r="C1116" s="4" t="s">
        <v>53</v>
      </c>
    </row>
    <row r="1117" ht="15.75" customHeight="1">
      <c r="A1117" s="4" t="s">
        <v>1121</v>
      </c>
      <c r="B1117" s="5">
        <v>43972.0</v>
      </c>
      <c r="C1117" s="4" t="s">
        <v>53</v>
      </c>
    </row>
    <row r="1118" ht="15.75" customHeight="1">
      <c r="A1118" s="4" t="s">
        <v>1122</v>
      </c>
      <c r="B1118" s="5">
        <v>43972.0</v>
      </c>
      <c r="C1118" s="4" t="s">
        <v>4</v>
      </c>
    </row>
    <row r="1119" ht="15.75" customHeight="1">
      <c r="A1119" s="4" t="s">
        <v>1123</v>
      </c>
      <c r="B1119" s="5">
        <v>43972.0</v>
      </c>
      <c r="C1119" s="4" t="s">
        <v>4</v>
      </c>
    </row>
    <row r="1120" ht="15.75" customHeight="1">
      <c r="A1120" s="4" t="s">
        <v>1124</v>
      </c>
      <c r="B1120" s="5">
        <v>43972.0</v>
      </c>
      <c r="C1120" s="4" t="s">
        <v>4</v>
      </c>
    </row>
    <row r="1121" ht="15.75" customHeight="1">
      <c r="A1121" s="4" t="s">
        <v>1125</v>
      </c>
      <c r="B1121" s="5">
        <v>43972.0</v>
      </c>
      <c r="C1121" s="4" t="s">
        <v>4</v>
      </c>
    </row>
    <row r="1122" ht="15.75" customHeight="1">
      <c r="A1122" s="4" t="s">
        <v>1126</v>
      </c>
      <c r="B1122" s="5">
        <v>43972.0</v>
      </c>
      <c r="C1122" s="4" t="s">
        <v>4</v>
      </c>
    </row>
    <row r="1123" ht="15.75" customHeight="1">
      <c r="A1123" s="4" t="s">
        <v>1127</v>
      </c>
      <c r="B1123" s="5">
        <v>43972.0</v>
      </c>
      <c r="C1123" s="4" t="s">
        <v>4</v>
      </c>
    </row>
    <row r="1124" ht="15.75" customHeight="1">
      <c r="A1124" s="4" t="s">
        <v>1128</v>
      </c>
      <c r="B1124" s="5">
        <v>43972.0</v>
      </c>
      <c r="C1124" s="4" t="s">
        <v>4</v>
      </c>
    </row>
    <row r="1125" ht="15.75" customHeight="1">
      <c r="A1125" s="4" t="s">
        <v>1129</v>
      </c>
      <c r="B1125" s="5">
        <v>43972.0</v>
      </c>
      <c r="C1125" s="4" t="s">
        <v>4</v>
      </c>
    </row>
    <row r="1126" ht="15.75" customHeight="1">
      <c r="A1126" s="4" t="s">
        <v>1130</v>
      </c>
      <c r="B1126" s="5">
        <v>43972.0</v>
      </c>
      <c r="C1126" s="4" t="s">
        <v>4</v>
      </c>
    </row>
    <row r="1127" ht="15.75" customHeight="1">
      <c r="A1127" s="4" t="s">
        <v>1131</v>
      </c>
      <c r="B1127" s="5">
        <v>43972.0</v>
      </c>
      <c r="C1127" s="4" t="s">
        <v>4</v>
      </c>
    </row>
    <row r="1128" ht="15.75" customHeight="1">
      <c r="A1128" s="4" t="s">
        <v>1132</v>
      </c>
      <c r="B1128" s="5">
        <v>43972.0</v>
      </c>
      <c r="C1128" s="4" t="s">
        <v>4</v>
      </c>
    </row>
    <row r="1129" ht="15.75" customHeight="1">
      <c r="A1129" s="4" t="s">
        <v>1133</v>
      </c>
      <c r="B1129" s="5">
        <v>43972.0</v>
      </c>
      <c r="C1129" s="4" t="s">
        <v>4</v>
      </c>
    </row>
    <row r="1130" ht="15.75" customHeight="1">
      <c r="A1130" s="4" t="s">
        <v>1134</v>
      </c>
      <c r="B1130" s="5">
        <v>43972.0</v>
      </c>
      <c r="C1130" s="4" t="s">
        <v>4</v>
      </c>
    </row>
    <row r="1131" ht="15.75" customHeight="1">
      <c r="A1131" s="4" t="s">
        <v>1135</v>
      </c>
      <c r="B1131" s="5">
        <v>43973.0</v>
      </c>
      <c r="C1131" s="4" t="s">
        <v>4</v>
      </c>
    </row>
    <row r="1132" ht="15.75" customHeight="1">
      <c r="A1132" s="4" t="s">
        <v>1136</v>
      </c>
      <c r="B1132" s="5">
        <v>43973.0</v>
      </c>
      <c r="C1132" s="4" t="s">
        <v>4</v>
      </c>
    </row>
    <row r="1133" ht="15.75" customHeight="1">
      <c r="A1133" s="4" t="s">
        <v>1137</v>
      </c>
      <c r="B1133" s="5">
        <v>43973.0</v>
      </c>
      <c r="C1133" s="4" t="s">
        <v>4</v>
      </c>
    </row>
    <row r="1134" ht="15.75" customHeight="1">
      <c r="A1134" s="4" t="s">
        <v>1138</v>
      </c>
      <c r="B1134" s="5">
        <v>43945.0</v>
      </c>
      <c r="C1134" s="4" t="s">
        <v>6</v>
      </c>
    </row>
    <row r="1135" ht="15.75" customHeight="1">
      <c r="A1135" s="4" t="s">
        <v>1139</v>
      </c>
      <c r="B1135" s="5">
        <v>43973.0</v>
      </c>
      <c r="C1135" s="4" t="s">
        <v>4</v>
      </c>
    </row>
    <row r="1136" ht="15.75" customHeight="1">
      <c r="A1136" s="4" t="s">
        <v>1140</v>
      </c>
      <c r="B1136" s="5">
        <v>43973.0</v>
      </c>
      <c r="C1136" s="4" t="s">
        <v>4</v>
      </c>
    </row>
    <row r="1137" ht="15.75" customHeight="1">
      <c r="A1137" s="4" t="s">
        <v>1141</v>
      </c>
      <c r="B1137" s="5">
        <v>43973.0</v>
      </c>
      <c r="C1137" s="4" t="s">
        <v>4</v>
      </c>
    </row>
    <row r="1138" ht="15.75" customHeight="1">
      <c r="A1138" s="4" t="s">
        <v>1142</v>
      </c>
      <c r="B1138" s="5">
        <v>43973.0</v>
      </c>
      <c r="C1138" s="4" t="s">
        <v>4</v>
      </c>
    </row>
    <row r="1139" ht="15.75" customHeight="1">
      <c r="A1139" s="4" t="s">
        <v>1143</v>
      </c>
      <c r="B1139" s="5">
        <v>43973.0</v>
      </c>
      <c r="C1139" s="4" t="s">
        <v>4</v>
      </c>
    </row>
    <row r="1140" ht="15.75" customHeight="1">
      <c r="A1140" s="4" t="s">
        <v>1144</v>
      </c>
      <c r="B1140" s="5">
        <v>43973.0</v>
      </c>
      <c r="C1140" s="4" t="s">
        <v>4</v>
      </c>
    </row>
    <row r="1141" ht="15.75" customHeight="1">
      <c r="A1141" s="4" t="s">
        <v>1145</v>
      </c>
      <c r="B1141" s="5">
        <v>43973.0</v>
      </c>
      <c r="C1141" s="4" t="s">
        <v>4</v>
      </c>
    </row>
    <row r="1142" ht="15.75" customHeight="1">
      <c r="A1142" s="4" t="s">
        <v>1146</v>
      </c>
      <c r="B1142" s="5">
        <v>43973.0</v>
      </c>
      <c r="C1142" s="4" t="s">
        <v>4</v>
      </c>
    </row>
    <row r="1143" ht="15.75" customHeight="1">
      <c r="A1143" s="4" t="s">
        <v>1147</v>
      </c>
      <c r="B1143" s="5">
        <v>43973.0</v>
      </c>
      <c r="C1143" s="4" t="s">
        <v>4</v>
      </c>
    </row>
    <row r="1144" ht="15.75" customHeight="1">
      <c r="A1144" s="4" t="s">
        <v>1148</v>
      </c>
      <c r="B1144" s="5">
        <v>43974.0</v>
      </c>
      <c r="C1144" s="4" t="s">
        <v>4</v>
      </c>
    </row>
    <row r="1145" ht="15.75" customHeight="1">
      <c r="A1145" s="4" t="s">
        <v>1149</v>
      </c>
      <c r="B1145" s="5">
        <v>43974.0</v>
      </c>
      <c r="C1145" s="4" t="s">
        <v>4</v>
      </c>
    </row>
    <row r="1146" ht="15.75" customHeight="1">
      <c r="A1146" s="4" t="s">
        <v>1150</v>
      </c>
      <c r="B1146" s="5">
        <v>43974.0</v>
      </c>
      <c r="C1146" s="4" t="s">
        <v>4</v>
      </c>
    </row>
    <row r="1147" ht="15.75" customHeight="1">
      <c r="A1147" s="4" t="s">
        <v>1151</v>
      </c>
      <c r="B1147" s="5">
        <v>43974.0</v>
      </c>
      <c r="C1147" s="4" t="s">
        <v>4</v>
      </c>
    </row>
    <row r="1148" ht="15.75" customHeight="1">
      <c r="A1148" s="4" t="s">
        <v>1152</v>
      </c>
      <c r="B1148" s="5">
        <v>43974.0</v>
      </c>
      <c r="C1148" s="4" t="s">
        <v>4</v>
      </c>
    </row>
    <row r="1149" ht="15.75" customHeight="1">
      <c r="A1149" s="4" t="s">
        <v>1153</v>
      </c>
      <c r="B1149" s="5">
        <v>43974.0</v>
      </c>
      <c r="C1149" s="4" t="s">
        <v>4</v>
      </c>
    </row>
    <row r="1150" ht="15.75" customHeight="1">
      <c r="A1150" s="4" t="s">
        <v>1154</v>
      </c>
      <c r="B1150" s="5">
        <v>43975.0</v>
      </c>
      <c r="C1150" s="4" t="s">
        <v>4</v>
      </c>
    </row>
    <row r="1151" ht="15.75" customHeight="1">
      <c r="A1151" s="4" t="s">
        <v>1155</v>
      </c>
      <c r="B1151" s="5">
        <v>43975.0</v>
      </c>
      <c r="C1151" s="4" t="s">
        <v>4</v>
      </c>
    </row>
    <row r="1152" ht="15.75" customHeight="1">
      <c r="A1152" s="4" t="s">
        <v>1156</v>
      </c>
      <c r="B1152" s="5">
        <v>43975.0</v>
      </c>
      <c r="C1152" s="4" t="s">
        <v>4</v>
      </c>
    </row>
    <row r="1153" ht="15.75" customHeight="1">
      <c r="A1153" s="4" t="s">
        <v>1157</v>
      </c>
      <c r="B1153" s="5">
        <v>43975.0</v>
      </c>
      <c r="C1153" s="4" t="s">
        <v>4</v>
      </c>
    </row>
    <row r="1154" ht="15.75" customHeight="1">
      <c r="A1154" s="4" t="s">
        <v>1158</v>
      </c>
      <c r="B1154" s="5">
        <v>43975.0</v>
      </c>
      <c r="C1154" s="4" t="s">
        <v>4</v>
      </c>
    </row>
    <row r="1155" ht="15.75" customHeight="1">
      <c r="A1155" s="4" t="s">
        <v>1159</v>
      </c>
      <c r="B1155" s="5">
        <v>43975.0</v>
      </c>
      <c r="C1155" s="4" t="s">
        <v>4</v>
      </c>
    </row>
    <row r="1156" ht="15.75" customHeight="1">
      <c r="A1156" s="4" t="s">
        <v>1160</v>
      </c>
      <c r="B1156" s="5">
        <v>43975.0</v>
      </c>
      <c r="C1156" s="4" t="s">
        <v>4</v>
      </c>
    </row>
    <row r="1157" ht="15.75" customHeight="1">
      <c r="A1157" s="4" t="s">
        <v>1161</v>
      </c>
      <c r="B1157" s="5">
        <v>43975.0</v>
      </c>
      <c r="C1157" s="4" t="s">
        <v>4</v>
      </c>
    </row>
    <row r="1158" ht="15.75" customHeight="1">
      <c r="A1158" s="4" t="s">
        <v>1162</v>
      </c>
      <c r="B1158" s="5">
        <v>43975.0</v>
      </c>
      <c r="C1158" s="4" t="s">
        <v>4</v>
      </c>
    </row>
    <row r="1159" ht="15.75" customHeight="1">
      <c r="A1159" s="4" t="s">
        <v>1163</v>
      </c>
      <c r="B1159" s="5">
        <v>43975.0</v>
      </c>
      <c r="C1159" s="4" t="s">
        <v>4</v>
      </c>
    </row>
    <row r="1160" ht="15.75" customHeight="1">
      <c r="A1160" s="4" t="s">
        <v>1164</v>
      </c>
      <c r="B1160" s="5">
        <v>43975.0</v>
      </c>
      <c r="C1160" s="4" t="s">
        <v>4</v>
      </c>
    </row>
    <row r="1161" ht="15.75" customHeight="1">
      <c r="A1161" s="4" t="s">
        <v>1165</v>
      </c>
      <c r="B1161" s="5">
        <v>43976.0</v>
      </c>
      <c r="C1161" s="4" t="s">
        <v>21</v>
      </c>
    </row>
    <row r="1162" ht="15.75" customHeight="1">
      <c r="A1162" s="4" t="s">
        <v>1166</v>
      </c>
      <c r="B1162" s="5">
        <v>43976.0</v>
      </c>
      <c r="C1162" s="4" t="s">
        <v>21</v>
      </c>
    </row>
    <row r="1163" ht="15.75" customHeight="1">
      <c r="A1163" s="4" t="s">
        <v>1167</v>
      </c>
      <c r="B1163" s="5">
        <v>43976.0</v>
      </c>
      <c r="C1163" s="4" t="s">
        <v>4</v>
      </c>
    </row>
    <row r="1164" ht="15.75" customHeight="1">
      <c r="A1164" s="4" t="s">
        <v>1168</v>
      </c>
      <c r="B1164" s="5">
        <v>43976.0</v>
      </c>
      <c r="C1164" s="4" t="s">
        <v>4</v>
      </c>
    </row>
    <row r="1165" ht="15.75" customHeight="1">
      <c r="A1165" s="4" t="s">
        <v>1169</v>
      </c>
      <c r="B1165" s="5">
        <v>43976.0</v>
      </c>
      <c r="C1165" s="4" t="s">
        <v>4</v>
      </c>
    </row>
    <row r="1166" ht="15.75" customHeight="1">
      <c r="A1166" s="4" t="s">
        <v>1170</v>
      </c>
      <c r="B1166" s="5">
        <v>43976.0</v>
      </c>
      <c r="C1166" s="4" t="s">
        <v>4</v>
      </c>
    </row>
    <row r="1167" ht="15.75" customHeight="1">
      <c r="A1167" s="4" t="s">
        <v>1171</v>
      </c>
      <c r="B1167" s="5">
        <v>43976.0</v>
      </c>
      <c r="C1167" s="4" t="s">
        <v>4</v>
      </c>
    </row>
    <row r="1168" ht="15.75" customHeight="1">
      <c r="A1168" s="4" t="s">
        <v>1172</v>
      </c>
      <c r="B1168" s="5">
        <v>43976.0</v>
      </c>
      <c r="C1168" s="4" t="s">
        <v>4</v>
      </c>
    </row>
    <row r="1169" ht="15.75" customHeight="1">
      <c r="A1169" s="4" t="s">
        <v>1173</v>
      </c>
      <c r="B1169" s="5">
        <v>43976.0</v>
      </c>
      <c r="C1169" s="4" t="s">
        <v>4</v>
      </c>
    </row>
    <row r="1170" ht="15.75" customHeight="1">
      <c r="A1170" s="4" t="s">
        <v>1174</v>
      </c>
      <c r="B1170" s="5">
        <v>43976.0</v>
      </c>
      <c r="C1170" s="4" t="s">
        <v>4</v>
      </c>
    </row>
    <row r="1171" ht="15.75" customHeight="1">
      <c r="A1171" s="4" t="s">
        <v>1175</v>
      </c>
      <c r="B1171" s="5">
        <v>43976.0</v>
      </c>
      <c r="C1171" s="4" t="s">
        <v>4</v>
      </c>
    </row>
    <row r="1172" ht="15.75" customHeight="1">
      <c r="A1172" s="4" t="s">
        <v>1176</v>
      </c>
      <c r="B1172" s="5">
        <v>43976.0</v>
      </c>
      <c r="C1172" s="4" t="s">
        <v>4</v>
      </c>
    </row>
    <row r="1173" ht="15.75" customHeight="1">
      <c r="A1173" s="4" t="s">
        <v>1177</v>
      </c>
      <c r="B1173" s="5">
        <v>43977.0</v>
      </c>
      <c r="C1173" s="4" t="s">
        <v>4</v>
      </c>
    </row>
    <row r="1174" ht="15.75" customHeight="1">
      <c r="A1174" s="4" t="s">
        <v>1178</v>
      </c>
      <c r="B1174" s="5">
        <v>43977.0</v>
      </c>
      <c r="C1174" s="4" t="s">
        <v>4</v>
      </c>
    </row>
    <row r="1175" ht="15.75" customHeight="1">
      <c r="A1175" s="4" t="s">
        <v>1179</v>
      </c>
      <c r="B1175" s="5">
        <v>43977.0</v>
      </c>
      <c r="C1175" s="4" t="s">
        <v>4</v>
      </c>
    </row>
    <row r="1176" ht="15.75" customHeight="1">
      <c r="A1176" s="4" t="s">
        <v>1180</v>
      </c>
      <c r="B1176" s="5">
        <v>43977.0</v>
      </c>
      <c r="C1176" s="4" t="s">
        <v>21</v>
      </c>
    </row>
    <row r="1177" ht="15.75" customHeight="1">
      <c r="A1177" s="4" t="s">
        <v>1180</v>
      </c>
      <c r="B1177" s="5">
        <v>43976.0</v>
      </c>
      <c r="C1177" s="4" t="s">
        <v>4</v>
      </c>
    </row>
    <row r="1178" ht="15.75" customHeight="1">
      <c r="A1178" s="4" t="s">
        <v>1181</v>
      </c>
      <c r="B1178" s="5">
        <v>43977.0</v>
      </c>
      <c r="C1178" s="4" t="s">
        <v>21</v>
      </c>
    </row>
    <row r="1179" ht="15.75" customHeight="1">
      <c r="A1179" s="4" t="s">
        <v>1182</v>
      </c>
      <c r="B1179" s="5">
        <v>43978.0</v>
      </c>
      <c r="C1179" s="4" t="s">
        <v>4</v>
      </c>
    </row>
    <row r="1180" ht="15.75" customHeight="1">
      <c r="A1180" s="4" t="s">
        <v>1183</v>
      </c>
      <c r="B1180" s="5">
        <v>43978.0</v>
      </c>
      <c r="C1180" s="4" t="s">
        <v>4</v>
      </c>
    </row>
    <row r="1181" ht="15.75" customHeight="1">
      <c r="A1181" s="4" t="s">
        <v>1184</v>
      </c>
      <c r="B1181" s="5">
        <v>43978.0</v>
      </c>
      <c r="C1181" s="4" t="s">
        <v>4</v>
      </c>
    </row>
    <row r="1182" ht="15.75" customHeight="1">
      <c r="A1182" s="4" t="s">
        <v>1185</v>
      </c>
      <c r="B1182" s="5">
        <v>43978.0</v>
      </c>
      <c r="C1182" s="4" t="s">
        <v>4</v>
      </c>
    </row>
    <row r="1183" ht="15.75" customHeight="1">
      <c r="A1183" s="4" t="s">
        <v>1186</v>
      </c>
      <c r="B1183" s="5">
        <v>43978.0</v>
      </c>
      <c r="C1183" s="4" t="s">
        <v>4</v>
      </c>
    </row>
    <row r="1184" ht="15.75" customHeight="1">
      <c r="A1184" s="4" t="s">
        <v>1187</v>
      </c>
      <c r="B1184" s="5">
        <v>43978.0</v>
      </c>
      <c r="C1184" s="4" t="s">
        <v>4</v>
      </c>
    </row>
    <row r="1185" ht="15.75" customHeight="1">
      <c r="A1185" s="4" t="s">
        <v>1188</v>
      </c>
      <c r="B1185" s="5">
        <v>43978.0</v>
      </c>
      <c r="C1185" s="4" t="s">
        <v>4</v>
      </c>
    </row>
    <row r="1186" ht="15.75" customHeight="1">
      <c r="A1186" s="4" t="s">
        <v>1189</v>
      </c>
      <c r="B1186" s="5">
        <v>43979.0</v>
      </c>
      <c r="C1186" s="4" t="s">
        <v>4</v>
      </c>
    </row>
    <row r="1187" ht="15.75" customHeight="1">
      <c r="A1187" s="4" t="s">
        <v>1190</v>
      </c>
      <c r="B1187" s="5">
        <v>43979.0</v>
      </c>
      <c r="C1187" s="4" t="s">
        <v>4</v>
      </c>
    </row>
    <row r="1188" ht="15.75" customHeight="1">
      <c r="A1188" s="4" t="s">
        <v>1191</v>
      </c>
      <c r="B1188" s="5">
        <v>43979.0</v>
      </c>
      <c r="C1188" s="4" t="s">
        <v>4</v>
      </c>
    </row>
    <row r="1189" ht="15.75" customHeight="1">
      <c r="A1189" s="4" t="s">
        <v>1192</v>
      </c>
      <c r="B1189" s="5">
        <v>43979.0</v>
      </c>
      <c r="C1189" s="4" t="s">
        <v>4</v>
      </c>
    </row>
    <row r="1190" ht="15.75" customHeight="1">
      <c r="A1190" s="4" t="s">
        <v>1193</v>
      </c>
      <c r="B1190" s="5">
        <v>43979.0</v>
      </c>
      <c r="C1190" s="4" t="s">
        <v>4</v>
      </c>
    </row>
    <row r="1191" ht="15.75" customHeight="1">
      <c r="A1191" s="4" t="s">
        <v>1194</v>
      </c>
      <c r="B1191" s="5">
        <v>43980.0</v>
      </c>
      <c r="C1191" s="4" t="s">
        <v>4</v>
      </c>
    </row>
    <row r="1192" ht="15.75" customHeight="1">
      <c r="A1192" s="4" t="s">
        <v>1195</v>
      </c>
      <c r="B1192" s="5">
        <v>43980.0</v>
      </c>
      <c r="C1192" s="4" t="s">
        <v>4</v>
      </c>
    </row>
    <row r="1193" ht="15.75" customHeight="1">
      <c r="A1193" s="4" t="s">
        <v>1196</v>
      </c>
      <c r="B1193" s="5">
        <v>43980.0</v>
      </c>
      <c r="C1193" s="4" t="s">
        <v>4</v>
      </c>
    </row>
    <row r="1194" ht="15.75" customHeight="1">
      <c r="A1194" s="4" t="s">
        <v>1197</v>
      </c>
      <c r="B1194" s="5">
        <v>43980.0</v>
      </c>
      <c r="C1194" s="4" t="s">
        <v>4</v>
      </c>
    </row>
    <row r="1195" ht="15.75" customHeight="1">
      <c r="A1195" s="4" t="s">
        <v>1198</v>
      </c>
      <c r="B1195" s="5">
        <v>43981.0</v>
      </c>
      <c r="C1195" s="4" t="s">
        <v>4</v>
      </c>
    </row>
    <row r="1196" ht="15.75" customHeight="1">
      <c r="A1196" s="4" t="s">
        <v>1199</v>
      </c>
      <c r="B1196" s="5">
        <v>43981.0</v>
      </c>
      <c r="C1196" s="4" t="s">
        <v>4</v>
      </c>
    </row>
    <row r="1197" ht="15.75" customHeight="1">
      <c r="A1197" s="4" t="s">
        <v>1200</v>
      </c>
      <c r="B1197" s="5">
        <v>43981.0</v>
      </c>
      <c r="C1197" s="4" t="s">
        <v>4</v>
      </c>
    </row>
    <row r="1198" ht="15.75" customHeight="1">
      <c r="A1198" s="4" t="s">
        <v>1201</v>
      </c>
      <c r="B1198" s="5">
        <v>43981.0</v>
      </c>
      <c r="C1198" s="4" t="s">
        <v>4</v>
      </c>
    </row>
    <row r="1199" ht="15.75" customHeight="1">
      <c r="A1199" s="4" t="s">
        <v>1202</v>
      </c>
      <c r="B1199" s="5">
        <v>43982.0</v>
      </c>
      <c r="C1199" s="4" t="s">
        <v>4</v>
      </c>
    </row>
    <row r="1200" ht="15.75" customHeight="1">
      <c r="A1200" s="4" t="s">
        <v>1203</v>
      </c>
      <c r="B1200" s="5">
        <v>43982.0</v>
      </c>
      <c r="C1200" s="4" t="s">
        <v>4</v>
      </c>
    </row>
    <row r="1201" ht="15.75" customHeight="1">
      <c r="A1201" s="4" t="s">
        <v>1204</v>
      </c>
      <c r="B1201" s="5">
        <v>43982.0</v>
      </c>
      <c r="C1201" s="4" t="s">
        <v>4</v>
      </c>
    </row>
    <row r="1202" ht="15.75" customHeight="1">
      <c r="A1202" s="4" t="s">
        <v>1205</v>
      </c>
      <c r="B1202" s="5">
        <v>43983.0</v>
      </c>
      <c r="C1202" s="4" t="s">
        <v>4</v>
      </c>
    </row>
    <row r="1203" ht="15.75" customHeight="1">
      <c r="A1203" s="4" t="s">
        <v>1206</v>
      </c>
      <c r="B1203" s="5">
        <v>43983.0</v>
      </c>
      <c r="C1203" s="4" t="s">
        <v>4</v>
      </c>
    </row>
    <row r="1204" ht="15.75" customHeight="1">
      <c r="A1204" s="4" t="s">
        <v>1207</v>
      </c>
      <c r="B1204" s="5">
        <v>43983.0</v>
      </c>
      <c r="C1204" s="4" t="s">
        <v>4</v>
      </c>
    </row>
    <row r="1205" ht="15.75" customHeight="1">
      <c r="A1205" s="4" t="s">
        <v>1208</v>
      </c>
      <c r="B1205" s="5">
        <v>43983.0</v>
      </c>
      <c r="C1205" s="4" t="s">
        <v>4</v>
      </c>
    </row>
    <row r="1206" ht="15.75" customHeight="1">
      <c r="A1206" s="4" t="s">
        <v>1209</v>
      </c>
      <c r="B1206" s="5">
        <v>43983.0</v>
      </c>
      <c r="C1206" s="4" t="s">
        <v>4</v>
      </c>
    </row>
    <row r="1207" ht="15.75" customHeight="1">
      <c r="A1207" s="4" t="s">
        <v>1210</v>
      </c>
      <c r="B1207" s="5">
        <v>43983.0</v>
      </c>
      <c r="C1207" s="4" t="s">
        <v>4</v>
      </c>
    </row>
    <row r="1208" ht="15.75" customHeight="1">
      <c r="A1208" s="4" t="s">
        <v>1211</v>
      </c>
      <c r="B1208" s="5">
        <v>43983.0</v>
      </c>
      <c r="C1208" s="4" t="s">
        <v>4</v>
      </c>
    </row>
    <row r="1209" ht="15.75" customHeight="1">
      <c r="A1209" s="4" t="s">
        <v>1212</v>
      </c>
      <c r="B1209" s="5">
        <v>43983.0</v>
      </c>
      <c r="C1209" s="4" t="s">
        <v>4</v>
      </c>
    </row>
    <row r="1210" ht="15.75" customHeight="1">
      <c r="A1210" s="4" t="s">
        <v>1213</v>
      </c>
      <c r="B1210" s="5">
        <v>43983.0</v>
      </c>
      <c r="C1210" s="4" t="s">
        <v>4</v>
      </c>
    </row>
    <row r="1211" ht="15.75" customHeight="1">
      <c r="A1211" s="4" t="s">
        <v>1214</v>
      </c>
      <c r="B1211" s="5">
        <v>43983.0</v>
      </c>
      <c r="C1211" s="4" t="s">
        <v>4</v>
      </c>
    </row>
    <row r="1212" ht="15.75" customHeight="1">
      <c r="A1212" s="4" t="s">
        <v>1215</v>
      </c>
      <c r="B1212" s="5">
        <v>43983.0</v>
      </c>
      <c r="C1212" s="4" t="s">
        <v>4</v>
      </c>
    </row>
    <row r="1213" ht="15.75" customHeight="1">
      <c r="A1213" s="4" t="s">
        <v>1216</v>
      </c>
      <c r="B1213" s="5">
        <v>43983.0</v>
      </c>
      <c r="C1213" s="4" t="s">
        <v>4</v>
      </c>
    </row>
    <row r="1214" ht="15.75" customHeight="1">
      <c r="A1214" s="4" t="s">
        <v>1217</v>
      </c>
      <c r="B1214" s="5">
        <v>43983.0</v>
      </c>
      <c r="C1214" s="4" t="s">
        <v>4</v>
      </c>
    </row>
    <row r="1215" ht="15.75" customHeight="1">
      <c r="A1215" s="4" t="s">
        <v>1218</v>
      </c>
      <c r="B1215" s="5">
        <v>43983.0</v>
      </c>
      <c r="C1215" s="4" t="s">
        <v>4</v>
      </c>
    </row>
    <row r="1216" ht="15.75" customHeight="1">
      <c r="A1216" s="4" t="s">
        <v>1219</v>
      </c>
      <c r="B1216" s="5">
        <v>43983.0</v>
      </c>
      <c r="C1216" s="4" t="s">
        <v>4</v>
      </c>
    </row>
    <row r="1217" ht="15.75" customHeight="1">
      <c r="A1217" s="4" t="s">
        <v>1220</v>
      </c>
      <c r="B1217" s="5">
        <v>43983.0</v>
      </c>
      <c r="C1217" s="4" t="s">
        <v>4</v>
      </c>
    </row>
    <row r="1218" ht="15.75" customHeight="1">
      <c r="A1218" s="4" t="s">
        <v>1221</v>
      </c>
      <c r="B1218" s="5">
        <v>43983.0</v>
      </c>
      <c r="C1218" s="4" t="s">
        <v>4</v>
      </c>
    </row>
    <row r="1219" ht="15.75" customHeight="1">
      <c r="A1219" s="4" t="s">
        <v>1222</v>
      </c>
      <c r="B1219" s="5">
        <v>43983.0</v>
      </c>
      <c r="C1219" s="4" t="s">
        <v>4</v>
      </c>
    </row>
    <row r="1220" ht="15.75" customHeight="1">
      <c r="A1220" s="4" t="s">
        <v>1223</v>
      </c>
      <c r="B1220" s="5">
        <v>43983.0</v>
      </c>
      <c r="C1220" s="4" t="s">
        <v>21</v>
      </c>
    </row>
    <row r="1221" ht="15.75" customHeight="1">
      <c r="A1221" s="4" t="s">
        <v>1224</v>
      </c>
      <c r="B1221" s="5">
        <v>43983.0</v>
      </c>
      <c r="C1221" s="4" t="s">
        <v>4</v>
      </c>
    </row>
    <row r="1222" ht="15.75" customHeight="1">
      <c r="A1222" s="4" t="s">
        <v>1225</v>
      </c>
      <c r="B1222" s="5">
        <v>43984.0</v>
      </c>
      <c r="C1222" s="4" t="s">
        <v>4</v>
      </c>
    </row>
    <row r="1223" ht="15.75" customHeight="1">
      <c r="A1223" s="4" t="s">
        <v>1226</v>
      </c>
      <c r="B1223" s="5">
        <v>43984.0</v>
      </c>
      <c r="C1223" s="4" t="s">
        <v>4</v>
      </c>
    </row>
    <row r="1224" ht="15.75" customHeight="1">
      <c r="A1224" s="4" t="s">
        <v>1227</v>
      </c>
      <c r="B1224" s="5">
        <v>43984.0</v>
      </c>
      <c r="C1224" s="4" t="s">
        <v>4</v>
      </c>
    </row>
    <row r="1225" ht="15.75" customHeight="1">
      <c r="A1225" s="4" t="s">
        <v>1228</v>
      </c>
      <c r="B1225" s="5">
        <v>43984.0</v>
      </c>
      <c r="C1225" s="4" t="s">
        <v>4</v>
      </c>
    </row>
    <row r="1226" ht="15.75" customHeight="1">
      <c r="A1226" s="4" t="s">
        <v>1229</v>
      </c>
      <c r="B1226" s="5">
        <v>43984.0</v>
      </c>
      <c r="C1226" s="4" t="s">
        <v>4</v>
      </c>
    </row>
    <row r="1227" ht="15.75" customHeight="1">
      <c r="A1227" s="4" t="s">
        <v>1230</v>
      </c>
      <c r="B1227" s="5">
        <v>43984.0</v>
      </c>
      <c r="C1227" s="4" t="s">
        <v>4</v>
      </c>
    </row>
    <row r="1228" ht="15.75" customHeight="1">
      <c r="A1228" s="4" t="s">
        <v>1231</v>
      </c>
      <c r="B1228" s="5">
        <v>43984.0</v>
      </c>
      <c r="C1228" s="4" t="s">
        <v>4</v>
      </c>
    </row>
    <row r="1229" ht="15.75" customHeight="1">
      <c r="A1229" s="4" t="s">
        <v>1232</v>
      </c>
      <c r="B1229" s="5">
        <v>43984.0</v>
      </c>
      <c r="C1229" s="4" t="s">
        <v>4</v>
      </c>
    </row>
    <row r="1230" ht="15.75" customHeight="1">
      <c r="A1230" s="4" t="s">
        <v>1233</v>
      </c>
      <c r="B1230" s="5">
        <v>43984.0</v>
      </c>
      <c r="C1230" s="4" t="s">
        <v>53</v>
      </c>
    </row>
    <row r="1231" ht="15.75" customHeight="1">
      <c r="A1231" s="4" t="s">
        <v>1234</v>
      </c>
      <c r="B1231" s="5">
        <v>43985.0</v>
      </c>
      <c r="C1231" s="4" t="s">
        <v>21</v>
      </c>
    </row>
    <row r="1232" ht="15.75" customHeight="1">
      <c r="A1232" s="4" t="s">
        <v>1235</v>
      </c>
      <c r="B1232" s="5">
        <v>43985.0</v>
      </c>
      <c r="C1232" s="4" t="s">
        <v>4</v>
      </c>
    </row>
    <row r="1233" ht="15.75" customHeight="1">
      <c r="A1233" s="4" t="s">
        <v>1236</v>
      </c>
      <c r="B1233" s="5">
        <v>43985.0</v>
      </c>
      <c r="C1233" s="4" t="s">
        <v>4</v>
      </c>
    </row>
    <row r="1234" ht="15.75" customHeight="1">
      <c r="A1234" s="4" t="s">
        <v>1237</v>
      </c>
      <c r="B1234" s="5">
        <v>43985.0</v>
      </c>
      <c r="C1234" s="4" t="s">
        <v>4</v>
      </c>
    </row>
    <row r="1235" ht="15.75" customHeight="1">
      <c r="A1235" s="4" t="s">
        <v>1238</v>
      </c>
      <c r="B1235" s="5">
        <v>43985.0</v>
      </c>
      <c r="C1235" s="4" t="s">
        <v>4</v>
      </c>
    </row>
    <row r="1236" ht="15.75" customHeight="1">
      <c r="A1236" s="4" t="s">
        <v>1239</v>
      </c>
      <c r="B1236" s="5">
        <v>43985.0</v>
      </c>
      <c r="C1236" s="4" t="s">
        <v>4</v>
      </c>
    </row>
    <row r="1237" ht="15.75" customHeight="1">
      <c r="A1237" s="4" t="s">
        <v>1240</v>
      </c>
      <c r="B1237" s="5">
        <v>43985.0</v>
      </c>
      <c r="C1237" s="4" t="s">
        <v>4</v>
      </c>
    </row>
    <row r="1238" ht="15.75" customHeight="1">
      <c r="A1238" s="4" t="s">
        <v>1241</v>
      </c>
      <c r="B1238" s="5">
        <v>43985.0</v>
      </c>
      <c r="C1238" s="4" t="s">
        <v>4</v>
      </c>
    </row>
    <row r="1239" ht="15.75" customHeight="1">
      <c r="A1239" s="4" t="s">
        <v>1242</v>
      </c>
      <c r="B1239" s="5">
        <v>43985.0</v>
      </c>
      <c r="C1239" s="4" t="s">
        <v>4</v>
      </c>
    </row>
    <row r="1240" ht="15.75" customHeight="1">
      <c r="A1240" s="4" t="s">
        <v>1243</v>
      </c>
      <c r="B1240" s="5">
        <v>43986.0</v>
      </c>
      <c r="C1240" s="4" t="s">
        <v>4</v>
      </c>
    </row>
    <row r="1241" ht="15.75" customHeight="1">
      <c r="A1241" s="4" t="s">
        <v>1244</v>
      </c>
      <c r="B1241" s="5">
        <v>43986.0</v>
      </c>
      <c r="C1241" s="4" t="s">
        <v>21</v>
      </c>
    </row>
    <row r="1242" ht="15.75" customHeight="1">
      <c r="A1242" s="4" t="s">
        <v>1245</v>
      </c>
      <c r="B1242" s="5">
        <v>43986.0</v>
      </c>
      <c r="C1242" s="4" t="s">
        <v>4</v>
      </c>
    </row>
    <row r="1243" ht="15.75" customHeight="1">
      <c r="A1243" s="4" t="s">
        <v>1246</v>
      </c>
      <c r="B1243" s="5">
        <v>43986.0</v>
      </c>
      <c r="C1243" s="4" t="s">
        <v>4</v>
      </c>
    </row>
    <row r="1244" ht="15.75" customHeight="1">
      <c r="A1244" s="4" t="s">
        <v>1247</v>
      </c>
      <c r="B1244" s="5">
        <v>43986.0</v>
      </c>
      <c r="C1244" s="4" t="s">
        <v>21</v>
      </c>
    </row>
    <row r="1245" ht="15.75" customHeight="1">
      <c r="A1245" s="4" t="s">
        <v>1248</v>
      </c>
      <c r="B1245" s="5">
        <v>43986.0</v>
      </c>
      <c r="C1245" s="4" t="s">
        <v>47</v>
      </c>
    </row>
    <row r="1246" ht="15.75" customHeight="1">
      <c r="A1246" s="4" t="s">
        <v>1249</v>
      </c>
      <c r="B1246" s="5">
        <v>43986.0</v>
      </c>
      <c r="C1246" s="4" t="s">
        <v>15</v>
      </c>
    </row>
    <row r="1247" ht="15.75" customHeight="1">
      <c r="A1247" s="4" t="s">
        <v>1250</v>
      </c>
      <c r="B1247" s="5">
        <v>43986.0</v>
      </c>
      <c r="C1247" s="4" t="s">
        <v>4</v>
      </c>
    </row>
    <row r="1248" ht="15.75" customHeight="1">
      <c r="A1248" s="4" t="s">
        <v>1251</v>
      </c>
      <c r="B1248" s="5">
        <v>43986.0</v>
      </c>
      <c r="C1248" s="4" t="s">
        <v>4</v>
      </c>
    </row>
    <row r="1249" ht="15.75" customHeight="1">
      <c r="A1249" s="4" t="s">
        <v>1252</v>
      </c>
      <c r="B1249" s="5">
        <v>43986.0</v>
      </c>
      <c r="C1249" s="4" t="s">
        <v>4</v>
      </c>
    </row>
    <row r="1250" ht="15.75" customHeight="1">
      <c r="A1250" s="4" t="s">
        <v>1253</v>
      </c>
      <c r="B1250" s="5">
        <v>43986.0</v>
      </c>
      <c r="C1250" s="4" t="s">
        <v>4</v>
      </c>
    </row>
    <row r="1251" ht="15.75" customHeight="1">
      <c r="A1251" s="4" t="s">
        <v>1254</v>
      </c>
      <c r="B1251" s="5">
        <v>43986.0</v>
      </c>
      <c r="C1251" s="4" t="s">
        <v>4</v>
      </c>
    </row>
    <row r="1252" ht="15.75" customHeight="1">
      <c r="A1252" s="4" t="s">
        <v>1255</v>
      </c>
      <c r="B1252" s="5">
        <v>43986.0</v>
      </c>
      <c r="C1252" s="4" t="s">
        <v>4</v>
      </c>
    </row>
    <row r="1253" ht="15.75" customHeight="1">
      <c r="A1253" s="4" t="s">
        <v>1256</v>
      </c>
      <c r="B1253" s="5">
        <v>43986.0</v>
      </c>
      <c r="C1253" s="4" t="s">
        <v>4</v>
      </c>
    </row>
    <row r="1254" ht="15.75" customHeight="1">
      <c r="A1254" s="4" t="s">
        <v>1257</v>
      </c>
      <c r="B1254" s="5">
        <v>43986.0</v>
      </c>
      <c r="C1254" s="4" t="s">
        <v>4</v>
      </c>
    </row>
    <row r="1255" ht="15.75" customHeight="1">
      <c r="A1255" s="4" t="s">
        <v>1258</v>
      </c>
      <c r="B1255" s="5">
        <v>43986.0</v>
      </c>
      <c r="C1255" s="4" t="s">
        <v>4</v>
      </c>
    </row>
    <row r="1256" ht="15.75" customHeight="1">
      <c r="A1256" s="4" t="s">
        <v>1259</v>
      </c>
      <c r="B1256" s="5">
        <v>43986.0</v>
      </c>
      <c r="C1256" s="4" t="s">
        <v>4</v>
      </c>
    </row>
    <row r="1257" ht="15.75" customHeight="1">
      <c r="A1257" s="4" t="s">
        <v>1260</v>
      </c>
      <c r="B1257" s="5">
        <v>43987.0</v>
      </c>
      <c r="C1257" s="4" t="s">
        <v>4</v>
      </c>
    </row>
    <row r="1258" ht="15.75" customHeight="1">
      <c r="A1258" s="4" t="s">
        <v>1261</v>
      </c>
      <c r="B1258" s="5">
        <v>43987.0</v>
      </c>
      <c r="C1258" s="4" t="s">
        <v>4</v>
      </c>
    </row>
    <row r="1259" ht="15.75" customHeight="1">
      <c r="A1259" s="4" t="s">
        <v>1262</v>
      </c>
      <c r="B1259" s="5">
        <v>43987.0</v>
      </c>
      <c r="C1259" s="4" t="s">
        <v>4</v>
      </c>
    </row>
    <row r="1260" ht="15.75" customHeight="1">
      <c r="A1260" s="4" t="s">
        <v>1263</v>
      </c>
      <c r="B1260" s="5">
        <v>43987.0</v>
      </c>
      <c r="C1260" s="4" t="s">
        <v>4</v>
      </c>
    </row>
    <row r="1261" ht="15.75" customHeight="1">
      <c r="A1261" s="4" t="s">
        <v>1264</v>
      </c>
      <c r="B1261" s="5">
        <v>43987.0</v>
      </c>
      <c r="C1261" s="4" t="s">
        <v>4</v>
      </c>
    </row>
    <row r="1262" ht="15.75" customHeight="1">
      <c r="A1262" s="4" t="s">
        <v>1265</v>
      </c>
      <c r="B1262" s="5">
        <v>43987.0</v>
      </c>
      <c r="C1262" s="4" t="s">
        <v>4</v>
      </c>
    </row>
    <row r="1263" ht="15.75" customHeight="1">
      <c r="A1263" s="4" t="s">
        <v>1266</v>
      </c>
      <c r="B1263" s="5">
        <v>43987.0</v>
      </c>
      <c r="C1263" s="4" t="s">
        <v>4</v>
      </c>
    </row>
    <row r="1264" ht="15.75" customHeight="1">
      <c r="A1264" s="4" t="s">
        <v>1267</v>
      </c>
      <c r="B1264" s="5">
        <v>43987.0</v>
      </c>
      <c r="C1264" s="4" t="s">
        <v>4</v>
      </c>
    </row>
    <row r="1265" ht="15.75" customHeight="1">
      <c r="A1265" s="4" t="s">
        <v>1268</v>
      </c>
      <c r="B1265" s="5">
        <v>43988.0</v>
      </c>
      <c r="C1265" s="4" t="s">
        <v>4</v>
      </c>
    </row>
    <row r="1266" ht="15.75" customHeight="1">
      <c r="A1266" s="4" t="s">
        <v>1269</v>
      </c>
      <c r="B1266" s="5">
        <v>43988.0</v>
      </c>
      <c r="C1266" s="4" t="s">
        <v>4</v>
      </c>
    </row>
    <row r="1267" ht="15.75" customHeight="1">
      <c r="A1267" s="4" t="s">
        <v>1270</v>
      </c>
      <c r="B1267" s="5">
        <v>43989.0</v>
      </c>
      <c r="C1267" s="4" t="s">
        <v>4</v>
      </c>
    </row>
    <row r="1268" ht="15.75" customHeight="1">
      <c r="A1268" s="4" t="s">
        <v>1271</v>
      </c>
      <c r="B1268" s="5">
        <v>43989.0</v>
      </c>
      <c r="C1268" s="4" t="s">
        <v>4</v>
      </c>
    </row>
    <row r="1269" ht="15.75" customHeight="1">
      <c r="A1269" s="4" t="s">
        <v>1272</v>
      </c>
      <c r="B1269" s="5">
        <v>43990.0</v>
      </c>
      <c r="C1269" s="4" t="s">
        <v>4</v>
      </c>
    </row>
    <row r="1270" ht="15.75" customHeight="1">
      <c r="A1270" s="4" t="s">
        <v>1273</v>
      </c>
      <c r="B1270" s="5">
        <v>43990.0</v>
      </c>
      <c r="C1270" s="4" t="s">
        <v>4</v>
      </c>
    </row>
    <row r="1271" ht="15.75" customHeight="1">
      <c r="A1271" s="4" t="s">
        <v>1274</v>
      </c>
      <c r="B1271" s="5">
        <v>43990.0</v>
      </c>
      <c r="C1271" s="4" t="s">
        <v>4</v>
      </c>
    </row>
    <row r="1272" ht="15.75" customHeight="1">
      <c r="A1272" s="4" t="s">
        <v>1275</v>
      </c>
      <c r="B1272" s="5">
        <v>43990.0</v>
      </c>
      <c r="C1272" s="4" t="s">
        <v>4</v>
      </c>
    </row>
    <row r="1273" ht="15.75" customHeight="1">
      <c r="A1273" s="4" t="s">
        <v>1276</v>
      </c>
      <c r="B1273" s="5">
        <v>43990.0</v>
      </c>
      <c r="C1273" s="4" t="s">
        <v>4</v>
      </c>
    </row>
    <row r="1274" ht="15.75" customHeight="1">
      <c r="A1274" s="4" t="s">
        <v>1277</v>
      </c>
      <c r="B1274" s="5">
        <v>43991.0</v>
      </c>
      <c r="C1274" s="4" t="s">
        <v>4</v>
      </c>
    </row>
    <row r="1275" ht="15.75" customHeight="1">
      <c r="A1275" s="4" t="s">
        <v>1278</v>
      </c>
      <c r="B1275" s="5">
        <v>43991.0</v>
      </c>
      <c r="C1275" s="4" t="s">
        <v>4</v>
      </c>
    </row>
    <row r="1276" ht="15.75" customHeight="1">
      <c r="A1276" s="4" t="s">
        <v>1279</v>
      </c>
      <c r="B1276" s="5">
        <v>43991.0</v>
      </c>
      <c r="C1276" s="4" t="s">
        <v>4</v>
      </c>
    </row>
    <row r="1277" ht="15.75" customHeight="1">
      <c r="A1277" s="4" t="s">
        <v>1280</v>
      </c>
      <c r="B1277" s="5">
        <v>43991.0</v>
      </c>
      <c r="C1277" s="4" t="s">
        <v>4</v>
      </c>
    </row>
    <row r="1278" ht="15.75" customHeight="1">
      <c r="A1278" s="4" t="s">
        <v>1281</v>
      </c>
      <c r="B1278" s="5">
        <v>43991.0</v>
      </c>
      <c r="C1278" s="4" t="s">
        <v>4</v>
      </c>
    </row>
    <row r="1279" ht="15.75" customHeight="1">
      <c r="A1279" s="4" t="s">
        <v>1282</v>
      </c>
      <c r="B1279" s="5">
        <v>43991.0</v>
      </c>
      <c r="C1279" s="4" t="s">
        <v>4</v>
      </c>
    </row>
    <row r="1280" ht="15.75" customHeight="1">
      <c r="A1280" s="4" t="s">
        <v>1283</v>
      </c>
      <c r="B1280" s="5">
        <v>43991.0</v>
      </c>
      <c r="C1280" s="4" t="s">
        <v>4</v>
      </c>
    </row>
    <row r="1281" ht="15.75" customHeight="1">
      <c r="A1281" s="4" t="s">
        <v>1284</v>
      </c>
      <c r="B1281" s="5">
        <v>43991.0</v>
      </c>
      <c r="C1281" s="4" t="s">
        <v>4</v>
      </c>
    </row>
    <row r="1282" ht="15.75" customHeight="1">
      <c r="A1282" s="4" t="s">
        <v>1285</v>
      </c>
      <c r="B1282" s="5">
        <v>43991.0</v>
      </c>
      <c r="C1282" s="4" t="s">
        <v>4</v>
      </c>
    </row>
    <row r="1283" ht="15.75" customHeight="1">
      <c r="A1283" s="4" t="s">
        <v>1286</v>
      </c>
      <c r="B1283" s="5">
        <v>43991.0</v>
      </c>
      <c r="C1283" s="4" t="s">
        <v>4</v>
      </c>
    </row>
    <row r="1284" ht="15.75" customHeight="1">
      <c r="A1284" s="4" t="s">
        <v>1287</v>
      </c>
      <c r="B1284" s="5">
        <v>43991.0</v>
      </c>
      <c r="C1284" s="4" t="s">
        <v>4</v>
      </c>
    </row>
    <row r="1285" ht="15.75" customHeight="1">
      <c r="A1285" s="4" t="s">
        <v>1288</v>
      </c>
      <c r="B1285" s="5">
        <v>43992.0</v>
      </c>
      <c r="C1285" s="4" t="s">
        <v>4</v>
      </c>
    </row>
    <row r="1286" ht="15.75" customHeight="1">
      <c r="A1286" s="4" t="s">
        <v>1289</v>
      </c>
      <c r="B1286" s="5">
        <v>43992.0</v>
      </c>
      <c r="C1286" s="4" t="s">
        <v>4</v>
      </c>
    </row>
    <row r="1287" ht="15.75" customHeight="1">
      <c r="A1287" s="4" t="s">
        <v>1290</v>
      </c>
      <c r="B1287" s="5">
        <v>43992.0</v>
      </c>
      <c r="C1287" s="4" t="s">
        <v>4</v>
      </c>
    </row>
    <row r="1288" ht="15.75" customHeight="1">
      <c r="A1288" s="4" t="s">
        <v>1291</v>
      </c>
      <c r="B1288" s="5">
        <v>43992.0</v>
      </c>
      <c r="C1288" s="4" t="s">
        <v>4</v>
      </c>
    </row>
    <row r="1289" ht="15.75" customHeight="1">
      <c r="A1289" s="4" t="s">
        <v>1292</v>
      </c>
      <c r="B1289" s="5">
        <v>43992.0</v>
      </c>
      <c r="C1289" s="4" t="s">
        <v>4</v>
      </c>
    </row>
    <row r="1290" ht="15.75" customHeight="1">
      <c r="A1290" s="4" t="s">
        <v>1293</v>
      </c>
      <c r="B1290" s="5">
        <v>43992.0</v>
      </c>
      <c r="C1290" s="4" t="s">
        <v>4</v>
      </c>
    </row>
    <row r="1291" ht="15.75" customHeight="1">
      <c r="A1291" s="4" t="s">
        <v>1294</v>
      </c>
      <c r="B1291" s="5">
        <v>43992.0</v>
      </c>
      <c r="C1291" s="4" t="s">
        <v>4</v>
      </c>
    </row>
    <row r="1292" ht="15.75" customHeight="1">
      <c r="A1292" s="4" t="s">
        <v>1295</v>
      </c>
      <c r="B1292" s="5">
        <v>43992.0</v>
      </c>
      <c r="C1292" s="4" t="s">
        <v>4</v>
      </c>
    </row>
    <row r="1293" ht="15.75" customHeight="1">
      <c r="A1293" s="4" t="s">
        <v>1296</v>
      </c>
      <c r="B1293" s="5">
        <v>43993.0</v>
      </c>
      <c r="C1293" s="4" t="s">
        <v>4</v>
      </c>
    </row>
    <row r="1294" ht="15.75" customHeight="1">
      <c r="A1294" s="4" t="s">
        <v>1297</v>
      </c>
      <c r="B1294" s="5">
        <v>43993.0</v>
      </c>
      <c r="C1294" s="4" t="s">
        <v>4</v>
      </c>
    </row>
    <row r="1295" ht="15.75" customHeight="1">
      <c r="A1295" s="4" t="s">
        <v>1298</v>
      </c>
      <c r="B1295" s="5">
        <v>43993.0</v>
      </c>
      <c r="C1295" s="4" t="s">
        <v>4</v>
      </c>
    </row>
    <row r="1296" ht="15.75" customHeight="1">
      <c r="A1296" s="4" t="s">
        <v>1299</v>
      </c>
      <c r="B1296" s="5">
        <v>43993.0</v>
      </c>
      <c r="C1296" s="4" t="s">
        <v>4</v>
      </c>
    </row>
    <row r="1297" ht="15.75" customHeight="1">
      <c r="A1297" s="4" t="s">
        <v>1300</v>
      </c>
      <c r="B1297" s="5">
        <v>43993.0</v>
      </c>
      <c r="C1297" s="4" t="s">
        <v>4</v>
      </c>
    </row>
    <row r="1298" ht="15.75" customHeight="1">
      <c r="A1298" s="4" t="s">
        <v>1301</v>
      </c>
      <c r="B1298" s="5">
        <v>43993.0</v>
      </c>
      <c r="C1298" s="4" t="s">
        <v>4</v>
      </c>
    </row>
    <row r="1299" ht="15.75" customHeight="1">
      <c r="A1299" s="4" t="s">
        <v>1302</v>
      </c>
      <c r="B1299" s="5">
        <v>43994.0</v>
      </c>
      <c r="C1299" s="4" t="s">
        <v>4</v>
      </c>
    </row>
    <row r="1300" ht="15.75" customHeight="1">
      <c r="A1300" s="4" t="s">
        <v>1303</v>
      </c>
      <c r="B1300" s="5">
        <v>43994.0</v>
      </c>
      <c r="C1300" s="4" t="s">
        <v>4</v>
      </c>
    </row>
    <row r="1301" ht="15.75" customHeight="1">
      <c r="A1301" s="4" t="s">
        <v>1304</v>
      </c>
      <c r="B1301" s="5">
        <v>43994.0</v>
      </c>
      <c r="C1301" s="4" t="s">
        <v>4</v>
      </c>
    </row>
    <row r="1302" ht="15.75" customHeight="1">
      <c r="A1302" s="4" t="s">
        <v>1305</v>
      </c>
      <c r="B1302" s="5">
        <v>43994.0</v>
      </c>
      <c r="C1302" s="4" t="s">
        <v>4</v>
      </c>
    </row>
    <row r="1303" ht="15.75" customHeight="1">
      <c r="A1303" s="4" t="s">
        <v>1306</v>
      </c>
      <c r="B1303" s="5">
        <v>43994.0</v>
      </c>
      <c r="C1303" s="4" t="s">
        <v>4</v>
      </c>
    </row>
    <row r="1304" ht="15.75" customHeight="1">
      <c r="A1304" s="4" t="s">
        <v>1307</v>
      </c>
      <c r="B1304" s="5">
        <v>43994.0</v>
      </c>
      <c r="C1304" s="4" t="s">
        <v>4</v>
      </c>
    </row>
    <row r="1305" ht="15.75" customHeight="1">
      <c r="A1305" s="4" t="s">
        <v>1308</v>
      </c>
      <c r="B1305" s="5">
        <v>43994.0</v>
      </c>
      <c r="C1305" s="4" t="s">
        <v>4</v>
      </c>
    </row>
    <row r="1306" ht="15.75" customHeight="1">
      <c r="A1306" s="4" t="s">
        <v>1309</v>
      </c>
      <c r="B1306" s="5">
        <v>43994.0</v>
      </c>
      <c r="C1306" s="4" t="s">
        <v>4</v>
      </c>
    </row>
    <row r="1307" ht="15.75" customHeight="1">
      <c r="A1307" s="4" t="s">
        <v>1310</v>
      </c>
      <c r="B1307" s="5">
        <v>43994.0</v>
      </c>
      <c r="C1307" s="4" t="s">
        <v>4</v>
      </c>
    </row>
    <row r="1308" ht="15.75" customHeight="1">
      <c r="A1308" s="4" t="s">
        <v>1311</v>
      </c>
      <c r="B1308" s="5">
        <v>43994.0</v>
      </c>
      <c r="C1308" s="4" t="s">
        <v>4</v>
      </c>
    </row>
    <row r="1309" ht="15.75" customHeight="1">
      <c r="A1309" s="4" t="s">
        <v>1312</v>
      </c>
      <c r="B1309" s="5">
        <v>43994.0</v>
      </c>
      <c r="C1309" s="4" t="s">
        <v>4</v>
      </c>
    </row>
    <row r="1310" ht="15.75" customHeight="1">
      <c r="A1310" s="4" t="s">
        <v>1313</v>
      </c>
      <c r="B1310" s="5">
        <v>43994.0</v>
      </c>
      <c r="C1310" s="4" t="s">
        <v>4</v>
      </c>
    </row>
    <row r="1311" ht="15.75" customHeight="1">
      <c r="A1311" s="4" t="s">
        <v>1314</v>
      </c>
      <c r="B1311" s="5">
        <v>43994.0</v>
      </c>
      <c r="C1311" s="4" t="s">
        <v>4</v>
      </c>
    </row>
    <row r="1312" ht="15.75" customHeight="1">
      <c r="A1312" s="4" t="s">
        <v>1315</v>
      </c>
      <c r="B1312" s="5">
        <v>43994.0</v>
      </c>
      <c r="C1312" s="4" t="s">
        <v>4</v>
      </c>
    </row>
    <row r="1313" ht="15.75" customHeight="1">
      <c r="A1313" s="4" t="s">
        <v>1316</v>
      </c>
      <c r="B1313" s="5">
        <v>43995.0</v>
      </c>
      <c r="C1313" s="4" t="s">
        <v>4</v>
      </c>
    </row>
    <row r="1314" ht="15.75" customHeight="1">
      <c r="A1314" s="4" t="s">
        <v>1317</v>
      </c>
      <c r="B1314" s="5">
        <v>43996.0</v>
      </c>
      <c r="C1314" s="4" t="s">
        <v>4</v>
      </c>
    </row>
    <row r="1315" ht="15.75" customHeight="1">
      <c r="A1315" s="4" t="s">
        <v>1318</v>
      </c>
      <c r="B1315" s="5">
        <v>43996.0</v>
      </c>
      <c r="C1315" s="4" t="s">
        <v>21</v>
      </c>
    </row>
    <row r="1316" ht="15.75" customHeight="1">
      <c r="A1316" s="4" t="s">
        <v>1319</v>
      </c>
      <c r="B1316" s="5">
        <v>43997.0</v>
      </c>
      <c r="C1316" s="4" t="s">
        <v>21</v>
      </c>
    </row>
    <row r="1317" ht="15.75" customHeight="1">
      <c r="A1317" s="4" t="s">
        <v>1320</v>
      </c>
      <c r="B1317" s="5">
        <v>43997.0</v>
      </c>
      <c r="C1317" s="4" t="s">
        <v>21</v>
      </c>
    </row>
    <row r="1318" ht="15.75" customHeight="1">
      <c r="A1318" s="4" t="s">
        <v>1321</v>
      </c>
      <c r="B1318" s="5">
        <v>43997.0</v>
      </c>
      <c r="C1318" s="4" t="s">
        <v>21</v>
      </c>
    </row>
    <row r="1319" ht="15.75" customHeight="1">
      <c r="A1319" s="4" t="s">
        <v>1322</v>
      </c>
      <c r="B1319" s="5">
        <v>43997.0</v>
      </c>
      <c r="C1319" s="4" t="s">
        <v>21</v>
      </c>
    </row>
    <row r="1320" ht="15.75" customHeight="1">
      <c r="A1320" s="4" t="s">
        <v>1323</v>
      </c>
      <c r="B1320" s="5">
        <v>43997.0</v>
      </c>
      <c r="C1320" s="4" t="s">
        <v>21</v>
      </c>
    </row>
    <row r="1321" ht="15.75" customHeight="1">
      <c r="A1321" s="4" t="s">
        <v>1324</v>
      </c>
      <c r="B1321" s="5">
        <v>43997.0</v>
      </c>
      <c r="C1321" s="4" t="s">
        <v>21</v>
      </c>
    </row>
    <row r="1322" ht="15.75" customHeight="1">
      <c r="A1322" s="4" t="s">
        <v>1325</v>
      </c>
      <c r="B1322" s="5">
        <v>43997.0</v>
      </c>
      <c r="C1322" s="4" t="s">
        <v>21</v>
      </c>
    </row>
    <row r="1323" ht="15.75" customHeight="1">
      <c r="A1323" s="4" t="s">
        <v>1326</v>
      </c>
      <c r="B1323" s="5">
        <v>43997.0</v>
      </c>
      <c r="C1323" s="4" t="s">
        <v>21</v>
      </c>
    </row>
    <row r="1324" ht="15.75" customHeight="1">
      <c r="A1324" s="4" t="s">
        <v>1327</v>
      </c>
      <c r="B1324" s="5">
        <v>43997.0</v>
      </c>
      <c r="C1324" s="4" t="s">
        <v>21</v>
      </c>
    </row>
    <row r="1325" ht="15.75" customHeight="1">
      <c r="A1325" s="4" t="s">
        <v>1328</v>
      </c>
      <c r="B1325" s="5">
        <v>43997.0</v>
      </c>
      <c r="C1325" s="4" t="s">
        <v>21</v>
      </c>
    </row>
    <row r="1326" ht="15.75" customHeight="1">
      <c r="A1326" s="4" t="s">
        <v>1329</v>
      </c>
      <c r="B1326" s="5">
        <v>43997.0</v>
      </c>
      <c r="C1326" s="4" t="s">
        <v>21</v>
      </c>
    </row>
    <row r="1327" ht="15.75" customHeight="1">
      <c r="A1327" s="4" t="s">
        <v>1330</v>
      </c>
      <c r="B1327" s="5">
        <v>43997.0</v>
      </c>
      <c r="C1327" s="4" t="s">
        <v>21</v>
      </c>
    </row>
    <row r="1328" ht="15.75" customHeight="1">
      <c r="A1328" s="4" t="s">
        <v>1331</v>
      </c>
      <c r="B1328" s="5">
        <v>43997.0</v>
      </c>
      <c r="C1328" s="4" t="s">
        <v>21</v>
      </c>
    </row>
    <row r="1329" ht="15.75" customHeight="1">
      <c r="A1329" s="4" t="s">
        <v>1332</v>
      </c>
      <c r="B1329" s="5">
        <v>43997.0</v>
      </c>
      <c r="C1329" s="4" t="s">
        <v>21</v>
      </c>
    </row>
    <row r="1330" ht="15.75" customHeight="1">
      <c r="A1330" s="4" t="s">
        <v>1333</v>
      </c>
      <c r="B1330" s="5">
        <v>43997.0</v>
      </c>
      <c r="C1330" s="4" t="s">
        <v>47</v>
      </c>
    </row>
    <row r="1331" ht="15.75" customHeight="1">
      <c r="A1331" s="4" t="s">
        <v>1334</v>
      </c>
      <c r="B1331" s="5">
        <v>43997.0</v>
      </c>
      <c r="C1331" s="4" t="s">
        <v>6</v>
      </c>
    </row>
    <row r="1332" ht="15.75" customHeight="1">
      <c r="A1332" s="4" t="s">
        <v>1335</v>
      </c>
      <c r="B1332" s="5">
        <v>43997.0</v>
      </c>
      <c r="C1332" s="4" t="s">
        <v>6</v>
      </c>
    </row>
    <row r="1333" ht="15.75" customHeight="1">
      <c r="A1333" s="4" t="s">
        <v>1336</v>
      </c>
      <c r="B1333" s="5">
        <v>43997.0</v>
      </c>
      <c r="C1333" s="4" t="s">
        <v>6</v>
      </c>
    </row>
    <row r="1334" ht="15.75" customHeight="1">
      <c r="A1334" s="4" t="s">
        <v>1337</v>
      </c>
      <c r="B1334" s="5">
        <v>43997.0</v>
      </c>
      <c r="C1334" s="4" t="s">
        <v>6</v>
      </c>
    </row>
    <row r="1335" ht="15.75" customHeight="1">
      <c r="A1335" s="4" t="s">
        <v>1338</v>
      </c>
      <c r="B1335" s="5">
        <v>43997.0</v>
      </c>
      <c r="C1335" s="4" t="s">
        <v>6</v>
      </c>
    </row>
    <row r="1336" ht="15.75" customHeight="1">
      <c r="A1336" s="4" t="s">
        <v>1339</v>
      </c>
      <c r="B1336" s="5">
        <v>43997.0</v>
      </c>
      <c r="C1336" s="4" t="s">
        <v>6</v>
      </c>
    </row>
    <row r="1337" ht="15.75" customHeight="1">
      <c r="A1337" s="4" t="s">
        <v>1340</v>
      </c>
      <c r="B1337" s="5">
        <v>43997.0</v>
      </c>
      <c r="C1337" s="4" t="s">
        <v>6</v>
      </c>
    </row>
    <row r="1338" ht="15.75" customHeight="1">
      <c r="A1338" s="4" t="s">
        <v>1341</v>
      </c>
      <c r="B1338" s="5">
        <v>43997.0</v>
      </c>
      <c r="C1338" s="4" t="s">
        <v>6</v>
      </c>
    </row>
    <row r="1339" ht="15.75" customHeight="1">
      <c r="A1339" s="4" t="s">
        <v>1342</v>
      </c>
      <c r="B1339" s="5">
        <v>43997.0</v>
      </c>
      <c r="C1339" s="4" t="s">
        <v>6</v>
      </c>
    </row>
    <row r="1340" ht="15.75" customHeight="1">
      <c r="A1340" s="4" t="s">
        <v>1343</v>
      </c>
      <c r="B1340" s="5">
        <v>43998.0</v>
      </c>
      <c r="C1340" s="4" t="s">
        <v>53</v>
      </c>
    </row>
    <row r="1341" ht="15.75" customHeight="1">
      <c r="A1341" s="4" t="s">
        <v>1344</v>
      </c>
      <c r="B1341" s="5">
        <v>43998.0</v>
      </c>
      <c r="C1341" s="4" t="s">
        <v>53</v>
      </c>
    </row>
    <row r="1342" ht="15.75" customHeight="1">
      <c r="A1342" s="4" t="s">
        <v>1345</v>
      </c>
      <c r="B1342" s="5">
        <v>43998.0</v>
      </c>
      <c r="C1342" s="4" t="s">
        <v>6</v>
      </c>
    </row>
    <row r="1343" ht="15.75" customHeight="1">
      <c r="A1343" s="4" t="s">
        <v>1346</v>
      </c>
      <c r="B1343" s="5">
        <v>43998.0</v>
      </c>
      <c r="C1343" s="4" t="s">
        <v>6</v>
      </c>
    </row>
    <row r="1344" ht="15.75" customHeight="1">
      <c r="A1344" s="4" t="s">
        <v>1347</v>
      </c>
      <c r="B1344" s="5">
        <v>43998.0</v>
      </c>
      <c r="C1344" s="4" t="s">
        <v>6</v>
      </c>
    </row>
    <row r="1345" ht="15.75" customHeight="1">
      <c r="A1345" s="4" t="s">
        <v>1348</v>
      </c>
      <c r="B1345" s="5">
        <v>43998.0</v>
      </c>
      <c r="C1345" s="4" t="s">
        <v>6</v>
      </c>
    </row>
    <row r="1346" ht="15.75" customHeight="1">
      <c r="A1346" s="4" t="s">
        <v>1349</v>
      </c>
      <c r="B1346" s="5">
        <v>43999.0</v>
      </c>
      <c r="C1346" s="4" t="s">
        <v>6</v>
      </c>
    </row>
    <row r="1347" ht="15.75" customHeight="1">
      <c r="A1347" s="4" t="s">
        <v>1350</v>
      </c>
      <c r="B1347" s="5">
        <v>43999.0</v>
      </c>
      <c r="C1347" s="4" t="s">
        <v>6</v>
      </c>
    </row>
    <row r="1348" ht="15.75" customHeight="1">
      <c r="A1348" s="4" t="s">
        <v>1351</v>
      </c>
      <c r="B1348" s="5">
        <v>43999.0</v>
      </c>
      <c r="C1348" s="4" t="s">
        <v>6</v>
      </c>
    </row>
    <row r="1349" ht="15.75" customHeight="1">
      <c r="A1349" s="4" t="s">
        <v>1352</v>
      </c>
      <c r="B1349" s="5">
        <v>43999.0</v>
      </c>
      <c r="C1349" s="4" t="s">
        <v>6</v>
      </c>
    </row>
    <row r="1350" ht="15.75" customHeight="1">
      <c r="A1350" s="4" t="s">
        <v>1353</v>
      </c>
      <c r="B1350" s="5">
        <v>43999.0</v>
      </c>
      <c r="C1350" s="4" t="s">
        <v>53</v>
      </c>
    </row>
    <row r="1351" ht="15.75" customHeight="1">
      <c r="A1351" s="4" t="s">
        <v>1354</v>
      </c>
      <c r="B1351" s="5">
        <v>43999.0</v>
      </c>
      <c r="C1351" s="4" t="s">
        <v>6</v>
      </c>
    </row>
    <row r="1352" ht="15.75" customHeight="1">
      <c r="A1352" s="4" t="s">
        <v>1355</v>
      </c>
      <c r="B1352" s="5">
        <v>43999.0</v>
      </c>
      <c r="C1352" s="4" t="s">
        <v>6</v>
      </c>
    </row>
    <row r="1353" ht="15.75" customHeight="1">
      <c r="A1353" s="4" t="s">
        <v>1356</v>
      </c>
      <c r="B1353" s="5">
        <v>43999.0</v>
      </c>
      <c r="C1353" s="4" t="s">
        <v>6</v>
      </c>
    </row>
    <row r="1354" ht="15.75" customHeight="1">
      <c r="A1354" s="4" t="s">
        <v>1357</v>
      </c>
      <c r="B1354" s="5">
        <v>43999.0</v>
      </c>
      <c r="C1354" s="4" t="s">
        <v>6</v>
      </c>
    </row>
    <row r="1355" ht="15.75" customHeight="1">
      <c r="A1355" s="4" t="s">
        <v>1358</v>
      </c>
      <c r="B1355" s="5">
        <v>43999.0</v>
      </c>
      <c r="C1355" s="4" t="s">
        <v>6</v>
      </c>
    </row>
    <row r="1356" ht="15.75" customHeight="1">
      <c r="A1356" s="4" t="s">
        <v>1359</v>
      </c>
      <c r="B1356" s="5">
        <v>44000.0</v>
      </c>
      <c r="C1356" s="4" t="s">
        <v>6</v>
      </c>
    </row>
    <row r="1357" ht="15.75" customHeight="1">
      <c r="A1357" s="4" t="s">
        <v>1360</v>
      </c>
      <c r="B1357" s="5">
        <v>44000.0</v>
      </c>
      <c r="C1357" s="4" t="s">
        <v>6</v>
      </c>
    </row>
    <row r="1358" ht="15.75" customHeight="1">
      <c r="A1358" s="4" t="s">
        <v>1361</v>
      </c>
      <c r="B1358" s="5">
        <v>44000.0</v>
      </c>
      <c r="C1358" s="4" t="s">
        <v>6</v>
      </c>
    </row>
    <row r="1359" ht="15.75" customHeight="1">
      <c r="A1359" s="4" t="s">
        <v>1362</v>
      </c>
      <c r="B1359" s="5">
        <v>44000.0</v>
      </c>
      <c r="C1359" s="4" t="s">
        <v>6</v>
      </c>
    </row>
    <row r="1360" ht="15.75" customHeight="1">
      <c r="A1360" s="4" t="s">
        <v>1363</v>
      </c>
      <c r="B1360" s="5">
        <v>44000.0</v>
      </c>
      <c r="C1360" s="4" t="s">
        <v>6</v>
      </c>
    </row>
    <row r="1361" ht="15.75" customHeight="1">
      <c r="A1361" s="4" t="s">
        <v>1364</v>
      </c>
      <c r="B1361" s="5">
        <v>44000.0</v>
      </c>
      <c r="C1361" s="4" t="s">
        <v>6</v>
      </c>
    </row>
    <row r="1362" ht="15.75" customHeight="1">
      <c r="A1362" s="4" t="s">
        <v>1365</v>
      </c>
      <c r="B1362" s="5">
        <v>44000.0</v>
      </c>
      <c r="C1362" s="4" t="s">
        <v>6</v>
      </c>
    </row>
    <row r="1363" ht="15.75" customHeight="1">
      <c r="A1363" s="4" t="s">
        <v>1366</v>
      </c>
      <c r="B1363" s="5">
        <v>44000.0</v>
      </c>
      <c r="C1363" s="4" t="s">
        <v>6</v>
      </c>
    </row>
    <row r="1364" ht="15.75" customHeight="1">
      <c r="A1364" s="4" t="s">
        <v>1367</v>
      </c>
      <c r="B1364" s="5">
        <v>44000.0</v>
      </c>
      <c r="C1364" s="4" t="s">
        <v>6</v>
      </c>
    </row>
    <row r="1365" ht="15.75" customHeight="1">
      <c r="A1365" s="4" t="s">
        <v>1368</v>
      </c>
      <c r="B1365" s="5">
        <v>44000.0</v>
      </c>
      <c r="C1365" s="4" t="s">
        <v>6</v>
      </c>
    </row>
    <row r="1366" ht="15.75" customHeight="1">
      <c r="A1366" s="4" t="s">
        <v>1369</v>
      </c>
      <c r="B1366" s="5">
        <v>44000.0</v>
      </c>
      <c r="C1366" s="4" t="s">
        <v>6</v>
      </c>
    </row>
    <row r="1367" ht="15.75" customHeight="1">
      <c r="A1367" s="4" t="s">
        <v>1370</v>
      </c>
      <c r="B1367" s="5">
        <v>44000.0</v>
      </c>
      <c r="C1367" s="4" t="s">
        <v>6</v>
      </c>
    </row>
    <row r="1368" ht="15.75" customHeight="1">
      <c r="A1368" s="4" t="s">
        <v>1371</v>
      </c>
      <c r="B1368" s="5">
        <v>44000.0</v>
      </c>
      <c r="C1368" s="4" t="s">
        <v>6</v>
      </c>
    </row>
    <row r="1369" ht="15.75" customHeight="1">
      <c r="A1369" s="4" t="s">
        <v>1372</v>
      </c>
      <c r="B1369" s="5">
        <v>44000.0</v>
      </c>
      <c r="C1369" s="4" t="s">
        <v>6</v>
      </c>
    </row>
    <row r="1370" ht="15.75" customHeight="1">
      <c r="A1370" s="4" t="s">
        <v>1373</v>
      </c>
      <c r="B1370" s="5">
        <v>44001.0</v>
      </c>
      <c r="C1370" s="4" t="s">
        <v>6</v>
      </c>
    </row>
    <row r="1371" ht="15.75" customHeight="1">
      <c r="A1371" s="4" t="s">
        <v>1374</v>
      </c>
      <c r="B1371" s="5">
        <v>44001.0</v>
      </c>
      <c r="C1371" s="4" t="s">
        <v>6</v>
      </c>
    </row>
    <row r="1372" ht="15.75" customHeight="1">
      <c r="A1372" s="4" t="s">
        <v>1375</v>
      </c>
      <c r="B1372" s="5">
        <v>44001.0</v>
      </c>
      <c r="C1372" s="4" t="s">
        <v>6</v>
      </c>
    </row>
    <row r="1373" ht="15.75" customHeight="1">
      <c r="A1373" s="4" t="s">
        <v>1376</v>
      </c>
      <c r="B1373" s="5">
        <v>44001.0</v>
      </c>
      <c r="C1373" s="4" t="s">
        <v>6</v>
      </c>
    </row>
    <row r="1374" ht="15.75" customHeight="1">
      <c r="A1374" s="4" t="s">
        <v>1377</v>
      </c>
      <c r="B1374" s="5">
        <v>44001.0</v>
      </c>
      <c r="C1374" s="4" t="s">
        <v>6</v>
      </c>
    </row>
    <row r="1375" ht="15.75" customHeight="1">
      <c r="A1375" s="4" t="s">
        <v>1378</v>
      </c>
      <c r="B1375" s="5">
        <v>44003.0</v>
      </c>
      <c r="C1375" s="4" t="s">
        <v>6</v>
      </c>
    </row>
    <row r="1376" ht="15.75" customHeight="1">
      <c r="A1376" s="4" t="s">
        <v>1379</v>
      </c>
      <c r="B1376" s="5">
        <v>44003.0</v>
      </c>
      <c r="C1376" s="4" t="s">
        <v>6</v>
      </c>
    </row>
    <row r="1377" ht="15.75" customHeight="1">
      <c r="A1377" s="4" t="s">
        <v>1380</v>
      </c>
      <c r="B1377" s="5">
        <v>44004.0</v>
      </c>
      <c r="C1377" s="4" t="s">
        <v>6</v>
      </c>
    </row>
    <row r="1378" ht="15.75" customHeight="1">
      <c r="A1378" s="4" t="s">
        <v>1381</v>
      </c>
      <c r="B1378" s="5">
        <v>44004.0</v>
      </c>
      <c r="C1378" s="4" t="s">
        <v>6</v>
      </c>
    </row>
    <row r="1379" ht="15.75" customHeight="1">
      <c r="A1379" s="4" t="s">
        <v>1382</v>
      </c>
      <c r="B1379" s="5">
        <v>44005.0</v>
      </c>
      <c r="C1379" s="4" t="s">
        <v>21</v>
      </c>
    </row>
    <row r="1380" ht="15.75" customHeight="1">
      <c r="A1380" s="4" t="s">
        <v>1383</v>
      </c>
      <c r="B1380" s="5">
        <v>44005.0</v>
      </c>
      <c r="C1380" s="4" t="s">
        <v>6</v>
      </c>
    </row>
    <row r="1381" ht="15.75" customHeight="1">
      <c r="A1381" s="4" t="s">
        <v>1384</v>
      </c>
      <c r="B1381" s="5">
        <v>44005.0</v>
      </c>
      <c r="C1381" s="4" t="s">
        <v>6</v>
      </c>
    </row>
    <row r="1382" ht="15.75" customHeight="1">
      <c r="A1382" s="4" t="s">
        <v>1385</v>
      </c>
      <c r="B1382" s="5">
        <v>44005.0</v>
      </c>
      <c r="C1382" s="4" t="s">
        <v>6</v>
      </c>
    </row>
    <row r="1383" ht="15.75" customHeight="1">
      <c r="A1383" s="4" t="s">
        <v>1386</v>
      </c>
      <c r="B1383" s="5">
        <v>44006.0</v>
      </c>
      <c r="C1383" s="4" t="s">
        <v>6</v>
      </c>
    </row>
    <row r="1384" ht="15.75" customHeight="1">
      <c r="A1384" s="4" t="s">
        <v>1387</v>
      </c>
      <c r="B1384" s="5">
        <v>44006.0</v>
      </c>
      <c r="C1384" s="4" t="s">
        <v>6</v>
      </c>
    </row>
    <row r="1385" ht="15.75" customHeight="1">
      <c r="A1385" s="4" t="s">
        <v>1388</v>
      </c>
      <c r="B1385" s="5">
        <v>44006.0</v>
      </c>
      <c r="C1385" s="4" t="s">
        <v>6</v>
      </c>
    </row>
    <row r="1386" ht="15.75" customHeight="1">
      <c r="A1386" s="4" t="s">
        <v>1389</v>
      </c>
      <c r="B1386" s="5">
        <v>44006.0</v>
      </c>
      <c r="C1386" s="4" t="s">
        <v>6</v>
      </c>
    </row>
    <row r="1387" ht="15.75" customHeight="1">
      <c r="A1387" s="4" t="s">
        <v>1390</v>
      </c>
      <c r="B1387" s="5">
        <v>44006.0</v>
      </c>
      <c r="C1387" s="4" t="s">
        <v>6</v>
      </c>
    </row>
    <row r="1388" ht="15.75" customHeight="1">
      <c r="A1388" s="4" t="s">
        <v>1391</v>
      </c>
      <c r="B1388" s="5">
        <v>44006.0</v>
      </c>
      <c r="C1388" s="4" t="s">
        <v>53</v>
      </c>
    </row>
    <row r="1389" ht="15.75" customHeight="1">
      <c r="A1389" s="4" t="s">
        <v>1392</v>
      </c>
      <c r="B1389" s="5">
        <v>44007.0</v>
      </c>
      <c r="C1389" s="4" t="s">
        <v>53</v>
      </c>
    </row>
    <row r="1390" ht="15.75" customHeight="1">
      <c r="A1390" s="4" t="s">
        <v>1393</v>
      </c>
      <c r="B1390" s="5">
        <v>44007.0</v>
      </c>
      <c r="C1390" s="4" t="s">
        <v>6</v>
      </c>
    </row>
    <row r="1391" ht="15.75" customHeight="1">
      <c r="A1391" s="4" t="s">
        <v>1394</v>
      </c>
      <c r="B1391" s="5">
        <v>44007.0</v>
      </c>
      <c r="C1391" s="4" t="s">
        <v>6</v>
      </c>
    </row>
    <row r="1392" ht="15.75" customHeight="1">
      <c r="A1392" s="4" t="s">
        <v>1395</v>
      </c>
      <c r="B1392" s="5">
        <v>44007.0</v>
      </c>
      <c r="C1392" s="4" t="s">
        <v>6</v>
      </c>
    </row>
    <row r="1393" ht="15.75" customHeight="1">
      <c r="A1393" s="4" t="s">
        <v>1396</v>
      </c>
      <c r="B1393" s="5">
        <v>44008.0</v>
      </c>
      <c r="C1393" s="4" t="s">
        <v>6</v>
      </c>
    </row>
    <row r="1394" ht="15.75" customHeight="1">
      <c r="A1394" s="4" t="s">
        <v>1397</v>
      </c>
      <c r="B1394" s="5">
        <v>44008.0</v>
      </c>
      <c r="C1394" s="4" t="s">
        <v>6</v>
      </c>
    </row>
    <row r="1395" ht="15.75" customHeight="1">
      <c r="A1395" s="4" t="s">
        <v>1398</v>
      </c>
      <c r="B1395" s="5">
        <v>44008.0</v>
      </c>
      <c r="C1395" s="4" t="s">
        <v>53</v>
      </c>
    </row>
    <row r="1396" ht="15.75" customHeight="1">
      <c r="A1396" s="4" t="s">
        <v>1399</v>
      </c>
      <c r="B1396" s="5">
        <v>44008.0</v>
      </c>
      <c r="C1396" s="4" t="s">
        <v>6</v>
      </c>
    </row>
    <row r="1397" ht="15.75" customHeight="1">
      <c r="A1397" s="4" t="s">
        <v>1400</v>
      </c>
      <c r="B1397" s="5">
        <v>44009.0</v>
      </c>
      <c r="C1397" s="4" t="s">
        <v>6</v>
      </c>
    </row>
    <row r="1398" ht="15.75" customHeight="1">
      <c r="A1398" s="4" t="s">
        <v>1401</v>
      </c>
      <c r="B1398" s="5">
        <v>44011.0</v>
      </c>
      <c r="C1398" s="4" t="s">
        <v>6</v>
      </c>
    </row>
    <row r="1399" ht="15.75" customHeight="1">
      <c r="A1399" s="4" t="s">
        <v>1402</v>
      </c>
      <c r="B1399" s="5">
        <v>44011.0</v>
      </c>
      <c r="C1399" s="4" t="s">
        <v>6</v>
      </c>
    </row>
    <row r="1400" ht="15.75" customHeight="1">
      <c r="A1400" s="4" t="s">
        <v>1403</v>
      </c>
      <c r="B1400" s="5">
        <v>44011.0</v>
      </c>
      <c r="C1400" s="4" t="s">
        <v>6</v>
      </c>
    </row>
    <row r="1401" ht="15.75" customHeight="1">
      <c r="A1401" s="4" t="s">
        <v>1404</v>
      </c>
      <c r="B1401" s="5">
        <v>44012.0</v>
      </c>
      <c r="C1401" s="4" t="s">
        <v>6</v>
      </c>
    </row>
    <row r="1402" ht="15.75" customHeight="1">
      <c r="A1402" s="4" t="s">
        <v>1405</v>
      </c>
      <c r="B1402" s="5">
        <v>44012.0</v>
      </c>
      <c r="C1402" s="4" t="s">
        <v>6</v>
      </c>
    </row>
    <row r="1403" ht="15.75" customHeight="1">
      <c r="A1403" s="4" t="s">
        <v>1406</v>
      </c>
      <c r="B1403" s="5">
        <v>43917.0</v>
      </c>
      <c r="C1403" s="4" t="s">
        <v>6</v>
      </c>
    </row>
    <row r="1404" ht="15.75" customHeight="1">
      <c r="A1404" s="4" t="s">
        <v>1407</v>
      </c>
      <c r="B1404" s="5">
        <v>43917.0</v>
      </c>
      <c r="C1404" s="4" t="s">
        <v>6</v>
      </c>
    </row>
    <row r="1405" ht="15.75" customHeight="1">
      <c r="A1405" s="4" t="s">
        <v>1408</v>
      </c>
      <c r="B1405" s="5">
        <v>43967.0</v>
      </c>
      <c r="C1405" s="4" t="s">
        <v>6</v>
      </c>
    </row>
    <row r="1406" ht="15.75" customHeight="1">
      <c r="A1406" s="4" t="s">
        <v>1409</v>
      </c>
      <c r="B1406" s="5">
        <v>43843.0</v>
      </c>
      <c r="C1406" s="4" t="s">
        <v>4</v>
      </c>
    </row>
    <row r="1407" ht="15.75" customHeight="1">
      <c r="A1407" s="4" t="s">
        <v>1410</v>
      </c>
      <c r="B1407" s="5">
        <v>43994.0</v>
      </c>
      <c r="C1407" s="4" t="s">
        <v>4</v>
      </c>
    </row>
    <row r="1408" ht="15.75" customHeight="1">
      <c r="A1408" s="4" t="s">
        <v>1411</v>
      </c>
      <c r="B1408" s="5">
        <v>43983.0</v>
      </c>
      <c r="C1408" s="4" t="s">
        <v>15</v>
      </c>
    </row>
    <row r="1409" ht="15.75" customHeight="1">
      <c r="A1409" s="4" t="s">
        <v>1412</v>
      </c>
      <c r="B1409" s="5">
        <v>43963.0</v>
      </c>
      <c r="C1409" s="4" t="s">
        <v>6</v>
      </c>
    </row>
    <row r="1410" ht="15.75" customHeight="1">
      <c r="A1410" s="4" t="s">
        <v>1413</v>
      </c>
      <c r="B1410" s="5">
        <v>43963.0</v>
      </c>
      <c r="C1410" s="4" t="s">
        <v>6</v>
      </c>
    </row>
    <row r="1411" ht="15.75" customHeight="1">
      <c r="A1411" s="4" t="s">
        <v>1414</v>
      </c>
      <c r="B1411" s="5">
        <v>43908.0</v>
      </c>
      <c r="C1411" s="4" t="s">
        <v>6</v>
      </c>
    </row>
    <row r="1412" ht="15.75" customHeight="1">
      <c r="A1412" s="4" t="s">
        <v>1415</v>
      </c>
      <c r="B1412" s="5">
        <v>43899.0</v>
      </c>
      <c r="C1412" s="4" t="s">
        <v>4</v>
      </c>
    </row>
    <row r="1413" ht="15.75" customHeight="1">
      <c r="A1413" s="4" t="s">
        <v>1416</v>
      </c>
      <c r="B1413" s="5">
        <v>43915.0</v>
      </c>
      <c r="C1413" s="4" t="s">
        <v>6</v>
      </c>
    </row>
    <row r="1414" ht="15.75" customHeight="1">
      <c r="A1414" s="4" t="s">
        <v>1417</v>
      </c>
      <c r="B1414" s="5">
        <v>43915.0</v>
      </c>
      <c r="C1414" s="4" t="s">
        <v>6</v>
      </c>
    </row>
    <row r="1415" ht="15.75" customHeight="1">
      <c r="A1415" s="4" t="s">
        <v>1418</v>
      </c>
      <c r="B1415" s="5">
        <v>43962.0</v>
      </c>
      <c r="C1415" s="4" t="s">
        <v>6</v>
      </c>
    </row>
    <row r="1416" ht="15.75" customHeight="1">
      <c r="A1416" s="4" t="s">
        <v>1419</v>
      </c>
      <c r="B1416" s="5">
        <v>43932.0</v>
      </c>
      <c r="C1416" s="4" t="s">
        <v>4</v>
      </c>
    </row>
    <row r="1417" ht="15.75" customHeight="1">
      <c r="A1417" s="4" t="s">
        <v>1420</v>
      </c>
      <c r="B1417" s="5">
        <v>43991.0</v>
      </c>
      <c r="C1417" s="4" t="s">
        <v>4</v>
      </c>
    </row>
    <row r="1418" ht="15.75" customHeight="1">
      <c r="A1418" s="4" t="s">
        <v>1421</v>
      </c>
      <c r="B1418" s="5">
        <v>43914.0</v>
      </c>
      <c r="C1418" s="4" t="s">
        <v>6</v>
      </c>
    </row>
    <row r="1419" ht="15.75" customHeight="1">
      <c r="A1419" s="4" t="s">
        <v>1422</v>
      </c>
      <c r="B1419" s="5">
        <v>43930.0</v>
      </c>
      <c r="C1419" s="4" t="s">
        <v>4</v>
      </c>
    </row>
    <row r="1420" ht="15.75" customHeight="1">
      <c r="A1420" s="4" t="s">
        <v>1423</v>
      </c>
      <c r="B1420" s="5">
        <v>43906.0</v>
      </c>
      <c r="C1420" s="4" t="s">
        <v>6</v>
      </c>
    </row>
    <row r="1421" ht="15.75" customHeight="1">
      <c r="A1421" s="4" t="s">
        <v>1424</v>
      </c>
      <c r="B1421" s="5">
        <v>43913.0</v>
      </c>
      <c r="C1421" s="4" t="s">
        <v>6</v>
      </c>
    </row>
    <row r="1422" ht="15.75" customHeight="1">
      <c r="A1422" s="4" t="s">
        <v>1425</v>
      </c>
      <c r="B1422" s="5">
        <v>43950.0</v>
      </c>
      <c r="C1422" s="4" t="s">
        <v>6</v>
      </c>
    </row>
    <row r="1423" ht="15.75" customHeight="1">
      <c r="A1423" s="4" t="s">
        <v>1426</v>
      </c>
      <c r="B1423" s="5">
        <v>43908.0</v>
      </c>
      <c r="C1423" s="4" t="s">
        <v>6</v>
      </c>
    </row>
    <row r="1424" ht="15.75" customHeight="1">
      <c r="A1424" s="4" t="s">
        <v>1427</v>
      </c>
      <c r="B1424" s="5">
        <v>43987.0</v>
      </c>
      <c r="C1424" s="4" t="s">
        <v>4</v>
      </c>
    </row>
    <row r="1425" ht="15.75" customHeight="1">
      <c r="A1425" s="4" t="s">
        <v>1428</v>
      </c>
      <c r="B1425" s="5">
        <v>43908.0</v>
      </c>
      <c r="C1425" s="4" t="s">
        <v>6</v>
      </c>
    </row>
    <row r="1426" ht="15.75" customHeight="1">
      <c r="A1426" s="4" t="s">
        <v>1429</v>
      </c>
      <c r="B1426" s="5">
        <v>44004.0</v>
      </c>
      <c r="C1426" s="4" t="s">
        <v>6</v>
      </c>
    </row>
    <row r="1427" ht="15.75" customHeight="1">
      <c r="A1427" s="4" t="s">
        <v>1430</v>
      </c>
      <c r="B1427" s="5">
        <v>43986.0</v>
      </c>
      <c r="C1427" s="4" t="s">
        <v>4</v>
      </c>
    </row>
    <row r="1428" ht="15.75" customHeight="1">
      <c r="A1428" s="4" t="s">
        <v>1431</v>
      </c>
      <c r="B1428" s="5">
        <v>43997.0</v>
      </c>
      <c r="C1428" s="4" t="s">
        <v>21</v>
      </c>
    </row>
    <row r="1429" ht="15.75" customHeight="1">
      <c r="A1429" s="4" t="s">
        <v>1432</v>
      </c>
      <c r="B1429" s="5">
        <v>43969.0</v>
      </c>
      <c r="C1429" s="4" t="s">
        <v>6</v>
      </c>
    </row>
    <row r="1430" ht="15.75" customHeight="1">
      <c r="A1430" s="4" t="s">
        <v>1433</v>
      </c>
      <c r="B1430" s="5">
        <v>43987.0</v>
      </c>
      <c r="C1430" s="4" t="s">
        <v>4</v>
      </c>
    </row>
    <row r="1431" ht="15.75" customHeight="1">
      <c r="A1431" s="4" t="s">
        <v>1434</v>
      </c>
      <c r="B1431" s="5">
        <v>43944.0</v>
      </c>
      <c r="C1431" s="4" t="s">
        <v>6</v>
      </c>
    </row>
    <row r="1432" ht="15.75" customHeight="1">
      <c r="A1432" s="4" t="s">
        <v>1435</v>
      </c>
      <c r="B1432" s="5">
        <v>43945.0</v>
      </c>
      <c r="C1432" s="4" t="s">
        <v>6</v>
      </c>
    </row>
    <row r="1433" ht="15.75" customHeight="1">
      <c r="A1433" s="4" t="s">
        <v>1436</v>
      </c>
      <c r="B1433" s="5">
        <v>43917.0</v>
      </c>
      <c r="C1433" s="4" t="s">
        <v>6</v>
      </c>
    </row>
    <row r="1434" ht="15.75" customHeight="1">
      <c r="A1434" s="4" t="s">
        <v>1437</v>
      </c>
      <c r="B1434" s="5">
        <v>43994.0</v>
      </c>
      <c r="C1434" s="4" t="s">
        <v>4</v>
      </c>
    </row>
    <row r="1435" ht="15.75" customHeight="1">
      <c r="A1435" s="4" t="s">
        <v>1438</v>
      </c>
      <c r="B1435" s="5">
        <v>43969.0</v>
      </c>
      <c r="C1435" s="4" t="s">
        <v>6</v>
      </c>
    </row>
    <row r="1436" ht="15.75" customHeight="1">
      <c r="A1436" s="4" t="s">
        <v>1439</v>
      </c>
      <c r="B1436" s="5">
        <v>43887.0</v>
      </c>
      <c r="C1436" s="4" t="s">
        <v>4</v>
      </c>
    </row>
    <row r="1437" ht="15.75" customHeight="1">
      <c r="A1437" s="4" t="s">
        <v>1440</v>
      </c>
      <c r="B1437" s="5">
        <v>43917.0</v>
      </c>
      <c r="C1437" s="4" t="s">
        <v>6</v>
      </c>
    </row>
    <row r="1438" ht="15.75" customHeight="1">
      <c r="A1438" s="4" t="s">
        <v>1441</v>
      </c>
      <c r="B1438" s="5">
        <v>43916.0</v>
      </c>
      <c r="C1438" s="4" t="s">
        <v>6</v>
      </c>
    </row>
    <row r="1439" ht="15.75" customHeight="1">
      <c r="A1439" s="4" t="s">
        <v>1442</v>
      </c>
      <c r="B1439" s="5">
        <v>43994.0</v>
      </c>
      <c r="C1439" s="4" t="s">
        <v>4</v>
      </c>
    </row>
    <row r="1440" ht="15.75" customHeight="1">
      <c r="A1440" s="4" t="s">
        <v>1443</v>
      </c>
      <c r="B1440" s="5">
        <v>43937.0</v>
      </c>
      <c r="C1440" s="4" t="s">
        <v>4</v>
      </c>
    </row>
    <row r="1441" ht="15.75" customHeight="1">
      <c r="A1441" s="4" t="s">
        <v>1444</v>
      </c>
      <c r="B1441" s="5">
        <v>43994.0</v>
      </c>
      <c r="C1441" s="4" t="s">
        <v>4</v>
      </c>
    </row>
    <row r="1442" ht="15.75" customHeight="1">
      <c r="A1442" s="4" t="s">
        <v>1445</v>
      </c>
      <c r="B1442" s="5">
        <v>43966.0</v>
      </c>
      <c r="C1442" s="4" t="s">
        <v>6</v>
      </c>
    </row>
    <row r="1443" ht="15.75" customHeight="1">
      <c r="A1443" s="4" t="s">
        <v>1446</v>
      </c>
      <c r="B1443" s="5">
        <v>43937.0</v>
      </c>
      <c r="C1443" s="4" t="s">
        <v>4</v>
      </c>
    </row>
    <row r="1444" ht="15.75" customHeight="1">
      <c r="A1444" s="4" t="s">
        <v>1447</v>
      </c>
      <c r="B1444" s="5">
        <v>43993.0</v>
      </c>
      <c r="C1444" s="4" t="s">
        <v>4</v>
      </c>
    </row>
    <row r="1445" ht="15.75" customHeight="1">
      <c r="A1445" s="4" t="s">
        <v>1448</v>
      </c>
      <c r="B1445" s="5">
        <v>43965.0</v>
      </c>
      <c r="C1445" s="4" t="s">
        <v>6</v>
      </c>
    </row>
    <row r="1446" ht="15.75" customHeight="1">
      <c r="A1446" s="4" t="s">
        <v>1449</v>
      </c>
      <c r="B1446" s="5">
        <v>43962.0</v>
      </c>
      <c r="C1446" s="4" t="s">
        <v>6</v>
      </c>
    </row>
    <row r="1447" ht="15.75" customHeight="1">
      <c r="A1447" s="4" t="s">
        <v>1450</v>
      </c>
      <c r="B1447" s="5">
        <v>43963.0</v>
      </c>
      <c r="C1447" s="4" t="s">
        <v>6</v>
      </c>
    </row>
    <row r="1448" ht="15.75" customHeight="1">
      <c r="A1448" s="4" t="s">
        <v>1451</v>
      </c>
      <c r="B1448" s="5">
        <v>43899.0</v>
      </c>
      <c r="C1448" s="4" t="s">
        <v>4</v>
      </c>
    </row>
    <row r="1449" ht="15.75" customHeight="1">
      <c r="A1449" s="4" t="s">
        <v>1452</v>
      </c>
      <c r="B1449" s="5">
        <v>43999.0</v>
      </c>
      <c r="C1449" s="4" t="s">
        <v>6</v>
      </c>
    </row>
    <row r="1450" ht="15.75" customHeight="1">
      <c r="A1450" s="4" t="s">
        <v>1453</v>
      </c>
      <c r="B1450" s="5">
        <v>43846.0</v>
      </c>
      <c r="C1450" s="4" t="s">
        <v>4</v>
      </c>
    </row>
    <row r="1451" ht="15.75" customHeight="1">
      <c r="A1451" s="4" t="s">
        <v>1454</v>
      </c>
      <c r="B1451" s="5">
        <v>43963.0</v>
      </c>
      <c r="C1451" s="4" t="s">
        <v>6</v>
      </c>
    </row>
    <row r="1452" ht="15.75" customHeight="1">
      <c r="A1452" s="4" t="s">
        <v>1455</v>
      </c>
      <c r="B1452" s="5">
        <v>43916.0</v>
      </c>
      <c r="C1452" s="4" t="s">
        <v>6</v>
      </c>
    </row>
    <row r="1453" ht="15.75" customHeight="1">
      <c r="A1453" s="4" t="s">
        <v>1456</v>
      </c>
      <c r="B1453" s="5">
        <v>43969.0</v>
      </c>
      <c r="C1453" s="4" t="s">
        <v>6</v>
      </c>
    </row>
    <row r="1454" ht="15.75" customHeight="1">
      <c r="A1454" s="4" t="s">
        <v>1457</v>
      </c>
      <c r="B1454" s="5">
        <v>43999.0</v>
      </c>
      <c r="C1454" s="4" t="s">
        <v>6</v>
      </c>
    </row>
    <row r="1455" ht="15.75" customHeight="1">
      <c r="A1455" s="4" t="s">
        <v>1458</v>
      </c>
      <c r="B1455" s="5">
        <v>43962.0</v>
      </c>
      <c r="C1455" s="4" t="s">
        <v>6</v>
      </c>
    </row>
    <row r="1456" ht="15.75" customHeight="1">
      <c r="A1456" s="4" t="s">
        <v>1459</v>
      </c>
      <c r="B1456" s="5">
        <v>43899.0</v>
      </c>
      <c r="C1456" s="4" t="s">
        <v>4</v>
      </c>
    </row>
    <row r="1457" ht="15.75" customHeight="1">
      <c r="A1457" s="4" t="s">
        <v>1460</v>
      </c>
      <c r="B1457" s="5">
        <v>43962.0</v>
      </c>
      <c r="C1457" s="4" t="s">
        <v>6</v>
      </c>
    </row>
    <row r="1458" ht="15.75" customHeight="1">
      <c r="A1458" s="4" t="s">
        <v>1461</v>
      </c>
      <c r="B1458" s="5">
        <v>43928.0</v>
      </c>
      <c r="C1458" s="4" t="s">
        <v>4</v>
      </c>
    </row>
    <row r="1459" ht="15.75" customHeight="1">
      <c r="A1459" s="4" t="s">
        <v>1462</v>
      </c>
      <c r="B1459" s="5">
        <v>43962.0</v>
      </c>
      <c r="C1459" s="4" t="s">
        <v>6</v>
      </c>
    </row>
    <row r="1460" ht="15.75" customHeight="1">
      <c r="A1460" s="4" t="s">
        <v>1463</v>
      </c>
      <c r="B1460" s="5">
        <v>43914.0</v>
      </c>
      <c r="C1460" s="4" t="s">
        <v>6</v>
      </c>
    </row>
    <row r="1461" ht="15.75" customHeight="1">
      <c r="A1461" s="4" t="s">
        <v>1464</v>
      </c>
      <c r="B1461" s="5">
        <v>44000.0</v>
      </c>
      <c r="C1461" s="4" t="s">
        <v>6</v>
      </c>
    </row>
    <row r="1462" ht="15.75" customHeight="1">
      <c r="A1462" s="4" t="s">
        <v>1465</v>
      </c>
      <c r="B1462" s="5">
        <v>43914.0</v>
      </c>
      <c r="C1462" s="4" t="s">
        <v>6</v>
      </c>
    </row>
    <row r="1463" ht="15.75" customHeight="1">
      <c r="A1463" s="4" t="s">
        <v>1466</v>
      </c>
      <c r="B1463" s="5">
        <v>43944.0</v>
      </c>
      <c r="C1463" s="4" t="s">
        <v>6</v>
      </c>
    </row>
    <row r="1464" ht="15.75" customHeight="1">
      <c r="A1464" s="4" t="s">
        <v>1467</v>
      </c>
      <c r="B1464" s="5">
        <v>43961.0</v>
      </c>
      <c r="C1464" s="4" t="s">
        <v>6</v>
      </c>
    </row>
    <row r="1465" ht="15.75" customHeight="1">
      <c r="A1465" s="4" t="s">
        <v>1468</v>
      </c>
      <c r="B1465" s="5">
        <v>43999.0</v>
      </c>
      <c r="C1465" s="4" t="s">
        <v>6</v>
      </c>
    </row>
    <row r="1466" ht="15.75" customHeight="1">
      <c r="A1466" s="4" t="s">
        <v>1469</v>
      </c>
      <c r="B1466" s="5">
        <v>43899.0</v>
      </c>
      <c r="C1466" s="4" t="s">
        <v>4</v>
      </c>
    </row>
    <row r="1467" ht="15.75" customHeight="1">
      <c r="A1467" s="4" t="s">
        <v>1470</v>
      </c>
      <c r="B1467" s="5">
        <v>43999.0</v>
      </c>
      <c r="C1467" s="4" t="s">
        <v>6</v>
      </c>
    </row>
    <row r="1468" ht="15.75" customHeight="1">
      <c r="A1468" s="4" t="s">
        <v>1471</v>
      </c>
      <c r="B1468" s="5">
        <v>43958.0</v>
      </c>
      <c r="C1468" s="4" t="s">
        <v>6</v>
      </c>
    </row>
    <row r="1469" ht="15.75" customHeight="1">
      <c r="A1469" s="4" t="s">
        <v>1472</v>
      </c>
      <c r="B1469" s="5">
        <v>43855.0</v>
      </c>
      <c r="C1469" s="4" t="s">
        <v>4</v>
      </c>
    </row>
    <row r="1470" ht="15.75" customHeight="1">
      <c r="A1470" s="4" t="s">
        <v>1473</v>
      </c>
      <c r="B1470" s="5">
        <v>43930.0</v>
      </c>
      <c r="C1470" s="4" t="s">
        <v>4</v>
      </c>
    </row>
    <row r="1471" ht="15.75" customHeight="1">
      <c r="A1471" s="4" t="s">
        <v>1474</v>
      </c>
      <c r="B1471" s="5">
        <v>43958.0</v>
      </c>
      <c r="C1471" s="4" t="s">
        <v>6</v>
      </c>
    </row>
    <row r="1472" ht="15.75" customHeight="1">
      <c r="A1472" s="4" t="s">
        <v>1475</v>
      </c>
      <c r="B1472" s="5">
        <v>43991.0</v>
      </c>
      <c r="C1472" s="4" t="s">
        <v>4</v>
      </c>
    </row>
    <row r="1473" ht="15.75" customHeight="1">
      <c r="A1473" s="4" t="s">
        <v>1476</v>
      </c>
      <c r="B1473" s="5">
        <v>43958.0</v>
      </c>
      <c r="C1473" s="4" t="s">
        <v>6</v>
      </c>
    </row>
    <row r="1474" ht="15.75" customHeight="1">
      <c r="A1474" s="4" t="s">
        <v>1477</v>
      </c>
      <c r="B1474" s="5">
        <v>43932.0</v>
      </c>
      <c r="C1474" s="4" t="s">
        <v>4</v>
      </c>
    </row>
    <row r="1475" ht="15.75" customHeight="1">
      <c r="A1475" s="4" t="s">
        <v>1478</v>
      </c>
      <c r="B1475" s="5">
        <v>43912.0</v>
      </c>
      <c r="C1475" s="4" t="s">
        <v>6</v>
      </c>
    </row>
    <row r="1476" ht="15.75" customHeight="1">
      <c r="A1476" s="4" t="s">
        <v>1479</v>
      </c>
      <c r="B1476" s="5">
        <v>43956.0</v>
      </c>
      <c r="C1476" s="4" t="s">
        <v>6</v>
      </c>
    </row>
    <row r="1477" ht="15.75" customHeight="1">
      <c r="A1477" s="4" t="s">
        <v>1480</v>
      </c>
      <c r="B1477" s="5">
        <v>43990.0</v>
      </c>
      <c r="C1477" s="4" t="s">
        <v>4</v>
      </c>
    </row>
    <row r="1478" ht="15.75" customHeight="1">
      <c r="A1478" s="4" t="s">
        <v>1481</v>
      </c>
      <c r="B1478" s="5">
        <v>43899.0</v>
      </c>
      <c r="C1478" s="4" t="s">
        <v>4</v>
      </c>
    </row>
    <row r="1479" ht="15.75" customHeight="1">
      <c r="A1479" s="4" t="s">
        <v>1482</v>
      </c>
      <c r="B1479" s="5">
        <v>43986.0</v>
      </c>
      <c r="C1479" s="4" t="s">
        <v>4</v>
      </c>
    </row>
    <row r="1480" ht="15.75" customHeight="1">
      <c r="A1480" s="4" t="s">
        <v>1483</v>
      </c>
      <c r="B1480" s="5">
        <v>43839.0</v>
      </c>
      <c r="C1480" s="4" t="s">
        <v>4</v>
      </c>
    </row>
    <row r="1481" ht="15.75" customHeight="1">
      <c r="A1481" s="4" t="s">
        <v>1484</v>
      </c>
      <c r="B1481" s="5">
        <v>43906.0</v>
      </c>
      <c r="C1481" s="4" t="s">
        <v>6</v>
      </c>
    </row>
    <row r="1482" ht="15.75" customHeight="1">
      <c r="A1482" s="4" t="s">
        <v>1485</v>
      </c>
      <c r="B1482" s="5">
        <v>43955.0</v>
      </c>
      <c r="C1482" s="4" t="s">
        <v>6</v>
      </c>
    </row>
    <row r="1483" ht="15.75" customHeight="1">
      <c r="A1483" s="4" t="s">
        <v>1486</v>
      </c>
      <c r="B1483" s="5">
        <v>43930.0</v>
      </c>
      <c r="C1483" s="4" t="s">
        <v>4</v>
      </c>
    </row>
    <row r="1484" ht="15.75" customHeight="1">
      <c r="A1484" s="4" t="s">
        <v>1487</v>
      </c>
      <c r="B1484" s="5">
        <v>43899.0</v>
      </c>
      <c r="C1484" s="4" t="s">
        <v>4</v>
      </c>
    </row>
    <row r="1485" ht="15.75" customHeight="1">
      <c r="A1485" s="4" t="s">
        <v>1488</v>
      </c>
      <c r="B1485" s="5">
        <v>43954.0</v>
      </c>
      <c r="C1485" s="4" t="s">
        <v>6</v>
      </c>
    </row>
    <row r="1486" ht="15.75" customHeight="1">
      <c r="A1486" s="4" t="s">
        <v>1489</v>
      </c>
      <c r="B1486" s="5">
        <v>43908.0</v>
      </c>
      <c r="C1486" s="4" t="s">
        <v>6</v>
      </c>
    </row>
    <row r="1487" ht="15.75" customHeight="1">
      <c r="A1487" s="4" t="s">
        <v>1490</v>
      </c>
      <c r="B1487" s="5">
        <v>43899.0</v>
      </c>
      <c r="C1487" s="4" t="s">
        <v>4</v>
      </c>
    </row>
    <row r="1488" ht="15.75" customHeight="1">
      <c r="A1488" s="4" t="s">
        <v>1491</v>
      </c>
      <c r="B1488" s="5">
        <v>44005.0</v>
      </c>
      <c r="C1488" s="4" t="s">
        <v>6</v>
      </c>
    </row>
    <row r="1489" ht="15.75" customHeight="1">
      <c r="A1489" s="4" t="s">
        <v>1492</v>
      </c>
      <c r="B1489" s="5">
        <v>43953.0</v>
      </c>
      <c r="C1489" s="4" t="s">
        <v>6</v>
      </c>
    </row>
    <row r="1490" ht="15.75" customHeight="1">
      <c r="A1490" s="4" t="s">
        <v>1493</v>
      </c>
      <c r="B1490" s="5">
        <v>43935.0</v>
      </c>
      <c r="C1490" s="4" t="s">
        <v>4</v>
      </c>
    </row>
    <row r="1491" ht="15.75" customHeight="1">
      <c r="A1491" s="4" t="s">
        <v>1494</v>
      </c>
      <c r="B1491" s="5">
        <v>43845.0</v>
      </c>
      <c r="C1491" s="4" t="s">
        <v>4</v>
      </c>
    </row>
    <row r="1492" ht="15.75" customHeight="1">
      <c r="A1492" s="4" t="s">
        <v>1495</v>
      </c>
      <c r="B1492" s="5">
        <v>43944.0</v>
      </c>
      <c r="C1492" s="4" t="s">
        <v>6</v>
      </c>
    </row>
    <row r="1493" ht="15.75" customHeight="1">
      <c r="A1493" s="4" t="s">
        <v>1496</v>
      </c>
      <c r="B1493" s="5">
        <v>43953.0</v>
      </c>
      <c r="C1493" s="4" t="s">
        <v>6</v>
      </c>
    </row>
    <row r="1494" ht="15.75" customHeight="1">
      <c r="A1494" s="4" t="s">
        <v>1497</v>
      </c>
      <c r="B1494" s="5">
        <v>43910.0</v>
      </c>
      <c r="C1494" s="4" t="s">
        <v>6</v>
      </c>
    </row>
    <row r="1495" ht="15.75" customHeight="1">
      <c r="A1495" s="4" t="s">
        <v>1498</v>
      </c>
      <c r="B1495" s="5">
        <v>43952.0</v>
      </c>
      <c r="C1495" s="4" t="s">
        <v>6</v>
      </c>
    </row>
    <row r="1496" ht="15.75" customHeight="1">
      <c r="A1496" s="4" t="s">
        <v>1499</v>
      </c>
      <c r="B1496" s="5">
        <v>44012.0</v>
      </c>
      <c r="C1496" s="4" t="s">
        <v>6</v>
      </c>
    </row>
    <row r="1497" ht="15.75" customHeight="1">
      <c r="A1497" s="4" t="s">
        <v>1500</v>
      </c>
      <c r="B1497" s="5">
        <v>43928.0</v>
      </c>
      <c r="C1497" s="4" t="s">
        <v>4</v>
      </c>
    </row>
    <row r="1498" ht="15.75" customHeight="1">
      <c r="A1498" s="4" t="s">
        <v>1501</v>
      </c>
      <c r="B1498" s="5">
        <v>43999.0</v>
      </c>
      <c r="C1498" s="4" t="s">
        <v>6</v>
      </c>
    </row>
    <row r="1499" ht="15.75" customHeight="1">
      <c r="A1499" s="4" t="s">
        <v>1502</v>
      </c>
      <c r="B1499" s="5">
        <v>43952.0</v>
      </c>
      <c r="C1499" s="4" t="s">
        <v>6</v>
      </c>
    </row>
    <row r="1500" ht="15.75" customHeight="1">
      <c r="A1500" s="4" t="s">
        <v>1503</v>
      </c>
      <c r="B1500" s="5">
        <v>43887.0</v>
      </c>
      <c r="C1500" s="4" t="s">
        <v>15</v>
      </c>
    </row>
    <row r="1501" ht="15.75" customHeight="1">
      <c r="A1501" s="4" t="s">
        <v>1504</v>
      </c>
      <c r="B1501" s="5">
        <v>43934.0</v>
      </c>
      <c r="C1501" s="4" t="s">
        <v>4</v>
      </c>
    </row>
    <row r="1502" ht="15.75" customHeight="1">
      <c r="A1502" s="4" t="s">
        <v>1505</v>
      </c>
      <c r="B1502" s="5">
        <v>44011.0</v>
      </c>
      <c r="C1502" s="4" t="s">
        <v>6</v>
      </c>
    </row>
    <row r="1503" ht="15.75" customHeight="1">
      <c r="A1503" s="4" t="s">
        <v>1506</v>
      </c>
      <c r="B1503" s="5">
        <v>43917.0</v>
      </c>
      <c r="C1503" s="4" t="s">
        <v>6</v>
      </c>
    </row>
    <row r="1504" ht="15.75" customHeight="1">
      <c r="A1504" s="4" t="s">
        <v>1507</v>
      </c>
      <c r="B1504" s="5">
        <v>43909.0</v>
      </c>
      <c r="C1504" s="4" t="s">
        <v>21</v>
      </c>
    </row>
    <row r="1505" ht="15.75" customHeight="1">
      <c r="A1505" s="4" t="s">
        <v>1508</v>
      </c>
      <c r="B1505" s="5">
        <v>43952.0</v>
      </c>
      <c r="C1505" s="4" t="s">
        <v>6</v>
      </c>
    </row>
    <row r="1506" ht="15.75" customHeight="1">
      <c r="A1506" s="4" t="s">
        <v>1509</v>
      </c>
      <c r="B1506" s="5">
        <v>43911.0</v>
      </c>
      <c r="C1506" s="4" t="s">
        <v>6</v>
      </c>
    </row>
    <row r="1507" ht="15.75" customHeight="1">
      <c r="A1507" s="4" t="s">
        <v>1510</v>
      </c>
      <c r="B1507" s="5">
        <v>43929.0</v>
      </c>
      <c r="C1507" s="4" t="s">
        <v>4</v>
      </c>
    </row>
    <row r="1508" ht="15.75" customHeight="1">
      <c r="A1508" s="4" t="s">
        <v>1511</v>
      </c>
      <c r="B1508" s="5">
        <v>43899.0</v>
      </c>
      <c r="C1508" s="4" t="s">
        <v>4</v>
      </c>
    </row>
    <row r="1509" ht="15.75" customHeight="1">
      <c r="A1509" s="4" t="s">
        <v>1512</v>
      </c>
      <c r="B1509" s="5">
        <v>43906.0</v>
      </c>
      <c r="C1509" s="4" t="s">
        <v>6</v>
      </c>
    </row>
    <row r="1510" ht="15.75" customHeight="1">
      <c r="A1510" s="4" t="s">
        <v>1513</v>
      </c>
      <c r="B1510" s="5">
        <v>43917.0</v>
      </c>
      <c r="C1510" s="4" t="s">
        <v>6</v>
      </c>
    </row>
    <row r="1511" ht="15.75" customHeight="1">
      <c r="A1511" s="4" t="s">
        <v>1514</v>
      </c>
      <c r="B1511" s="5">
        <v>43955.0</v>
      </c>
      <c r="C1511" s="4" t="s">
        <v>6</v>
      </c>
    </row>
    <row r="1512" ht="15.75" customHeight="1">
      <c r="A1512" s="4" t="s">
        <v>1515</v>
      </c>
      <c r="B1512" s="5">
        <v>43952.0</v>
      </c>
      <c r="C1512" s="4" t="s">
        <v>6</v>
      </c>
    </row>
    <row r="1513" ht="15.75" customHeight="1">
      <c r="A1513" s="4" t="s">
        <v>1516</v>
      </c>
      <c r="B1513" s="5">
        <v>43934.0</v>
      </c>
      <c r="C1513" s="4" t="s">
        <v>4</v>
      </c>
    </row>
    <row r="1514" ht="15.75" customHeight="1">
      <c r="A1514" s="4" t="s">
        <v>1517</v>
      </c>
      <c r="B1514" s="5">
        <v>43958.0</v>
      </c>
      <c r="C1514" s="4" t="s">
        <v>6</v>
      </c>
    </row>
    <row r="1515" ht="15.75" customHeight="1">
      <c r="A1515" s="4" t="s">
        <v>1518</v>
      </c>
      <c r="B1515" s="5">
        <v>43899.0</v>
      </c>
      <c r="C1515" s="4" t="s">
        <v>4</v>
      </c>
    </row>
    <row r="1516" ht="15.75" customHeight="1">
      <c r="A1516" s="4" t="s">
        <v>1519</v>
      </c>
      <c r="B1516" s="5">
        <v>43906.0</v>
      </c>
      <c r="C1516" s="4" t="s">
        <v>6</v>
      </c>
    </row>
    <row r="1517" ht="15.75" customHeight="1">
      <c r="A1517" s="4" t="s">
        <v>1520</v>
      </c>
      <c r="B1517" s="5">
        <v>43951.0</v>
      </c>
      <c r="C1517" s="4" t="s">
        <v>6</v>
      </c>
    </row>
    <row r="1518" ht="15.75" customHeight="1">
      <c r="A1518" s="4" t="s">
        <v>1521</v>
      </c>
      <c r="B1518" s="5">
        <v>43985.0</v>
      </c>
      <c r="C1518" s="4" t="s">
        <v>15</v>
      </c>
    </row>
    <row r="1519" ht="15.75" customHeight="1">
      <c r="A1519" s="4" t="s">
        <v>1522</v>
      </c>
      <c r="B1519" s="5">
        <v>43983.0</v>
      </c>
      <c r="C1519" s="4" t="s">
        <v>21</v>
      </c>
    </row>
    <row r="1520" ht="15.75" customHeight="1">
      <c r="A1520" s="4" t="s">
        <v>1523</v>
      </c>
      <c r="B1520" s="5">
        <v>43942.0</v>
      </c>
      <c r="C1520" s="4" t="s">
        <v>21</v>
      </c>
    </row>
    <row r="1521" ht="15.75" customHeight="1">
      <c r="A1521" s="4" t="s">
        <v>1524</v>
      </c>
      <c r="B1521" s="5">
        <v>43969.0</v>
      </c>
      <c r="C1521" s="4" t="s">
        <v>6</v>
      </c>
    </row>
    <row r="1522" ht="15.75" customHeight="1">
      <c r="A1522" s="4" t="s">
        <v>1525</v>
      </c>
      <c r="B1522" s="5">
        <v>43896.0</v>
      </c>
      <c r="C1522" s="4" t="s">
        <v>4</v>
      </c>
    </row>
    <row r="1523" ht="15.75" customHeight="1">
      <c r="A1523" s="4" t="s">
        <v>1526</v>
      </c>
      <c r="B1523" s="5">
        <v>43929.0</v>
      </c>
      <c r="C1523" s="4" t="s">
        <v>4</v>
      </c>
    </row>
    <row r="1524" ht="15.75" customHeight="1">
      <c r="A1524" s="4" t="s">
        <v>1527</v>
      </c>
      <c r="B1524" s="5">
        <v>43928.0</v>
      </c>
      <c r="C1524" s="4" t="s">
        <v>4</v>
      </c>
    </row>
    <row r="1525" ht="15.75" customHeight="1">
      <c r="A1525" s="4" t="s">
        <v>1528</v>
      </c>
      <c r="B1525" s="5">
        <v>43998.0</v>
      </c>
      <c r="C1525" s="4" t="s">
        <v>6</v>
      </c>
    </row>
    <row r="1526" ht="15.75" customHeight="1">
      <c r="A1526" s="4" t="s">
        <v>1529</v>
      </c>
      <c r="B1526" s="5">
        <v>43951.0</v>
      </c>
      <c r="C1526" s="4" t="s">
        <v>6</v>
      </c>
    </row>
    <row r="1527" ht="15.75" customHeight="1">
      <c r="A1527" s="4" t="s">
        <v>1530</v>
      </c>
      <c r="B1527" s="5">
        <v>43951.0</v>
      </c>
      <c r="C1527" s="4" t="s">
        <v>6</v>
      </c>
    </row>
    <row r="1528" ht="15.75" customHeight="1">
      <c r="A1528" s="4" t="s">
        <v>1531</v>
      </c>
      <c r="B1528" s="5">
        <v>43930.0</v>
      </c>
      <c r="C1528" s="4" t="s">
        <v>4</v>
      </c>
    </row>
    <row r="1529" ht="15.75" customHeight="1">
      <c r="A1529" s="4" t="s">
        <v>1532</v>
      </c>
      <c r="B1529" s="5">
        <v>43832.0</v>
      </c>
      <c r="C1529" s="4" t="s">
        <v>4</v>
      </c>
    </row>
    <row r="1530" ht="15.75" customHeight="1">
      <c r="A1530" s="4" t="s">
        <v>1533</v>
      </c>
      <c r="B1530" s="5">
        <v>43962.0</v>
      </c>
      <c r="C1530" s="4" t="s">
        <v>6</v>
      </c>
    </row>
    <row r="1531" ht="15.75" customHeight="1">
      <c r="A1531" s="4" t="s">
        <v>1534</v>
      </c>
      <c r="B1531" s="5">
        <v>43963.0</v>
      </c>
      <c r="C1531" s="4" t="s">
        <v>6</v>
      </c>
    </row>
    <row r="1532" ht="15.75" customHeight="1">
      <c r="A1532" s="4" t="s">
        <v>1535</v>
      </c>
      <c r="B1532" s="5">
        <v>43973.0</v>
      </c>
      <c r="C1532" s="4" t="s">
        <v>4</v>
      </c>
    </row>
    <row r="1533" ht="15.75" customHeight="1">
      <c r="A1533" s="4" t="s">
        <v>1536</v>
      </c>
      <c r="B1533" s="5">
        <v>43951.0</v>
      </c>
      <c r="C1533" s="4" t="s">
        <v>6</v>
      </c>
    </row>
    <row r="1534" ht="15.75" customHeight="1">
      <c r="A1534" s="4" t="s">
        <v>1537</v>
      </c>
      <c r="B1534" s="5">
        <v>44009.0</v>
      </c>
      <c r="C1534" s="4" t="s">
        <v>6</v>
      </c>
    </row>
    <row r="1535" ht="15.75" customHeight="1">
      <c r="A1535" s="4" t="s">
        <v>1538</v>
      </c>
      <c r="B1535" s="5">
        <v>43965.0</v>
      </c>
      <c r="C1535" s="4" t="s">
        <v>6</v>
      </c>
    </row>
    <row r="1536" ht="15.75" customHeight="1">
      <c r="A1536" s="4"/>
      <c r="B1536" s="5">
        <v>43975.0</v>
      </c>
      <c r="C1536" s="4" t="s">
        <v>4</v>
      </c>
    </row>
    <row r="1537" ht="15.75" customHeight="1">
      <c r="A1537" s="4"/>
      <c r="B1537" s="5">
        <v>43962.0</v>
      </c>
      <c r="C1537" s="4" t="s">
        <v>21</v>
      </c>
    </row>
    <row r="1538" ht="15.75" customHeight="1">
      <c r="A1538" s="6"/>
      <c r="B1538" s="5">
        <v>43941.0</v>
      </c>
      <c r="C1538" s="4" t="s">
        <v>21</v>
      </c>
    </row>
    <row r="1539" ht="15.75" customHeight="1">
      <c r="A1539" s="6"/>
      <c r="B1539" s="5">
        <v>43928.0</v>
      </c>
      <c r="C1539" s="4" t="s">
        <v>21</v>
      </c>
    </row>
    <row r="1540" ht="15.75" customHeight="1">
      <c r="A1540" s="6"/>
      <c r="B1540" s="5">
        <v>43928.0</v>
      </c>
      <c r="C1540" s="4" t="s">
        <v>21</v>
      </c>
    </row>
    <row r="1541" ht="15.75" customHeight="1">
      <c r="A1541" s="6"/>
      <c r="B1541" s="5">
        <v>43926.0</v>
      </c>
      <c r="C1541" s="4" t="s">
        <v>47</v>
      </c>
    </row>
    <row r="1542" ht="15.75" customHeight="1">
      <c r="A1542" s="6"/>
      <c r="B1542" s="5">
        <v>43925.0</v>
      </c>
      <c r="C1542" s="4" t="s">
        <v>21</v>
      </c>
    </row>
    <row r="1543" ht="15.75" customHeight="1">
      <c r="A1543" s="6"/>
      <c r="B1543" s="5">
        <v>43925.0</v>
      </c>
      <c r="C1543" s="4" t="s">
        <v>21</v>
      </c>
    </row>
    <row r="1544" ht="15.75" customHeight="1">
      <c r="A1544" s="6"/>
      <c r="B1544" s="5">
        <v>43924.0</v>
      </c>
      <c r="C1544" s="4" t="s">
        <v>21</v>
      </c>
    </row>
    <row r="1545" ht="15.75" customHeight="1">
      <c r="A1545" s="6"/>
      <c r="B1545" s="5">
        <v>43924.0</v>
      </c>
      <c r="C1545" s="4" t="s">
        <v>21</v>
      </c>
    </row>
    <row r="1546" ht="15.75" customHeight="1">
      <c r="A1546" s="6"/>
      <c r="B1546" s="5">
        <v>43924.0</v>
      </c>
      <c r="C1546" s="4" t="s">
        <v>21</v>
      </c>
    </row>
    <row r="1547" ht="15.75" customHeight="1">
      <c r="A1547" s="6"/>
      <c r="B1547" s="5">
        <v>43924.0</v>
      </c>
      <c r="C1547" s="4" t="s">
        <v>21</v>
      </c>
    </row>
    <row r="1548" ht="15.75" customHeight="1">
      <c r="A1548" s="6"/>
      <c r="B1548" s="5">
        <v>43921.0</v>
      </c>
      <c r="C1548" s="4" t="s">
        <v>21</v>
      </c>
    </row>
    <row r="1549" ht="15.75" customHeight="1">
      <c r="A1549" s="6"/>
      <c r="B1549" s="5">
        <v>43886.0</v>
      </c>
      <c r="C1549" s="4" t="s">
        <v>47</v>
      </c>
    </row>
    <row r="1550" ht="15.75" customHeight="1">
      <c r="A1550" s="6"/>
      <c r="B1550" s="5">
        <v>43886.0</v>
      </c>
      <c r="C1550" s="4" t="s">
        <v>47</v>
      </c>
    </row>
    <row r="1551" ht="15.75" customHeight="1">
      <c r="A1551" s="6"/>
      <c r="B1551" s="5">
        <v>43885.0</v>
      </c>
      <c r="C1551" s="4" t="s">
        <v>21</v>
      </c>
    </row>
    <row r="1552" ht="15.75" customHeight="1">
      <c r="A1552" s="6"/>
      <c r="B1552" s="5">
        <v>43885.0</v>
      </c>
      <c r="C1552" s="4" t="s">
        <v>21</v>
      </c>
    </row>
    <row r="1553" ht="15.75" customHeight="1">
      <c r="A1553" s="6"/>
      <c r="B1553" s="5">
        <v>43885.0</v>
      </c>
      <c r="C1553" s="4" t="s">
        <v>53</v>
      </c>
    </row>
    <row r="1554" ht="15.75" customHeight="1">
      <c r="A1554" s="6"/>
      <c r="B1554" s="5">
        <v>43885.0</v>
      </c>
      <c r="C1554" s="4" t="s">
        <v>21</v>
      </c>
    </row>
    <row r="1555" ht="15.75" customHeight="1">
      <c r="A1555" s="6"/>
      <c r="B1555" s="5">
        <v>43885.0</v>
      </c>
      <c r="C1555" s="4" t="s">
        <v>21</v>
      </c>
    </row>
    <row r="1556" ht="15.75" customHeight="1">
      <c r="A1556" s="6"/>
      <c r="B1556" s="5">
        <v>43885.0</v>
      </c>
      <c r="C1556" s="4" t="s">
        <v>21</v>
      </c>
    </row>
    <row r="1557" ht="15.75" customHeight="1">
      <c r="A1557" s="6"/>
      <c r="B1557" s="5">
        <v>43885.0</v>
      </c>
      <c r="C1557" s="4" t="s">
        <v>15</v>
      </c>
    </row>
    <row r="1558" ht="15.75" customHeight="1">
      <c r="A1558" s="6"/>
      <c r="B1558" s="5">
        <v>43885.0</v>
      </c>
      <c r="C1558" s="4" t="s">
        <v>47</v>
      </c>
    </row>
    <row r="1559" ht="15.75" customHeight="1">
      <c r="A1559" s="6"/>
      <c r="B1559" s="5">
        <v>43885.0</v>
      </c>
      <c r="C1559" s="4" t="s">
        <v>21</v>
      </c>
    </row>
    <row r="1560" ht="15.75" customHeight="1">
      <c r="A1560" s="6"/>
      <c r="B1560" s="5">
        <v>43878.0</v>
      </c>
      <c r="C1560" s="4" t="s">
        <v>47</v>
      </c>
    </row>
    <row r="1561" ht="15.75" customHeight="1">
      <c r="A1561" s="6"/>
      <c r="B1561" s="5">
        <v>43871.0</v>
      </c>
      <c r="C1561" s="4" t="s">
        <v>6</v>
      </c>
    </row>
    <row r="1562" ht="15.75" customHeight="1">
      <c r="A1562" s="6"/>
      <c r="B1562" s="5">
        <v>43867.0</v>
      </c>
      <c r="C1562" s="4" t="s">
        <v>21</v>
      </c>
    </row>
    <row r="1563" ht="15.75" customHeight="1">
      <c r="A1563" s="6"/>
      <c r="B1563" s="5">
        <v>43866.0</v>
      </c>
      <c r="C1563" s="4" t="s">
        <v>21</v>
      </c>
    </row>
    <row r="1564" ht="15.75" customHeight="1">
      <c r="A1564" s="6"/>
      <c r="B1564" s="5">
        <v>43865.0</v>
      </c>
      <c r="C1564" s="4" t="s">
        <v>53</v>
      </c>
    </row>
    <row r="1565" ht="15.75" customHeight="1">
      <c r="A1565" s="6"/>
      <c r="B1565" s="5">
        <v>43865.0</v>
      </c>
      <c r="C1565" s="4" t="s">
        <v>21</v>
      </c>
    </row>
    <row r="1566" ht="15.75" customHeight="1">
      <c r="A1566" s="6"/>
      <c r="B1566" s="5">
        <v>43865.0</v>
      </c>
      <c r="C1566" s="4" t="s">
        <v>6</v>
      </c>
    </row>
    <row r="1567" ht="15.75" customHeight="1">
      <c r="A1567" s="6"/>
      <c r="B1567" s="5">
        <v>43865.0</v>
      </c>
      <c r="C1567" s="4" t="s">
        <v>21</v>
      </c>
    </row>
    <row r="1568" ht="15.75" customHeight="1">
      <c r="A1568" s="6"/>
      <c r="B1568" s="5">
        <v>43865.0</v>
      </c>
      <c r="C1568" s="4" t="s">
        <v>21</v>
      </c>
    </row>
    <row r="1569" ht="15.75" customHeight="1">
      <c r="A1569" s="6"/>
      <c r="B1569" s="5">
        <v>43865.0</v>
      </c>
      <c r="C1569" s="4" t="s">
        <v>47</v>
      </c>
    </row>
    <row r="1570" ht="15.75" customHeight="1">
      <c r="A1570" s="6"/>
      <c r="B1570" s="5">
        <v>43864.0</v>
      </c>
      <c r="C1570" s="4" t="s">
        <v>21</v>
      </c>
    </row>
    <row r="1571" ht="15.75" customHeight="1">
      <c r="A1571" s="6"/>
      <c r="B1571" s="5">
        <v>43864.0</v>
      </c>
      <c r="C1571" s="4" t="s">
        <v>21</v>
      </c>
    </row>
    <row r="1572" ht="15.75" customHeight="1">
      <c r="A1572" s="6"/>
      <c r="B1572" s="5">
        <v>43864.0</v>
      </c>
      <c r="C1572" s="4" t="s">
        <v>21</v>
      </c>
    </row>
    <row r="1573" ht="15.75" customHeight="1">
      <c r="A1573" s="6"/>
      <c r="B1573" s="5">
        <v>43864.0</v>
      </c>
      <c r="C1573" s="4" t="s">
        <v>21</v>
      </c>
    </row>
    <row r="1574" ht="15.75" customHeight="1">
      <c r="A1574" s="6"/>
      <c r="B1574" s="5">
        <v>43864.0</v>
      </c>
      <c r="C1574" s="4" t="s">
        <v>21</v>
      </c>
    </row>
    <row r="1575" ht="15.75" customHeight="1">
      <c r="A1575" s="6"/>
      <c r="B1575" s="5">
        <v>43846.0</v>
      </c>
      <c r="C1575" s="4" t="s">
        <v>21</v>
      </c>
    </row>
    <row r="1576" ht="15.75" customHeight="1">
      <c r="A1576" s="6"/>
      <c r="B1576" s="5">
        <v>43846.0</v>
      </c>
      <c r="C1576" s="4" t="s">
        <v>21</v>
      </c>
    </row>
    <row r="1577" ht="15.75" customHeight="1">
      <c r="A1577" s="6"/>
      <c r="B1577" s="5">
        <v>43846.0</v>
      </c>
      <c r="C1577" s="4" t="s">
        <v>21</v>
      </c>
    </row>
    <row r="1578" ht="15.75" customHeight="1">
      <c r="A1578" s="6"/>
      <c r="B1578" s="5">
        <v>43846.0</v>
      </c>
      <c r="C1578" s="4" t="s">
        <v>21</v>
      </c>
    </row>
    <row r="1579" ht="15.75" customHeight="1">
      <c r="A1579" s="6"/>
      <c r="B1579" s="5">
        <v>43844.0</v>
      </c>
      <c r="C1579" s="4" t="s">
        <v>21</v>
      </c>
    </row>
    <row r="1580" ht="15.75" customHeight="1">
      <c r="A1580" s="6"/>
      <c r="B1580" s="5">
        <v>43844.0</v>
      </c>
      <c r="C1580" s="4" t="s">
        <v>21</v>
      </c>
    </row>
    <row r="1581" ht="15.75" customHeight="1">
      <c r="A1581" s="6"/>
      <c r="B1581" s="5">
        <v>43844.0</v>
      </c>
      <c r="C1581" s="4" t="s">
        <v>47</v>
      </c>
    </row>
    <row r="1582" ht="15.75" customHeight="1">
      <c r="A1582" s="6"/>
      <c r="B1582" s="5">
        <v>43843.0</v>
      </c>
      <c r="C1582" s="4" t="s">
        <v>21</v>
      </c>
    </row>
    <row r="1583" ht="15.75" customHeight="1">
      <c r="A1583" s="6"/>
      <c r="B1583" s="5">
        <v>43840.0</v>
      </c>
      <c r="C1583" s="4" t="s">
        <v>21</v>
      </c>
    </row>
    <row r="1584" ht="15.75" customHeight="1">
      <c r="A1584" s="6"/>
      <c r="B1584" s="5">
        <v>43840.0</v>
      </c>
      <c r="C1584" s="4" t="s">
        <v>21</v>
      </c>
    </row>
    <row r="1585" ht="15.75" customHeight="1">
      <c r="A1585" s="6"/>
      <c r="B1585" s="5">
        <v>43840.0</v>
      </c>
      <c r="C1585" s="4" t="s">
        <v>21</v>
      </c>
    </row>
    <row r="1586" ht="15.75" customHeight="1">
      <c r="A1586" s="6"/>
      <c r="B1586" s="5">
        <v>43840.0</v>
      </c>
      <c r="C1586" s="4" t="s">
        <v>21</v>
      </c>
    </row>
    <row r="1587" ht="15.75" customHeight="1">
      <c r="A1587" s="6"/>
      <c r="B1587" s="5">
        <v>43839.0</v>
      </c>
      <c r="C1587" s="4" t="s">
        <v>21</v>
      </c>
    </row>
    <row r="1588" ht="15.75" customHeight="1">
      <c r="A1588" s="6"/>
      <c r="B1588" s="5">
        <v>43839.0</v>
      </c>
      <c r="C1588" s="4" t="s">
        <v>21</v>
      </c>
    </row>
    <row r="1589" ht="15.75" customHeight="1">
      <c r="A1589" s="6"/>
      <c r="B1589" s="5">
        <v>43838.0</v>
      </c>
      <c r="C1589" s="4" t="s">
        <v>21</v>
      </c>
    </row>
    <row r="1590" ht="15.75" customHeight="1">
      <c r="A1590" s="6"/>
      <c r="B1590" s="5">
        <v>43838.0</v>
      </c>
      <c r="C1590" s="4" t="s">
        <v>21</v>
      </c>
    </row>
    <row r="1591" ht="15.75" customHeight="1">
      <c r="A1591" s="6"/>
      <c r="B1591" s="5">
        <v>43838.0</v>
      </c>
      <c r="C1591" s="4" t="s">
        <v>21</v>
      </c>
    </row>
    <row r="1592" ht="15.75" customHeight="1">
      <c r="A1592" s="6"/>
      <c r="B1592" s="5">
        <v>43838.0</v>
      </c>
      <c r="C1592" s="4" t="s">
        <v>21</v>
      </c>
    </row>
    <row r="1593" ht="15.75" customHeight="1">
      <c r="A1593" s="6"/>
      <c r="B1593" s="5">
        <v>43838.0</v>
      </c>
      <c r="C1593" s="4" t="s">
        <v>21</v>
      </c>
    </row>
    <row r="1594" ht="15.75" customHeight="1">
      <c r="A1594" s="6"/>
      <c r="B1594" s="5">
        <v>43837.0</v>
      </c>
      <c r="C1594" s="4" t="s">
        <v>21</v>
      </c>
    </row>
    <row r="1595" ht="15.75" customHeight="1">
      <c r="A1595" s="6"/>
      <c r="B1595" s="5">
        <v>43833.0</v>
      </c>
      <c r="C1595" s="4" t="s">
        <v>47</v>
      </c>
    </row>
    <row r="1596" ht="15.75" customHeight="1">
      <c r="A1596" s="7"/>
      <c r="B1596" s="8"/>
      <c r="C1596" s="7"/>
    </row>
    <row r="1597" ht="15.75" customHeight="1">
      <c r="A1597" s="7"/>
      <c r="B1597" s="8"/>
      <c r="C1597" s="7"/>
    </row>
    <row r="1598" ht="15.75" customHeight="1">
      <c r="A1598" s="7"/>
      <c r="B1598" s="8"/>
      <c r="C1598" s="7"/>
    </row>
    <row r="1599" ht="15.75" customHeight="1">
      <c r="A1599" s="7"/>
      <c r="B1599" s="8"/>
      <c r="C1599" s="7"/>
    </row>
    <row r="1600" ht="15.75" customHeight="1">
      <c r="A1600" s="7"/>
      <c r="B1600" s="8"/>
      <c r="C1600" s="7"/>
    </row>
    <row r="1601" ht="15.75" customHeight="1">
      <c r="A1601" s="7"/>
      <c r="B1601" s="8"/>
      <c r="C1601" s="7"/>
    </row>
    <row r="1602" ht="15.75" customHeight="1">
      <c r="A1602" s="7"/>
      <c r="B1602" s="8"/>
      <c r="C1602" s="7"/>
    </row>
    <row r="1603" ht="15.75" customHeight="1">
      <c r="A1603" s="7"/>
      <c r="B1603" s="8"/>
      <c r="C1603" s="7"/>
    </row>
    <row r="1604" ht="15.75" customHeight="1">
      <c r="A1604" s="7"/>
      <c r="B1604" s="8"/>
      <c r="C1604" s="7"/>
    </row>
    <row r="1605" ht="15.75" customHeight="1">
      <c r="A1605" s="7"/>
      <c r="B1605" s="8"/>
      <c r="C1605" s="7"/>
    </row>
    <row r="1606" ht="15.75" customHeight="1">
      <c r="A1606" s="7"/>
      <c r="B1606" s="8"/>
      <c r="C1606" s="7"/>
    </row>
    <row r="1607" ht="15.75" customHeight="1">
      <c r="A1607" s="7"/>
      <c r="B1607" s="8"/>
      <c r="C1607" s="7"/>
    </row>
    <row r="1608" ht="15.75" customHeight="1">
      <c r="A1608" s="7"/>
      <c r="B1608" s="8"/>
      <c r="C1608" s="7"/>
    </row>
    <row r="1609" ht="15.75" customHeight="1">
      <c r="A1609" s="7"/>
      <c r="B1609" s="8"/>
      <c r="C1609" s="7"/>
    </row>
    <row r="1610" ht="15.75" customHeight="1">
      <c r="A1610" s="7"/>
      <c r="B1610" s="8"/>
      <c r="C1610" s="7"/>
    </row>
    <row r="1611" ht="15.75" customHeight="1">
      <c r="A1611" s="7"/>
      <c r="B1611" s="8"/>
      <c r="C1611" s="7"/>
    </row>
    <row r="1612" ht="15.75" customHeight="1">
      <c r="A1612" s="7"/>
      <c r="B1612" s="8"/>
      <c r="C1612" s="7"/>
    </row>
    <row r="1613" ht="15.75" customHeight="1">
      <c r="A1613" s="7"/>
      <c r="B1613" s="8"/>
      <c r="C1613" s="7"/>
    </row>
    <row r="1614" ht="15.75" customHeight="1">
      <c r="A1614" s="7"/>
      <c r="B1614" s="8"/>
      <c r="C1614" s="7"/>
    </row>
    <row r="1615" ht="15.75" customHeight="1">
      <c r="A1615" s="7"/>
      <c r="B1615" s="8"/>
      <c r="C1615" s="7"/>
    </row>
    <row r="1616" ht="15.75" customHeight="1">
      <c r="A1616" s="7"/>
      <c r="B1616" s="8"/>
      <c r="C1616" s="7"/>
    </row>
    <row r="1617" ht="15.75" customHeight="1">
      <c r="A1617" s="7"/>
      <c r="B1617" s="8"/>
      <c r="C1617" s="7"/>
    </row>
    <row r="1618" ht="15.75" customHeight="1">
      <c r="A1618" s="7"/>
      <c r="B1618" s="8"/>
      <c r="C1618" s="7"/>
    </row>
    <row r="1619" ht="15.75" customHeight="1">
      <c r="A1619" s="7"/>
      <c r="B1619" s="8"/>
      <c r="C1619" s="7"/>
    </row>
    <row r="1620" ht="15.75" customHeight="1">
      <c r="A1620" s="7"/>
      <c r="B1620" s="8"/>
      <c r="C1620" s="7"/>
    </row>
    <row r="1621" ht="15.75" customHeight="1">
      <c r="A1621" s="7"/>
      <c r="B1621" s="8"/>
      <c r="C1621" s="7"/>
    </row>
    <row r="1622" ht="15.75" customHeight="1">
      <c r="A1622" s="7"/>
      <c r="B1622" s="8"/>
      <c r="C1622" s="7"/>
    </row>
    <row r="1623" ht="15.75" customHeight="1">
      <c r="A1623" s="7"/>
      <c r="B1623" s="8"/>
      <c r="C1623" s="7"/>
    </row>
    <row r="1624" ht="15.75" customHeight="1">
      <c r="A1624" s="7"/>
      <c r="B1624" s="8"/>
      <c r="C1624" s="7"/>
    </row>
    <row r="1625" ht="15.75" customHeight="1">
      <c r="A1625" s="7"/>
      <c r="B1625" s="8"/>
      <c r="C1625" s="7"/>
    </row>
    <row r="1626" ht="15.75" customHeight="1">
      <c r="A1626" s="7"/>
      <c r="B1626" s="8"/>
      <c r="C1626" s="7"/>
    </row>
    <row r="1627" ht="15.75" customHeight="1">
      <c r="A1627" s="7"/>
      <c r="B1627" s="8"/>
      <c r="C1627" s="7"/>
    </row>
    <row r="1628" ht="15.75" customHeight="1">
      <c r="A1628" s="7"/>
      <c r="B1628" s="8"/>
      <c r="C1628" s="7"/>
    </row>
    <row r="1629" ht="15.75" customHeight="1">
      <c r="A1629" s="7"/>
      <c r="B1629" s="8"/>
      <c r="C1629" s="7"/>
    </row>
    <row r="1630" ht="15.75" customHeight="1">
      <c r="A1630" s="7"/>
      <c r="B1630" s="8"/>
      <c r="C1630" s="7"/>
    </row>
    <row r="1631" ht="15.75" customHeight="1">
      <c r="A1631" s="7"/>
      <c r="B1631" s="8"/>
      <c r="C1631" s="7"/>
    </row>
    <row r="1632" ht="15.75" customHeight="1">
      <c r="A1632" s="7"/>
      <c r="B1632" s="8"/>
      <c r="C1632" s="7"/>
    </row>
    <row r="1633" ht="15.75" customHeight="1">
      <c r="A1633" s="7"/>
      <c r="B1633" s="8"/>
      <c r="C1633" s="7"/>
    </row>
    <row r="1634" ht="15.75" customHeight="1">
      <c r="A1634" s="7"/>
      <c r="B1634" s="8"/>
      <c r="C1634" s="7"/>
    </row>
    <row r="1635" ht="15.75" customHeight="1">
      <c r="A1635" s="7"/>
      <c r="B1635" s="8"/>
      <c r="C1635" s="7"/>
    </row>
    <row r="1636" ht="15.75" customHeight="1">
      <c r="A1636" s="7"/>
      <c r="B1636" s="8"/>
      <c r="C1636" s="7"/>
    </row>
    <row r="1637" ht="15.75" customHeight="1">
      <c r="A1637" s="7"/>
      <c r="B1637" s="8"/>
      <c r="C1637" s="7"/>
    </row>
    <row r="1638" ht="15.75" customHeight="1">
      <c r="A1638" s="7"/>
      <c r="B1638" s="8"/>
      <c r="C1638" s="7"/>
    </row>
    <row r="1639" ht="15.75" customHeight="1">
      <c r="A1639" s="7"/>
      <c r="B1639" s="8"/>
      <c r="C1639" s="7"/>
    </row>
    <row r="1640" ht="15.75" customHeight="1">
      <c r="A1640" s="7"/>
      <c r="B1640" s="8"/>
      <c r="C1640" s="7"/>
    </row>
    <row r="1641" ht="15.75" customHeight="1">
      <c r="A1641" s="7"/>
      <c r="B1641" s="8"/>
      <c r="C1641" s="7"/>
    </row>
    <row r="1642" ht="15.75" customHeight="1">
      <c r="A1642" s="7"/>
      <c r="B1642" s="8"/>
      <c r="C1642" s="7"/>
    </row>
    <row r="1643" ht="15.75" customHeight="1">
      <c r="A1643" s="7"/>
      <c r="B1643" s="8"/>
      <c r="C1643" s="7"/>
    </row>
    <row r="1644" ht="15.75" customHeight="1">
      <c r="A1644" s="7"/>
      <c r="B1644" s="8"/>
      <c r="C1644" s="7"/>
    </row>
    <row r="1645" ht="15.75" customHeight="1">
      <c r="A1645" s="7"/>
      <c r="B1645" s="8"/>
      <c r="C1645" s="7"/>
    </row>
    <row r="1646" ht="15.75" customHeight="1">
      <c r="A1646" s="7"/>
      <c r="B1646" s="8"/>
      <c r="C1646" s="7"/>
    </row>
    <row r="1647" ht="15.75" customHeight="1">
      <c r="A1647" s="7"/>
      <c r="B1647" s="8"/>
      <c r="C1647" s="7"/>
    </row>
    <row r="1648" ht="15.75" customHeight="1">
      <c r="A1648" s="7"/>
      <c r="B1648" s="8"/>
      <c r="C1648" s="7"/>
    </row>
    <row r="1649" ht="15.75" customHeight="1">
      <c r="A1649" s="7"/>
      <c r="B1649" s="8"/>
      <c r="C1649" s="7"/>
    </row>
    <row r="1650" ht="15.75" customHeight="1">
      <c r="A1650" s="7"/>
      <c r="B1650" s="8"/>
      <c r="C1650" s="7"/>
    </row>
    <row r="1651" ht="15.75" customHeight="1">
      <c r="A1651" s="7"/>
      <c r="B1651" s="8"/>
      <c r="C1651" s="7"/>
    </row>
    <row r="1652" ht="15.75" customHeight="1">
      <c r="A1652" s="7"/>
      <c r="B1652" s="8"/>
      <c r="C1652" s="7"/>
    </row>
    <row r="1653" ht="15.75" customHeight="1">
      <c r="A1653" s="7"/>
      <c r="B1653" s="8"/>
      <c r="C1653" s="7"/>
    </row>
    <row r="1654" ht="15.75" customHeight="1">
      <c r="A1654" s="7"/>
      <c r="B1654" s="8"/>
      <c r="C1654" s="7"/>
    </row>
    <row r="1655" ht="15.75" customHeight="1">
      <c r="A1655" s="7"/>
      <c r="B1655" s="8"/>
      <c r="C1655" s="7"/>
    </row>
    <row r="1656" ht="15.75" customHeight="1">
      <c r="A1656" s="7"/>
      <c r="B1656" s="8"/>
      <c r="C1656" s="7"/>
    </row>
    <row r="1657" ht="15.75" customHeight="1">
      <c r="A1657" s="7"/>
      <c r="B1657" s="8"/>
      <c r="C1657" s="7"/>
    </row>
    <row r="1658" ht="15.75" customHeight="1">
      <c r="A1658" s="7"/>
      <c r="B1658" s="8"/>
      <c r="C1658" s="7"/>
    </row>
    <row r="1659" ht="15.75" customHeight="1">
      <c r="A1659" s="7"/>
      <c r="B1659" s="8"/>
      <c r="C1659" s="7"/>
    </row>
    <row r="1660" ht="15.75" customHeight="1">
      <c r="A1660" s="7"/>
      <c r="B1660" s="8"/>
      <c r="C1660" s="7"/>
    </row>
    <row r="1661" ht="15.75" customHeight="1">
      <c r="A1661" s="7"/>
      <c r="B1661" s="8"/>
      <c r="C1661" s="7"/>
    </row>
    <row r="1662" ht="15.75" customHeight="1">
      <c r="A1662" s="7"/>
      <c r="B1662" s="8"/>
      <c r="C1662" s="7"/>
    </row>
    <row r="1663" ht="15.75" customHeight="1">
      <c r="A1663" s="7"/>
      <c r="B1663" s="8"/>
      <c r="C1663" s="7"/>
    </row>
    <row r="1664" ht="15.75" customHeight="1">
      <c r="A1664" s="7"/>
      <c r="B1664" s="8"/>
      <c r="C1664" s="7"/>
    </row>
    <row r="1665" ht="15.75" customHeight="1">
      <c r="A1665" s="7"/>
      <c r="B1665" s="8"/>
      <c r="C1665" s="7"/>
    </row>
    <row r="1666" ht="15.75" customHeight="1">
      <c r="A1666" s="7"/>
      <c r="B1666" s="8"/>
      <c r="C1666" s="7"/>
    </row>
    <row r="1667" ht="15.75" customHeight="1">
      <c r="A1667" s="7"/>
      <c r="B1667" s="8"/>
      <c r="C1667" s="7"/>
    </row>
    <row r="1668" ht="15.75" customHeight="1">
      <c r="A1668" s="7"/>
      <c r="B1668" s="8"/>
      <c r="C1668" s="7"/>
    </row>
    <row r="1669" ht="15.75" customHeight="1">
      <c r="A1669" s="7"/>
      <c r="B1669" s="8"/>
      <c r="C1669" s="7"/>
    </row>
    <row r="1670" ht="15.75" customHeight="1">
      <c r="A1670" s="7"/>
      <c r="B1670" s="8"/>
      <c r="C1670" s="7"/>
    </row>
    <row r="1671" ht="15.75" customHeight="1">
      <c r="A1671" s="7"/>
      <c r="B1671" s="8"/>
      <c r="C1671" s="7"/>
    </row>
    <row r="1672" ht="15.75" customHeight="1">
      <c r="A1672" s="7"/>
      <c r="B1672" s="8"/>
      <c r="C1672" s="7"/>
    </row>
    <row r="1673" ht="15.75" customHeight="1">
      <c r="A1673" s="7"/>
      <c r="B1673" s="8"/>
      <c r="C1673" s="7"/>
    </row>
    <row r="1674" ht="15.75" customHeight="1">
      <c r="A1674" s="7"/>
      <c r="B1674" s="8"/>
      <c r="C1674" s="7"/>
    </row>
    <row r="1675" ht="15.75" customHeight="1">
      <c r="A1675" s="7"/>
      <c r="B1675" s="8"/>
      <c r="C1675" s="7"/>
    </row>
    <row r="1676" ht="15.75" customHeight="1">
      <c r="A1676" s="7"/>
      <c r="B1676" s="8"/>
      <c r="C1676" s="7"/>
    </row>
    <row r="1677" ht="15.75" customHeight="1">
      <c r="A1677" s="7"/>
      <c r="B1677" s="8"/>
      <c r="C1677" s="7"/>
    </row>
    <row r="1678" ht="15.75" customHeight="1">
      <c r="A1678" s="7"/>
      <c r="B1678" s="8"/>
      <c r="C1678" s="7"/>
    </row>
    <row r="1679" ht="15.75" customHeight="1">
      <c r="A1679" s="7"/>
      <c r="B1679" s="8"/>
      <c r="C1679" s="7"/>
    </row>
    <row r="1680" ht="15.75" customHeight="1">
      <c r="A1680" s="7"/>
      <c r="B1680" s="8"/>
      <c r="C1680" s="7"/>
    </row>
    <row r="1681" ht="15.75" customHeight="1">
      <c r="A1681" s="7"/>
      <c r="B1681" s="8"/>
      <c r="C1681" s="7"/>
    </row>
    <row r="1682" ht="15.75" customHeight="1">
      <c r="A1682" s="7"/>
      <c r="B1682" s="8"/>
      <c r="C1682" s="7"/>
    </row>
    <row r="1683" ht="15.75" customHeight="1">
      <c r="A1683" s="7"/>
      <c r="B1683" s="8"/>
      <c r="C1683" s="7"/>
    </row>
    <row r="1684" ht="15.75" customHeight="1">
      <c r="A1684" s="7"/>
      <c r="B1684" s="8"/>
      <c r="C1684" s="7"/>
    </row>
    <row r="1685" ht="15.75" customHeight="1">
      <c r="A1685" s="7"/>
      <c r="B1685" s="8"/>
      <c r="C1685" s="7"/>
    </row>
    <row r="1686" ht="15.75" customHeight="1">
      <c r="A1686" s="7"/>
      <c r="B1686" s="8"/>
      <c r="C1686" s="7"/>
    </row>
    <row r="1687" ht="15.75" customHeight="1">
      <c r="A1687" s="7"/>
      <c r="B1687" s="8"/>
      <c r="C1687" s="7"/>
    </row>
    <row r="1688" ht="15.75" customHeight="1">
      <c r="A1688" s="7"/>
      <c r="B1688" s="8"/>
      <c r="C1688" s="7"/>
    </row>
    <row r="1689" ht="15.75" customHeight="1">
      <c r="A1689" s="7"/>
      <c r="B1689" s="8"/>
      <c r="C1689" s="7"/>
    </row>
    <row r="1690" ht="15.75" customHeight="1">
      <c r="A1690" s="7"/>
      <c r="B1690" s="8"/>
      <c r="C1690" s="7"/>
    </row>
    <row r="1691" ht="15.75" customHeight="1">
      <c r="A1691" s="7"/>
      <c r="B1691" s="8"/>
      <c r="C1691" s="7"/>
    </row>
    <row r="1692" ht="15.75" customHeight="1">
      <c r="A1692" s="7"/>
      <c r="B1692" s="8"/>
      <c r="C1692" s="7"/>
    </row>
    <row r="1693" ht="15.75" customHeight="1">
      <c r="A1693" s="7"/>
      <c r="B1693" s="8"/>
      <c r="C1693" s="7"/>
    </row>
    <row r="1694" ht="15.75" customHeight="1">
      <c r="A1694" s="7"/>
      <c r="B1694" s="8"/>
      <c r="C1694" s="7"/>
    </row>
    <row r="1695" ht="15.75" customHeight="1">
      <c r="A1695" s="7"/>
      <c r="B1695" s="8"/>
      <c r="C1695" s="7"/>
    </row>
    <row r="1696" ht="15.75" customHeight="1">
      <c r="A1696" s="7"/>
      <c r="B1696" s="8"/>
      <c r="C1696" s="7"/>
    </row>
    <row r="1697" ht="15.75" customHeight="1">
      <c r="A1697" s="7"/>
      <c r="B1697" s="8"/>
      <c r="C1697" s="7"/>
    </row>
    <row r="1698" ht="15.75" customHeight="1">
      <c r="A1698" s="7"/>
      <c r="B1698" s="8"/>
      <c r="C1698" s="7"/>
    </row>
    <row r="1699" ht="15.75" customHeight="1">
      <c r="A1699" s="7"/>
      <c r="B1699" s="8"/>
      <c r="C1699" s="7"/>
    </row>
    <row r="1700" ht="15.75" customHeight="1">
      <c r="A1700" s="7"/>
      <c r="B1700" s="8"/>
      <c r="C1700" s="7"/>
    </row>
    <row r="1701" ht="15.75" customHeight="1">
      <c r="A1701" s="7"/>
      <c r="B1701" s="8"/>
      <c r="C1701" s="7"/>
    </row>
    <row r="1702" ht="15.75" customHeight="1">
      <c r="A1702" s="7"/>
      <c r="B1702" s="8"/>
      <c r="C1702" s="7"/>
    </row>
    <row r="1703" ht="15.75" customHeight="1">
      <c r="A1703" s="7"/>
      <c r="B1703" s="8"/>
      <c r="C1703" s="7"/>
    </row>
    <row r="1704" ht="15.75" customHeight="1">
      <c r="A1704" s="7"/>
      <c r="B1704" s="8"/>
      <c r="C1704" s="7"/>
    </row>
    <row r="1705" ht="15.75" customHeight="1">
      <c r="A1705" s="7"/>
      <c r="B1705" s="8"/>
      <c r="C1705" s="7"/>
    </row>
    <row r="1706" ht="15.75" customHeight="1">
      <c r="A1706" s="7"/>
      <c r="B1706" s="8"/>
      <c r="C1706" s="7"/>
    </row>
    <row r="1707" ht="15.75" customHeight="1">
      <c r="A1707" s="7"/>
      <c r="B1707" s="8"/>
      <c r="C1707" s="7"/>
    </row>
    <row r="1708" ht="15.75" customHeight="1">
      <c r="A1708" s="7"/>
      <c r="B1708" s="8"/>
      <c r="C1708" s="7"/>
    </row>
    <row r="1709" ht="15.75" customHeight="1">
      <c r="A1709" s="7"/>
      <c r="B1709" s="8"/>
      <c r="C1709" s="7"/>
    </row>
    <row r="1710" ht="15.75" customHeight="1">
      <c r="A1710" s="7"/>
      <c r="B1710" s="8"/>
      <c r="C1710" s="7"/>
    </row>
    <row r="1711" ht="15.75" customHeight="1">
      <c r="A1711" s="7"/>
      <c r="B1711" s="8"/>
      <c r="C1711" s="7"/>
    </row>
    <row r="1712" ht="15.75" customHeight="1">
      <c r="A1712" s="7"/>
      <c r="B1712" s="8"/>
      <c r="C1712" s="7"/>
    </row>
    <row r="1713" ht="15.75" customHeight="1">
      <c r="A1713" s="7"/>
      <c r="B1713" s="8"/>
      <c r="C1713" s="7"/>
    </row>
    <row r="1714" ht="15.75" customHeight="1">
      <c r="A1714" s="7"/>
      <c r="B1714" s="8"/>
      <c r="C1714" s="7"/>
    </row>
    <row r="1715" ht="15.75" customHeight="1">
      <c r="A1715" s="7"/>
      <c r="B1715" s="8"/>
      <c r="C1715" s="7"/>
    </row>
    <row r="1716" ht="15.75" customHeight="1">
      <c r="A1716" s="7"/>
      <c r="B1716" s="8"/>
      <c r="C1716" s="7"/>
    </row>
    <row r="1717" ht="15.75" customHeight="1">
      <c r="A1717" s="7"/>
      <c r="B1717" s="8"/>
      <c r="C1717" s="7"/>
    </row>
    <row r="1718" ht="15.75" customHeight="1">
      <c r="A1718" s="7"/>
      <c r="B1718" s="8"/>
      <c r="C1718" s="7"/>
    </row>
    <row r="1719" ht="15.75" customHeight="1">
      <c r="A1719" s="7"/>
      <c r="B1719" s="8"/>
      <c r="C1719" s="7"/>
    </row>
    <row r="1720" ht="15.75" customHeight="1">
      <c r="A1720" s="7"/>
      <c r="B1720" s="8"/>
      <c r="C1720" s="7"/>
    </row>
    <row r="1721" ht="15.75" customHeight="1">
      <c r="A1721" s="7"/>
      <c r="B1721" s="8"/>
      <c r="C1721" s="7"/>
    </row>
    <row r="1722" ht="15.75" customHeight="1">
      <c r="A1722" s="7"/>
      <c r="B1722" s="8"/>
      <c r="C1722" s="7"/>
    </row>
    <row r="1723" ht="15.75" customHeight="1">
      <c r="A1723" s="7"/>
      <c r="B1723" s="8"/>
      <c r="C1723" s="7"/>
    </row>
    <row r="1724" ht="15.75" customHeight="1">
      <c r="A1724" s="7"/>
      <c r="B1724" s="8"/>
      <c r="C1724" s="7"/>
    </row>
    <row r="1725" ht="15.75" customHeight="1">
      <c r="A1725" s="7"/>
      <c r="B1725" s="8"/>
      <c r="C1725" s="7"/>
    </row>
    <row r="1726" ht="15.75" customHeight="1">
      <c r="A1726" s="7"/>
      <c r="B1726" s="8"/>
      <c r="C1726" s="7"/>
    </row>
    <row r="1727" ht="15.75" customHeight="1">
      <c r="A1727" s="7"/>
      <c r="B1727" s="8"/>
      <c r="C1727" s="7"/>
    </row>
    <row r="1728" ht="15.75" customHeight="1">
      <c r="A1728" s="7"/>
      <c r="B1728" s="8"/>
      <c r="C1728" s="7"/>
    </row>
    <row r="1729" ht="15.75" customHeight="1">
      <c r="A1729" s="7"/>
      <c r="B1729" s="8"/>
      <c r="C1729" s="7"/>
    </row>
    <row r="1730" ht="15.75" customHeight="1">
      <c r="A1730" s="7"/>
      <c r="B1730" s="8"/>
      <c r="C1730" s="7"/>
    </row>
    <row r="1731" ht="15.75" customHeight="1">
      <c r="A1731" s="7"/>
      <c r="B1731" s="8"/>
      <c r="C1731" s="7"/>
    </row>
    <row r="1732" ht="15.75" customHeight="1">
      <c r="A1732" s="7"/>
      <c r="B1732" s="8"/>
      <c r="C1732" s="7"/>
    </row>
    <row r="1733" ht="15.75" customHeight="1">
      <c r="A1733" s="7"/>
      <c r="B1733" s="8"/>
      <c r="C1733" s="7"/>
    </row>
    <row r="1734" ht="15.75" customHeight="1">
      <c r="A1734" s="7"/>
      <c r="B1734" s="8"/>
      <c r="C1734" s="7"/>
    </row>
    <row r="1735" ht="15.75" customHeight="1">
      <c r="A1735" s="7"/>
      <c r="B1735" s="8"/>
      <c r="C1735" s="7"/>
    </row>
    <row r="1736" ht="15.75" customHeight="1">
      <c r="A1736" s="7"/>
      <c r="B1736" s="8"/>
      <c r="C1736" s="7"/>
    </row>
    <row r="1737" ht="15.75" customHeight="1">
      <c r="A1737" s="7"/>
      <c r="B1737" s="8"/>
      <c r="C1737" s="7"/>
    </row>
    <row r="1738" ht="15.75" customHeight="1">
      <c r="A1738" s="7"/>
      <c r="B1738" s="8"/>
      <c r="C1738" s="7"/>
    </row>
    <row r="1739" ht="15.75" customHeight="1">
      <c r="A1739" s="7"/>
      <c r="B1739" s="8"/>
      <c r="C1739" s="7"/>
    </row>
    <row r="1740" ht="15.75" customHeight="1">
      <c r="A1740" s="7"/>
      <c r="B1740" s="8"/>
      <c r="C1740" s="7"/>
    </row>
    <row r="1741" ht="15.75" customHeight="1">
      <c r="A1741" s="7"/>
      <c r="B1741" s="8"/>
      <c r="C1741" s="7"/>
    </row>
    <row r="1742" ht="15.75" customHeight="1">
      <c r="A1742" s="7"/>
      <c r="B1742" s="8"/>
      <c r="C1742" s="7"/>
    </row>
    <row r="1743" ht="15.75" customHeight="1">
      <c r="A1743" s="7"/>
      <c r="B1743" s="8"/>
      <c r="C1743" s="7"/>
    </row>
    <row r="1744" ht="15.75" customHeight="1">
      <c r="A1744" s="7"/>
      <c r="B1744" s="8"/>
      <c r="C1744" s="7"/>
    </row>
    <row r="1745" ht="15.75" customHeight="1">
      <c r="A1745" s="7"/>
      <c r="B1745" s="8"/>
      <c r="C1745" s="7"/>
    </row>
    <row r="1746" ht="15.75" customHeight="1">
      <c r="A1746" s="7"/>
      <c r="B1746" s="8"/>
      <c r="C1746" s="7"/>
    </row>
    <row r="1747" ht="15.75" customHeight="1">
      <c r="A1747" s="7"/>
      <c r="B1747" s="8"/>
      <c r="C1747" s="7"/>
    </row>
    <row r="1748" ht="15.75" customHeight="1">
      <c r="A1748" s="7"/>
      <c r="B1748" s="8"/>
      <c r="C1748" s="7"/>
    </row>
    <row r="1749" ht="15.75" customHeight="1">
      <c r="A1749" s="7"/>
      <c r="B1749" s="8"/>
      <c r="C1749" s="7"/>
    </row>
    <row r="1750" ht="15.75" customHeight="1">
      <c r="A1750" s="7"/>
      <c r="B1750" s="8"/>
      <c r="C1750" s="7"/>
    </row>
    <row r="1751" ht="15.75" customHeight="1">
      <c r="A1751" s="7"/>
      <c r="B1751" s="8"/>
      <c r="C1751" s="7"/>
    </row>
    <row r="1752" ht="15.75" customHeight="1">
      <c r="A1752" s="7"/>
      <c r="B1752" s="8"/>
      <c r="C1752" s="7"/>
    </row>
    <row r="1753" ht="15.75" customHeight="1">
      <c r="A1753" s="7"/>
      <c r="B1753" s="8"/>
      <c r="C1753" s="7"/>
    </row>
    <row r="1754" ht="15.75" customHeight="1">
      <c r="A1754" s="7"/>
      <c r="B1754" s="8"/>
      <c r="C1754" s="7"/>
    </row>
    <row r="1755" ht="15.75" customHeight="1">
      <c r="A1755" s="7"/>
      <c r="B1755" s="8"/>
      <c r="C1755" s="7"/>
    </row>
    <row r="1756" ht="15.75" customHeight="1">
      <c r="A1756" s="7"/>
      <c r="B1756" s="8"/>
      <c r="C1756" s="7"/>
    </row>
    <row r="1757" ht="15.75" customHeight="1">
      <c r="A1757" s="7"/>
      <c r="B1757" s="8"/>
      <c r="C1757" s="7"/>
    </row>
    <row r="1758" ht="15.75" customHeight="1">
      <c r="A1758" s="7"/>
      <c r="B1758" s="8"/>
      <c r="C1758" s="7"/>
    </row>
    <row r="1759" ht="15.75" customHeight="1">
      <c r="A1759" s="7"/>
      <c r="B1759" s="8"/>
      <c r="C1759" s="7"/>
    </row>
    <row r="1760" ht="15.75" customHeight="1">
      <c r="A1760" s="7"/>
      <c r="B1760" s="8"/>
      <c r="C1760" s="7"/>
    </row>
    <row r="1761" ht="15.75" customHeight="1">
      <c r="A1761" s="7"/>
      <c r="B1761" s="8"/>
      <c r="C1761" s="7"/>
    </row>
    <row r="1762" ht="15.75" customHeight="1">
      <c r="A1762" s="7"/>
      <c r="B1762" s="8"/>
      <c r="C1762" s="7"/>
    </row>
    <row r="1763" ht="15.75" customHeight="1">
      <c r="A1763" s="7"/>
      <c r="B1763" s="8"/>
      <c r="C1763" s="7"/>
    </row>
    <row r="1764" ht="15.75" customHeight="1">
      <c r="A1764" s="7"/>
      <c r="B1764" s="8"/>
      <c r="C1764" s="7"/>
    </row>
    <row r="1765" ht="15.75" customHeight="1">
      <c r="A1765" s="7"/>
      <c r="B1765" s="8"/>
      <c r="C1765" s="7"/>
    </row>
    <row r="1766" ht="15.75" customHeight="1">
      <c r="A1766" s="7"/>
      <c r="B1766" s="8"/>
      <c r="C1766" s="7"/>
    </row>
    <row r="1767" ht="15.75" customHeight="1">
      <c r="A1767" s="7"/>
      <c r="B1767" s="8"/>
      <c r="C1767" s="7"/>
    </row>
    <row r="1768" ht="15.75" customHeight="1">
      <c r="A1768" s="7"/>
      <c r="B1768" s="8"/>
      <c r="C1768" s="7"/>
    </row>
    <row r="1769" ht="15.75" customHeight="1">
      <c r="A1769" s="7"/>
      <c r="B1769" s="8"/>
      <c r="C1769" s="7"/>
    </row>
    <row r="1770" ht="15.75" customHeight="1">
      <c r="A1770" s="7"/>
      <c r="B1770" s="8"/>
      <c r="C1770" s="7"/>
    </row>
    <row r="1771" ht="15.75" customHeight="1">
      <c r="A1771" s="7"/>
      <c r="B1771" s="8"/>
      <c r="C1771" s="7"/>
    </row>
    <row r="1772" ht="15.75" customHeight="1">
      <c r="A1772" s="7"/>
      <c r="B1772" s="8"/>
      <c r="C1772" s="7"/>
    </row>
    <row r="1773" ht="15.75" customHeight="1">
      <c r="A1773" s="7"/>
      <c r="B1773" s="8"/>
      <c r="C1773" s="7"/>
    </row>
    <row r="1774" ht="15.75" customHeight="1">
      <c r="A1774" s="7"/>
      <c r="B1774" s="8"/>
      <c r="C1774" s="7"/>
    </row>
    <row r="1775" ht="15.75" customHeight="1">
      <c r="A1775" s="7"/>
      <c r="B1775" s="8"/>
      <c r="C1775" s="7"/>
    </row>
    <row r="1776" ht="15.75" customHeight="1">
      <c r="A1776" s="7"/>
      <c r="B1776" s="8"/>
      <c r="C1776" s="7"/>
    </row>
    <row r="1777" ht="15.75" customHeight="1">
      <c r="A1777" s="7"/>
      <c r="B1777" s="8"/>
      <c r="C1777" s="7"/>
    </row>
    <row r="1778" ht="15.75" customHeight="1">
      <c r="A1778" s="7"/>
      <c r="B1778" s="8"/>
      <c r="C1778" s="7"/>
    </row>
    <row r="1779" ht="15.75" customHeight="1">
      <c r="A1779" s="7"/>
      <c r="B1779" s="8"/>
      <c r="C1779" s="7"/>
    </row>
    <row r="1780" ht="15.75" customHeight="1">
      <c r="A1780" s="7"/>
      <c r="B1780" s="8"/>
      <c r="C1780" s="7"/>
    </row>
    <row r="1781" ht="15.75" customHeight="1">
      <c r="A1781" s="7"/>
      <c r="B1781" s="8"/>
      <c r="C1781" s="7"/>
    </row>
    <row r="1782" ht="15.75" customHeight="1">
      <c r="A1782" s="7"/>
      <c r="B1782" s="8"/>
      <c r="C1782" s="7"/>
    </row>
    <row r="1783" ht="15.75" customHeight="1">
      <c r="A1783" s="7"/>
      <c r="B1783" s="8"/>
      <c r="C1783" s="7"/>
    </row>
    <row r="1784" ht="15.75" customHeight="1">
      <c r="A1784" s="7"/>
      <c r="B1784" s="8"/>
      <c r="C1784" s="7"/>
    </row>
    <row r="1785" ht="15.75" customHeight="1">
      <c r="A1785" s="7"/>
      <c r="B1785" s="8"/>
      <c r="C1785" s="7"/>
    </row>
    <row r="1786" ht="15.75" customHeight="1">
      <c r="A1786" s="7"/>
      <c r="B1786" s="8"/>
      <c r="C1786" s="7"/>
    </row>
    <row r="1787" ht="15.75" customHeight="1">
      <c r="A1787" s="7"/>
      <c r="B1787" s="8"/>
      <c r="C1787" s="7"/>
    </row>
    <row r="1788" ht="15.75" customHeight="1">
      <c r="A1788" s="7"/>
      <c r="B1788" s="8"/>
      <c r="C1788" s="7"/>
    </row>
    <row r="1789" ht="15.75" customHeight="1">
      <c r="A1789" s="7"/>
      <c r="B1789" s="8"/>
      <c r="C1789" s="7"/>
    </row>
    <row r="1790" ht="15.75" customHeight="1">
      <c r="A1790" s="7"/>
      <c r="B1790" s="8"/>
      <c r="C1790" s="7"/>
    </row>
    <row r="1791" ht="15.75" customHeight="1">
      <c r="A1791" s="7"/>
      <c r="B1791" s="8"/>
      <c r="C1791" s="7"/>
    </row>
    <row r="1792" ht="15.75" customHeight="1">
      <c r="A1792" s="7"/>
      <c r="B1792" s="8"/>
      <c r="C1792" s="7"/>
    </row>
    <row r="1793" ht="15.75" customHeight="1">
      <c r="A1793" s="7"/>
      <c r="B1793" s="8"/>
      <c r="C1793" s="7"/>
    </row>
    <row r="1794" ht="15.75" customHeight="1">
      <c r="A1794" s="7"/>
      <c r="B1794" s="8"/>
      <c r="C1794" s="7"/>
    </row>
    <row r="1795" ht="15.75" customHeight="1">
      <c r="A1795" s="7"/>
      <c r="B1795" s="8"/>
      <c r="C1795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75"/>
    <col customWidth="1" min="2" max="2" width="17.25"/>
    <col customWidth="1" min="3" max="3" width="34.0"/>
    <col customWidth="1" min="4" max="4" width="34.13"/>
    <col customWidth="1" min="5" max="5" width="13.25"/>
    <col customWidth="1" min="6" max="6" width="12.63"/>
  </cols>
  <sheetData>
    <row r="1" ht="15.75" customHeight="1">
      <c r="A1" s="9" t="s">
        <v>1539</v>
      </c>
      <c r="B1" s="9" t="s">
        <v>1540</v>
      </c>
      <c r="C1" s="10" t="s">
        <v>0</v>
      </c>
      <c r="D1" s="11" t="s">
        <v>1541</v>
      </c>
      <c r="E1" s="9" t="s">
        <v>1542</v>
      </c>
    </row>
    <row r="2" ht="15.75" customHeight="1">
      <c r="A2" s="4" t="s">
        <v>1543</v>
      </c>
      <c r="B2" s="4" t="s">
        <v>1544</v>
      </c>
      <c r="C2" s="4" t="s">
        <v>34</v>
      </c>
      <c r="D2" s="5">
        <v>44012.0</v>
      </c>
      <c r="E2" s="4" t="s">
        <v>1545</v>
      </c>
    </row>
    <row r="3" ht="15.75" customHeight="1">
      <c r="A3" s="4" t="s">
        <v>1543</v>
      </c>
      <c r="B3" s="4" t="s">
        <v>1546</v>
      </c>
      <c r="C3" s="4" t="s">
        <v>1440</v>
      </c>
      <c r="D3" s="5">
        <v>44012.0</v>
      </c>
      <c r="E3" s="4" t="s">
        <v>1547</v>
      </c>
    </row>
    <row r="4" ht="15.75" customHeight="1">
      <c r="A4" s="4" t="s">
        <v>1543</v>
      </c>
      <c r="B4" s="4" t="s">
        <v>1548</v>
      </c>
      <c r="C4" s="4" t="s">
        <v>1524</v>
      </c>
      <c r="D4" s="5">
        <v>44012.0</v>
      </c>
      <c r="E4" s="4" t="s">
        <v>1547</v>
      </c>
    </row>
    <row r="5" ht="15.75" customHeight="1">
      <c r="A5" s="4" t="s">
        <v>1543</v>
      </c>
      <c r="B5" s="4" t="s">
        <v>1549</v>
      </c>
      <c r="C5" s="4" t="s">
        <v>1408</v>
      </c>
      <c r="D5" s="5">
        <v>44012.0</v>
      </c>
      <c r="E5" s="4" t="s">
        <v>1547</v>
      </c>
    </row>
    <row r="6" ht="15.75" customHeight="1">
      <c r="A6" s="4" t="s">
        <v>1543</v>
      </c>
      <c r="B6" s="4" t="s">
        <v>1550</v>
      </c>
      <c r="C6" s="4" t="s">
        <v>1412</v>
      </c>
      <c r="D6" s="5">
        <v>44012.0</v>
      </c>
      <c r="E6" s="4" t="s">
        <v>1547</v>
      </c>
    </row>
    <row r="7" ht="15.75" customHeight="1">
      <c r="A7" s="4" t="s">
        <v>1543</v>
      </c>
      <c r="B7" s="4" t="s">
        <v>1551</v>
      </c>
      <c r="C7" s="4" t="s">
        <v>1552</v>
      </c>
      <c r="D7" s="5">
        <v>44012.0</v>
      </c>
      <c r="E7" s="4" t="s">
        <v>1547</v>
      </c>
    </row>
    <row r="8" ht="15.75" customHeight="1">
      <c r="A8" s="4" t="s">
        <v>1543</v>
      </c>
      <c r="B8" s="4" t="s">
        <v>1553</v>
      </c>
      <c r="C8" s="4" t="s">
        <v>1554</v>
      </c>
      <c r="D8" s="5">
        <v>44012.0</v>
      </c>
      <c r="E8" s="4" t="s">
        <v>1547</v>
      </c>
    </row>
    <row r="9" ht="15.75" customHeight="1">
      <c r="A9" s="4" t="s">
        <v>1543</v>
      </c>
      <c r="B9" s="4" t="s">
        <v>1555</v>
      </c>
      <c r="C9" s="4" t="s">
        <v>1556</v>
      </c>
      <c r="D9" s="5">
        <v>44012.0</v>
      </c>
      <c r="E9" s="4" t="s">
        <v>1547</v>
      </c>
    </row>
    <row r="10" ht="15.75" customHeight="1">
      <c r="A10" s="4" t="s">
        <v>1543</v>
      </c>
      <c r="B10" s="4" t="s">
        <v>1557</v>
      </c>
      <c r="C10" s="4" t="s">
        <v>1558</v>
      </c>
      <c r="D10" s="5">
        <v>44012.0</v>
      </c>
      <c r="E10" s="4" t="s">
        <v>1545</v>
      </c>
    </row>
    <row r="11" ht="15.75" customHeight="1">
      <c r="A11" s="4" t="s">
        <v>1543</v>
      </c>
      <c r="B11" s="4" t="s">
        <v>1559</v>
      </c>
      <c r="C11" s="4" t="s">
        <v>1560</v>
      </c>
      <c r="D11" s="5">
        <v>44012.0</v>
      </c>
      <c r="E11" s="4" t="s">
        <v>1545</v>
      </c>
    </row>
    <row r="12" ht="15.75" customHeight="1">
      <c r="A12" s="4" t="s">
        <v>1543</v>
      </c>
      <c r="B12" s="4" t="s">
        <v>1561</v>
      </c>
      <c r="C12" s="4" t="s">
        <v>1562</v>
      </c>
      <c r="D12" s="5">
        <v>44012.0</v>
      </c>
      <c r="E12" s="4" t="s">
        <v>1545</v>
      </c>
    </row>
    <row r="13" ht="15.75" customHeight="1">
      <c r="A13" s="4" t="s">
        <v>1543</v>
      </c>
      <c r="B13" s="4" t="s">
        <v>1563</v>
      </c>
      <c r="C13" s="4" t="s">
        <v>1518</v>
      </c>
      <c r="D13" s="5">
        <v>44012.0</v>
      </c>
      <c r="E13" s="4" t="s">
        <v>1545</v>
      </c>
    </row>
    <row r="14" ht="15.75" customHeight="1">
      <c r="A14" s="4" t="s">
        <v>1543</v>
      </c>
      <c r="B14" s="4" t="s">
        <v>1564</v>
      </c>
      <c r="C14" s="4" t="s">
        <v>1565</v>
      </c>
      <c r="D14" s="5">
        <v>44012.0</v>
      </c>
      <c r="E14" s="4" t="s">
        <v>1547</v>
      </c>
    </row>
    <row r="15" ht="15.75" customHeight="1">
      <c r="A15" s="4" t="s">
        <v>1543</v>
      </c>
      <c r="B15" s="4" t="s">
        <v>1566</v>
      </c>
      <c r="C15" s="4" t="s">
        <v>1421</v>
      </c>
      <c r="D15" s="5">
        <v>44012.0</v>
      </c>
      <c r="E15" s="4" t="s">
        <v>1547</v>
      </c>
    </row>
    <row r="16" ht="15.75" customHeight="1">
      <c r="A16" s="4" t="s">
        <v>1543</v>
      </c>
      <c r="B16" s="4" t="s">
        <v>1567</v>
      </c>
      <c r="C16" s="4" t="s">
        <v>1568</v>
      </c>
      <c r="D16" s="5">
        <v>44012.0</v>
      </c>
      <c r="E16" s="4" t="s">
        <v>1545</v>
      </c>
    </row>
    <row r="17" ht="15.75" customHeight="1">
      <c r="A17" s="4" t="s">
        <v>1543</v>
      </c>
      <c r="B17" s="4" t="s">
        <v>1569</v>
      </c>
      <c r="C17" s="4" t="s">
        <v>1570</v>
      </c>
      <c r="D17" s="5">
        <v>44012.0</v>
      </c>
      <c r="E17" s="4" t="s">
        <v>1545</v>
      </c>
    </row>
    <row r="18" ht="15.75" customHeight="1">
      <c r="A18" s="4" t="s">
        <v>1543</v>
      </c>
      <c r="B18" s="4" t="s">
        <v>1571</v>
      </c>
      <c r="C18" s="4" t="s">
        <v>1572</v>
      </c>
      <c r="D18" s="5">
        <v>44012.0</v>
      </c>
      <c r="E18" s="4" t="s">
        <v>1547</v>
      </c>
    </row>
    <row r="19" ht="15.75" customHeight="1">
      <c r="A19" s="4" t="s">
        <v>1543</v>
      </c>
      <c r="B19" s="4" t="s">
        <v>1573</v>
      </c>
      <c r="C19" s="4" t="s">
        <v>1574</v>
      </c>
      <c r="D19" s="5">
        <v>44012.0</v>
      </c>
      <c r="E19" s="4" t="s">
        <v>1547</v>
      </c>
    </row>
    <row r="20" ht="15.75" customHeight="1">
      <c r="A20" s="4" t="s">
        <v>1543</v>
      </c>
      <c r="B20" s="4" t="s">
        <v>1575</v>
      </c>
      <c r="C20" s="4" t="s">
        <v>1416</v>
      </c>
      <c r="D20" s="5">
        <v>44012.0</v>
      </c>
      <c r="E20" s="4" t="s">
        <v>1547</v>
      </c>
    </row>
    <row r="21" ht="15.75" customHeight="1">
      <c r="A21" s="4" t="s">
        <v>1543</v>
      </c>
      <c r="B21" s="4" t="s">
        <v>1576</v>
      </c>
      <c r="C21" s="4" t="s">
        <v>1577</v>
      </c>
      <c r="D21" s="5">
        <v>44012.0</v>
      </c>
      <c r="E21" s="4" t="s">
        <v>1545</v>
      </c>
    </row>
    <row r="22" ht="15.75" customHeight="1">
      <c r="A22" s="4" t="s">
        <v>1543</v>
      </c>
      <c r="B22" s="4" t="s">
        <v>1578</v>
      </c>
      <c r="C22" s="4" t="s">
        <v>1579</v>
      </c>
      <c r="D22" s="5">
        <v>44012.0</v>
      </c>
      <c r="E22" s="4" t="s">
        <v>1545</v>
      </c>
    </row>
    <row r="23" ht="15.75" customHeight="1">
      <c r="A23" s="4" t="s">
        <v>1543</v>
      </c>
      <c r="B23" s="4" t="s">
        <v>1580</v>
      </c>
      <c r="C23" s="4" t="s">
        <v>1581</v>
      </c>
      <c r="D23" s="5">
        <v>44012.0</v>
      </c>
      <c r="E23" s="4" t="s">
        <v>1547</v>
      </c>
    </row>
    <row r="24" ht="15.75" customHeight="1">
      <c r="A24" s="4" t="s">
        <v>1543</v>
      </c>
      <c r="B24" s="4" t="s">
        <v>1582</v>
      </c>
      <c r="C24" s="4" t="s">
        <v>1583</v>
      </c>
      <c r="D24" s="5">
        <v>44012.0</v>
      </c>
      <c r="E24" s="4" t="s">
        <v>1547</v>
      </c>
    </row>
    <row r="25" ht="15.75" customHeight="1">
      <c r="A25" s="4" t="s">
        <v>1543</v>
      </c>
      <c r="B25" s="4" t="s">
        <v>1584</v>
      </c>
      <c r="C25" s="4" t="s">
        <v>1417</v>
      </c>
      <c r="D25" s="5">
        <v>44012.0</v>
      </c>
      <c r="E25" s="4" t="s">
        <v>1547</v>
      </c>
    </row>
    <row r="26" ht="15.75" customHeight="1">
      <c r="A26" s="4" t="s">
        <v>1543</v>
      </c>
      <c r="B26" s="4" t="s">
        <v>1585</v>
      </c>
      <c r="C26" s="4" t="s">
        <v>1425</v>
      </c>
      <c r="D26" s="5">
        <v>44012.0</v>
      </c>
      <c r="E26" s="4" t="s">
        <v>1547</v>
      </c>
    </row>
    <row r="27" ht="15.75" customHeight="1">
      <c r="A27" s="4" t="s">
        <v>1543</v>
      </c>
      <c r="B27" s="4" t="s">
        <v>1586</v>
      </c>
      <c r="C27" s="4" t="s">
        <v>1587</v>
      </c>
      <c r="D27" s="5">
        <v>44012.0</v>
      </c>
      <c r="E27" s="4" t="s">
        <v>1547</v>
      </c>
    </row>
    <row r="28" ht="15.75" customHeight="1">
      <c r="A28" s="4" t="s">
        <v>1543</v>
      </c>
      <c r="B28" s="4" t="s">
        <v>1588</v>
      </c>
      <c r="C28" s="4" t="s">
        <v>1420</v>
      </c>
      <c r="D28" s="5">
        <v>44012.0</v>
      </c>
      <c r="E28" s="4" t="s">
        <v>1545</v>
      </c>
    </row>
    <row r="29" ht="15.75" customHeight="1">
      <c r="A29" s="4" t="s">
        <v>1543</v>
      </c>
      <c r="B29" s="4" t="s">
        <v>1589</v>
      </c>
      <c r="C29" s="4" t="s">
        <v>8</v>
      </c>
      <c r="D29" s="5">
        <v>44012.0</v>
      </c>
      <c r="E29" s="4" t="s">
        <v>1545</v>
      </c>
    </row>
    <row r="30" ht="15.75" customHeight="1">
      <c r="A30" s="4" t="s">
        <v>1543</v>
      </c>
      <c r="B30" s="4" t="s">
        <v>1590</v>
      </c>
      <c r="C30" s="4" t="s">
        <v>1591</v>
      </c>
      <c r="D30" s="5">
        <v>44012.0</v>
      </c>
      <c r="E30" s="4" t="s">
        <v>1547</v>
      </c>
    </row>
    <row r="31" ht="15.75" customHeight="1">
      <c r="A31" s="4" t="s">
        <v>1543</v>
      </c>
      <c r="B31" s="4" t="s">
        <v>1592</v>
      </c>
      <c r="C31" s="4" t="s">
        <v>1445</v>
      </c>
      <c r="D31" s="5">
        <v>44012.0</v>
      </c>
      <c r="E31" s="4" t="s">
        <v>1547</v>
      </c>
    </row>
    <row r="32" ht="15.75" customHeight="1">
      <c r="A32" s="4" t="s">
        <v>1543</v>
      </c>
      <c r="B32" s="4" t="s">
        <v>1593</v>
      </c>
      <c r="C32" s="4" t="s">
        <v>1378</v>
      </c>
      <c r="D32" s="5">
        <v>44012.0</v>
      </c>
      <c r="E32" s="4" t="s">
        <v>1547</v>
      </c>
    </row>
    <row r="33" ht="15.75" customHeight="1">
      <c r="A33" s="4" t="s">
        <v>1543</v>
      </c>
      <c r="B33" s="4" t="s">
        <v>1594</v>
      </c>
      <c r="C33" s="4" t="s">
        <v>1595</v>
      </c>
      <c r="D33" s="5">
        <v>44012.0</v>
      </c>
      <c r="E33" s="4" t="s">
        <v>1545</v>
      </c>
    </row>
    <row r="34" ht="15.75" customHeight="1">
      <c r="A34" s="4" t="s">
        <v>1543</v>
      </c>
      <c r="B34" s="4" t="s">
        <v>1596</v>
      </c>
      <c r="C34" s="4" t="s">
        <v>20</v>
      </c>
      <c r="D34" s="5">
        <v>44012.0</v>
      </c>
      <c r="E34" s="4" t="s">
        <v>1547</v>
      </c>
    </row>
    <row r="35" ht="15.75" customHeight="1">
      <c r="A35" s="4" t="s">
        <v>1543</v>
      </c>
      <c r="B35" s="4" t="s">
        <v>1597</v>
      </c>
      <c r="C35" s="4" t="s">
        <v>1449</v>
      </c>
      <c r="D35" s="5">
        <v>44012.0</v>
      </c>
      <c r="E35" s="4" t="s">
        <v>1547</v>
      </c>
    </row>
    <row r="36" ht="15.75" customHeight="1">
      <c r="A36" s="4" t="s">
        <v>1543</v>
      </c>
      <c r="B36" s="4" t="s">
        <v>1598</v>
      </c>
      <c r="C36" s="4" t="s">
        <v>1599</v>
      </c>
      <c r="D36" s="5">
        <v>44012.0</v>
      </c>
      <c r="E36" s="4" t="s">
        <v>1545</v>
      </c>
    </row>
    <row r="37" ht="15.75" customHeight="1">
      <c r="A37" s="4" t="s">
        <v>1543</v>
      </c>
      <c r="B37" s="4" t="s">
        <v>1600</v>
      </c>
      <c r="C37" s="4" t="s">
        <v>1601</v>
      </c>
      <c r="D37" s="5">
        <v>44012.0</v>
      </c>
      <c r="E37" s="4" t="s">
        <v>1545</v>
      </c>
    </row>
    <row r="38" ht="15.75" customHeight="1">
      <c r="A38" s="4" t="s">
        <v>1543</v>
      </c>
      <c r="B38" s="4" t="s">
        <v>1602</v>
      </c>
      <c r="C38" s="4" t="s">
        <v>1419</v>
      </c>
      <c r="D38" s="5">
        <v>44012.0</v>
      </c>
      <c r="E38" s="4" t="s">
        <v>1545</v>
      </c>
    </row>
    <row r="39" ht="15.75" customHeight="1">
      <c r="A39" s="4" t="s">
        <v>1543</v>
      </c>
      <c r="B39" s="4" t="s">
        <v>1603</v>
      </c>
      <c r="C39" s="4" t="s">
        <v>29</v>
      </c>
      <c r="D39" s="5">
        <v>44012.0</v>
      </c>
      <c r="E39" s="4" t="s">
        <v>1545</v>
      </c>
    </row>
    <row r="40" ht="15.75" customHeight="1">
      <c r="A40" s="4" t="s">
        <v>1543</v>
      </c>
      <c r="B40" s="4" t="s">
        <v>1604</v>
      </c>
      <c r="C40" s="4" t="s">
        <v>1605</v>
      </c>
      <c r="D40" s="5">
        <v>44012.0</v>
      </c>
      <c r="E40" s="4" t="s">
        <v>1547</v>
      </c>
    </row>
    <row r="41" ht="15.75" customHeight="1">
      <c r="A41" s="4" t="s">
        <v>1543</v>
      </c>
      <c r="B41" s="4" t="s">
        <v>1606</v>
      </c>
      <c r="C41" s="4" t="s">
        <v>1607</v>
      </c>
      <c r="D41" s="5">
        <v>44012.0</v>
      </c>
      <c r="E41" s="4" t="s">
        <v>1547</v>
      </c>
    </row>
    <row r="42" ht="15.75" customHeight="1">
      <c r="A42" s="4" t="s">
        <v>1543</v>
      </c>
      <c r="B42" s="4" t="s">
        <v>1608</v>
      </c>
      <c r="C42" s="4" t="s">
        <v>1609</v>
      </c>
      <c r="D42" s="5">
        <v>44012.0</v>
      </c>
      <c r="E42" s="4" t="s">
        <v>1547</v>
      </c>
    </row>
    <row r="43" ht="15.75" customHeight="1">
      <c r="A43" s="4" t="s">
        <v>1543</v>
      </c>
      <c r="B43" s="4" t="s">
        <v>1610</v>
      </c>
      <c r="C43" s="4" t="s">
        <v>1428</v>
      </c>
      <c r="D43" s="5">
        <v>44012.0</v>
      </c>
      <c r="E43" s="4" t="s">
        <v>1547</v>
      </c>
    </row>
    <row r="44" ht="15.75" customHeight="1">
      <c r="A44" s="4" t="s">
        <v>1543</v>
      </c>
      <c r="B44" s="4" t="s">
        <v>1611</v>
      </c>
      <c r="C44" s="4" t="s">
        <v>1612</v>
      </c>
      <c r="D44" s="5">
        <v>44012.0</v>
      </c>
      <c r="E44" s="4" t="s">
        <v>1545</v>
      </c>
    </row>
    <row r="45" ht="15.75" customHeight="1">
      <c r="A45" s="4" t="s">
        <v>1543</v>
      </c>
      <c r="B45" s="4" t="s">
        <v>1613</v>
      </c>
      <c r="C45" s="4" t="s">
        <v>1614</v>
      </c>
      <c r="D45" s="5">
        <v>44012.0</v>
      </c>
      <c r="E45" s="4" t="s">
        <v>1545</v>
      </c>
    </row>
    <row r="46" ht="15.75" customHeight="1">
      <c r="A46" s="4" t="s">
        <v>1543</v>
      </c>
      <c r="B46" s="4" t="s">
        <v>1615</v>
      </c>
      <c r="C46" s="4" t="s">
        <v>1616</v>
      </c>
      <c r="D46" s="5">
        <v>44012.0</v>
      </c>
      <c r="E46" s="4" t="s">
        <v>1545</v>
      </c>
    </row>
    <row r="47" ht="15.75" customHeight="1">
      <c r="A47" s="4" t="s">
        <v>1543</v>
      </c>
      <c r="B47" s="4" t="s">
        <v>1617</v>
      </c>
      <c r="C47" s="4" t="s">
        <v>1410</v>
      </c>
      <c r="D47" s="5">
        <v>44012.0</v>
      </c>
      <c r="E47" s="4" t="s">
        <v>1545</v>
      </c>
    </row>
    <row r="48" ht="15.75" customHeight="1">
      <c r="A48" s="4" t="s">
        <v>1543</v>
      </c>
      <c r="B48" s="4" t="s">
        <v>1618</v>
      </c>
      <c r="C48" s="4" t="s">
        <v>1525</v>
      </c>
      <c r="D48" s="5">
        <v>44012.0</v>
      </c>
      <c r="E48" s="4" t="s">
        <v>1545</v>
      </c>
    </row>
    <row r="49" ht="15.75" customHeight="1">
      <c r="A49" s="4" t="s">
        <v>1543</v>
      </c>
      <c r="B49" s="4" t="s">
        <v>1619</v>
      </c>
      <c r="C49" s="4" t="s">
        <v>3</v>
      </c>
      <c r="D49" s="5">
        <v>44012.0</v>
      </c>
      <c r="E49" s="4" t="s">
        <v>1545</v>
      </c>
    </row>
    <row r="50" ht="15.75" customHeight="1">
      <c r="A50" s="4" t="s">
        <v>1543</v>
      </c>
      <c r="B50" s="4" t="s">
        <v>1620</v>
      </c>
      <c r="C50" s="4" t="s">
        <v>1621</v>
      </c>
      <c r="D50" s="5">
        <v>44012.0</v>
      </c>
      <c r="E50" s="4" t="s">
        <v>1547</v>
      </c>
    </row>
    <row r="51" ht="15.75" customHeight="1">
      <c r="A51" s="4" t="s">
        <v>1543</v>
      </c>
      <c r="B51" s="4" t="s">
        <v>1622</v>
      </c>
      <c r="C51" s="4" t="s">
        <v>1418</v>
      </c>
      <c r="D51" s="5">
        <v>44012.0</v>
      </c>
      <c r="E51" s="4" t="s">
        <v>1547</v>
      </c>
    </row>
    <row r="52" ht="15.75" customHeight="1">
      <c r="A52" s="4" t="s">
        <v>1543</v>
      </c>
      <c r="B52" s="4" t="s">
        <v>1623</v>
      </c>
      <c r="C52" s="4" t="s">
        <v>1624</v>
      </c>
      <c r="D52" s="5">
        <v>44012.0</v>
      </c>
      <c r="E52" s="4" t="s">
        <v>1547</v>
      </c>
    </row>
    <row r="53" ht="15.75" customHeight="1">
      <c r="A53" s="4" t="s">
        <v>1543</v>
      </c>
      <c r="B53" s="4" t="s">
        <v>1625</v>
      </c>
      <c r="C53" s="4" t="s">
        <v>1626</v>
      </c>
      <c r="D53" s="5">
        <v>44012.0</v>
      </c>
      <c r="E53" s="4" t="s">
        <v>1545</v>
      </c>
    </row>
    <row r="54" ht="15.75" customHeight="1">
      <c r="A54" s="4" t="s">
        <v>1543</v>
      </c>
      <c r="B54" s="4" t="s">
        <v>1627</v>
      </c>
      <c r="C54" s="4" t="s">
        <v>1628</v>
      </c>
      <c r="D54" s="5">
        <v>44012.0</v>
      </c>
      <c r="E54" s="4" t="s">
        <v>1545</v>
      </c>
    </row>
    <row r="55" ht="15.75" customHeight="1">
      <c r="A55" s="4" t="s">
        <v>1543</v>
      </c>
      <c r="B55" s="4" t="s">
        <v>1629</v>
      </c>
      <c r="C55" s="4" t="s">
        <v>1630</v>
      </c>
      <c r="D55" s="5">
        <v>44012.0</v>
      </c>
      <c r="E55" s="4" t="s">
        <v>1545</v>
      </c>
    </row>
    <row r="56" ht="15.75" customHeight="1">
      <c r="A56" s="4" t="s">
        <v>1543</v>
      </c>
      <c r="B56" s="4" t="s">
        <v>1631</v>
      </c>
      <c r="C56" s="4" t="s">
        <v>585</v>
      </c>
      <c r="D56" s="5">
        <v>44012.0</v>
      </c>
      <c r="E56" s="4" t="s">
        <v>1545</v>
      </c>
    </row>
    <row r="57" ht="15.75" customHeight="1">
      <c r="A57" s="4" t="s">
        <v>1543</v>
      </c>
      <c r="B57" s="4" t="s">
        <v>1632</v>
      </c>
      <c r="C57" s="4" t="s">
        <v>23</v>
      </c>
      <c r="D57" s="5">
        <v>44012.0</v>
      </c>
      <c r="E57" s="4" t="s">
        <v>1545</v>
      </c>
    </row>
    <row r="58" ht="15.75" customHeight="1">
      <c r="A58" s="4" t="s">
        <v>1543</v>
      </c>
      <c r="B58" s="4" t="s">
        <v>1633</v>
      </c>
      <c r="C58" s="4" t="s">
        <v>1634</v>
      </c>
      <c r="D58" s="5">
        <v>44012.0</v>
      </c>
      <c r="E58" s="4" t="s">
        <v>1547</v>
      </c>
    </row>
    <row r="59" ht="15.75" customHeight="1">
      <c r="A59" s="4" t="s">
        <v>1543</v>
      </c>
      <c r="B59" s="4" t="s">
        <v>1635</v>
      </c>
      <c r="C59" s="4" t="s">
        <v>1636</v>
      </c>
      <c r="D59" s="5">
        <v>44012.0</v>
      </c>
      <c r="E59" s="4" t="s">
        <v>1547</v>
      </c>
    </row>
    <row r="60" ht="15.75" customHeight="1">
      <c r="A60" s="4" t="s">
        <v>1543</v>
      </c>
      <c r="B60" s="4" t="s">
        <v>1637</v>
      </c>
      <c r="C60" s="4" t="s">
        <v>1638</v>
      </c>
      <c r="D60" s="5">
        <v>44012.0</v>
      </c>
      <c r="E60" s="4" t="s">
        <v>1547</v>
      </c>
    </row>
    <row r="61" ht="15.75" customHeight="1">
      <c r="A61" s="4" t="s">
        <v>1543</v>
      </c>
      <c r="B61" s="4" t="s">
        <v>1639</v>
      </c>
      <c r="C61" s="4" t="s">
        <v>1640</v>
      </c>
      <c r="D61" s="5">
        <v>44012.0</v>
      </c>
      <c r="E61" s="4" t="s">
        <v>1547</v>
      </c>
    </row>
    <row r="62" ht="15.75" customHeight="1">
      <c r="A62" s="4" t="s">
        <v>1543</v>
      </c>
      <c r="B62" s="4" t="s">
        <v>1641</v>
      </c>
      <c r="C62" s="4" t="s">
        <v>1432</v>
      </c>
      <c r="D62" s="5">
        <v>44012.0</v>
      </c>
      <c r="E62" s="4" t="s">
        <v>1547</v>
      </c>
    </row>
    <row r="63" ht="15.75" customHeight="1">
      <c r="A63" s="4" t="s">
        <v>1543</v>
      </c>
      <c r="B63" s="4" t="s">
        <v>1642</v>
      </c>
      <c r="C63" s="4" t="s">
        <v>1406</v>
      </c>
      <c r="D63" s="5">
        <v>44012.0</v>
      </c>
      <c r="E63" s="4" t="s">
        <v>1547</v>
      </c>
    </row>
    <row r="64" ht="15.75" customHeight="1">
      <c r="A64" s="4" t="s">
        <v>1543</v>
      </c>
      <c r="B64" s="4" t="s">
        <v>1643</v>
      </c>
      <c r="C64" s="4" t="s">
        <v>1644</v>
      </c>
      <c r="D64" s="5">
        <v>44012.0</v>
      </c>
      <c r="E64" s="4" t="s">
        <v>1547</v>
      </c>
    </row>
    <row r="65" ht="15.75" customHeight="1">
      <c r="A65" s="4" t="s">
        <v>1543</v>
      </c>
      <c r="B65" s="4" t="s">
        <v>1645</v>
      </c>
      <c r="C65" s="4" t="s">
        <v>1646</v>
      </c>
      <c r="D65" s="5">
        <v>44012.0</v>
      </c>
      <c r="E65" s="4" t="s">
        <v>1547</v>
      </c>
    </row>
    <row r="66" ht="15.75" customHeight="1">
      <c r="A66" s="4" t="s">
        <v>1543</v>
      </c>
      <c r="B66" s="4" t="s">
        <v>1647</v>
      </c>
      <c r="C66" s="4" t="s">
        <v>1460</v>
      </c>
      <c r="D66" s="5">
        <v>44012.0</v>
      </c>
      <c r="E66" s="4" t="s">
        <v>1547</v>
      </c>
    </row>
    <row r="67" ht="15.75" customHeight="1">
      <c r="A67" s="4" t="s">
        <v>1543</v>
      </c>
      <c r="B67" s="4" t="s">
        <v>1648</v>
      </c>
      <c r="C67" s="4" t="s">
        <v>1434</v>
      </c>
      <c r="D67" s="5">
        <v>44012.0</v>
      </c>
      <c r="E67" s="4" t="s">
        <v>1547</v>
      </c>
    </row>
    <row r="68" ht="15.75" customHeight="1">
      <c r="A68" s="4" t="s">
        <v>1543</v>
      </c>
      <c r="B68" s="4" t="s">
        <v>1649</v>
      </c>
      <c r="C68" s="4" t="s">
        <v>1650</v>
      </c>
      <c r="D68" s="5">
        <v>44012.0</v>
      </c>
      <c r="E68" s="4" t="s">
        <v>1547</v>
      </c>
    </row>
    <row r="69" ht="15.75" customHeight="1">
      <c r="A69" s="4" t="s">
        <v>1543</v>
      </c>
      <c r="B69" s="4" t="s">
        <v>1651</v>
      </c>
      <c r="C69" s="4" t="s">
        <v>756</v>
      </c>
      <c r="D69" s="5">
        <v>44012.0</v>
      </c>
      <c r="E69" s="4" t="s">
        <v>1547</v>
      </c>
    </row>
    <row r="70" ht="15.75" customHeight="1">
      <c r="A70" s="4" t="s">
        <v>1543</v>
      </c>
      <c r="B70" s="4" t="s">
        <v>1652</v>
      </c>
      <c r="C70" s="4" t="s">
        <v>1491</v>
      </c>
      <c r="D70" s="5">
        <v>44012.0</v>
      </c>
      <c r="E70" s="4" t="s">
        <v>1547</v>
      </c>
    </row>
    <row r="71" ht="15.75" customHeight="1">
      <c r="A71" s="4" t="s">
        <v>1543</v>
      </c>
      <c r="B71" s="4" t="s">
        <v>1653</v>
      </c>
      <c r="C71" s="4" t="s">
        <v>1429</v>
      </c>
      <c r="D71" s="5">
        <v>44012.0</v>
      </c>
      <c r="E71" s="4" t="s">
        <v>1547</v>
      </c>
    </row>
    <row r="72" ht="15.75" customHeight="1">
      <c r="A72" s="4" t="s">
        <v>1543</v>
      </c>
      <c r="B72" s="4" t="s">
        <v>1654</v>
      </c>
      <c r="C72" s="4" t="s">
        <v>1655</v>
      </c>
      <c r="D72" s="5">
        <v>44012.0</v>
      </c>
      <c r="E72" s="4" t="s">
        <v>1545</v>
      </c>
    </row>
    <row r="73" ht="15.75" customHeight="1">
      <c r="A73" s="4" t="s">
        <v>1543</v>
      </c>
      <c r="B73" s="4" t="s">
        <v>1656</v>
      </c>
      <c r="C73" s="4" t="s">
        <v>1657</v>
      </c>
      <c r="D73" s="5">
        <v>44012.0</v>
      </c>
      <c r="E73" s="4" t="s">
        <v>1545</v>
      </c>
    </row>
    <row r="74" ht="15.75" customHeight="1">
      <c r="A74" s="4" t="s">
        <v>1543</v>
      </c>
      <c r="B74" s="4" t="s">
        <v>1658</v>
      </c>
      <c r="C74" s="4" t="s">
        <v>1659</v>
      </c>
      <c r="D74" s="5">
        <v>44012.0</v>
      </c>
      <c r="E74" s="4" t="s">
        <v>1545</v>
      </c>
    </row>
    <row r="75" ht="15.75" customHeight="1">
      <c r="A75" s="4" t="s">
        <v>1543</v>
      </c>
      <c r="B75" s="4" t="s">
        <v>1660</v>
      </c>
      <c r="C75" s="4" t="s">
        <v>1661</v>
      </c>
      <c r="D75" s="5">
        <v>44012.0</v>
      </c>
      <c r="E75" s="4" t="s">
        <v>1545</v>
      </c>
    </row>
    <row r="76" ht="15.75" customHeight="1">
      <c r="A76" s="4" t="s">
        <v>1543</v>
      </c>
      <c r="B76" s="4" t="s">
        <v>1662</v>
      </c>
      <c r="C76" s="4" t="s">
        <v>1663</v>
      </c>
      <c r="D76" s="5">
        <v>44012.0</v>
      </c>
      <c r="E76" s="4" t="s">
        <v>1547</v>
      </c>
    </row>
    <row r="77" ht="15.75" customHeight="1">
      <c r="A77" s="4" t="s">
        <v>1543</v>
      </c>
      <c r="B77" s="4" t="s">
        <v>1664</v>
      </c>
      <c r="C77" s="4" t="s">
        <v>1665</v>
      </c>
      <c r="D77" s="5">
        <v>44012.0</v>
      </c>
      <c r="E77" s="4" t="s">
        <v>1547</v>
      </c>
    </row>
    <row r="78" ht="15.75" customHeight="1">
      <c r="A78" s="4" t="s">
        <v>1543</v>
      </c>
      <c r="B78" s="4" t="s">
        <v>1666</v>
      </c>
      <c r="C78" s="4" t="s">
        <v>1667</v>
      </c>
      <c r="D78" s="5">
        <v>44012.0</v>
      </c>
      <c r="E78" s="4" t="s">
        <v>1547</v>
      </c>
    </row>
    <row r="79" ht="15.75" customHeight="1">
      <c r="A79" s="4" t="s">
        <v>1543</v>
      </c>
      <c r="B79" s="4" t="s">
        <v>1668</v>
      </c>
      <c r="C79" s="4" t="s">
        <v>1669</v>
      </c>
      <c r="D79" s="5">
        <v>44012.0</v>
      </c>
      <c r="E79" s="4" t="s">
        <v>1547</v>
      </c>
    </row>
    <row r="80" ht="15.75" customHeight="1">
      <c r="A80" s="4" t="s">
        <v>1543</v>
      </c>
      <c r="B80" s="4" t="s">
        <v>1670</v>
      </c>
      <c r="C80" s="4" t="s">
        <v>1671</v>
      </c>
      <c r="D80" s="5">
        <v>44012.0</v>
      </c>
      <c r="E80" s="4" t="s">
        <v>1545</v>
      </c>
    </row>
    <row r="81" ht="15.75" customHeight="1">
      <c r="A81" s="4" t="s">
        <v>1543</v>
      </c>
      <c r="B81" s="4" t="s">
        <v>1672</v>
      </c>
      <c r="C81" s="4" t="s">
        <v>1673</v>
      </c>
      <c r="D81" s="5">
        <v>44012.0</v>
      </c>
      <c r="E81" s="4" t="s">
        <v>1545</v>
      </c>
    </row>
    <row r="82" ht="15.75" customHeight="1">
      <c r="A82" s="4" t="s">
        <v>1543</v>
      </c>
      <c r="B82" s="4" t="s">
        <v>1674</v>
      </c>
      <c r="C82" s="4" t="s">
        <v>1675</v>
      </c>
      <c r="D82" s="5">
        <v>44012.0</v>
      </c>
      <c r="E82" s="4" t="s">
        <v>1545</v>
      </c>
    </row>
    <row r="83" ht="15.75" customHeight="1">
      <c r="A83" s="4" t="s">
        <v>1543</v>
      </c>
      <c r="B83" s="4" t="s">
        <v>1676</v>
      </c>
      <c r="C83" s="4" t="s">
        <v>1677</v>
      </c>
      <c r="D83" s="5">
        <v>44012.0</v>
      </c>
      <c r="E83" s="4" t="s">
        <v>1545</v>
      </c>
    </row>
    <row r="84" ht="15.75" customHeight="1">
      <c r="A84" s="4" t="s">
        <v>1543</v>
      </c>
      <c r="B84" s="4" t="s">
        <v>1678</v>
      </c>
      <c r="C84" s="4" t="s">
        <v>1679</v>
      </c>
      <c r="D84" s="5">
        <v>44012.0</v>
      </c>
      <c r="E84" s="4" t="s">
        <v>1547</v>
      </c>
    </row>
    <row r="85" ht="15.75" customHeight="1">
      <c r="A85" s="4" t="s">
        <v>1543</v>
      </c>
      <c r="B85" s="4" t="s">
        <v>1680</v>
      </c>
      <c r="C85" s="4" t="s">
        <v>1681</v>
      </c>
      <c r="D85" s="5">
        <v>44012.0</v>
      </c>
      <c r="E85" s="4" t="s">
        <v>1547</v>
      </c>
    </row>
    <row r="86" ht="15.75" customHeight="1">
      <c r="A86" s="4" t="s">
        <v>1543</v>
      </c>
      <c r="B86" s="4" t="s">
        <v>1682</v>
      </c>
      <c r="C86" s="4" t="s">
        <v>1683</v>
      </c>
      <c r="D86" s="5">
        <v>44012.0</v>
      </c>
      <c r="E86" s="4" t="s">
        <v>1547</v>
      </c>
    </row>
    <row r="87" ht="15.75" customHeight="1">
      <c r="A87" s="4" t="s">
        <v>1543</v>
      </c>
      <c r="B87" s="4" t="s">
        <v>1684</v>
      </c>
      <c r="C87" s="4" t="s">
        <v>25</v>
      </c>
      <c r="D87" s="5">
        <v>44012.0</v>
      </c>
      <c r="E87" s="4" t="s">
        <v>1547</v>
      </c>
    </row>
    <row r="88" ht="15.75" customHeight="1">
      <c r="A88" s="4" t="s">
        <v>1543</v>
      </c>
      <c r="B88" s="4" t="s">
        <v>1685</v>
      </c>
      <c r="C88" s="4" t="s">
        <v>980</v>
      </c>
      <c r="D88" s="5">
        <v>44012.0</v>
      </c>
      <c r="E88" s="4" t="s">
        <v>1547</v>
      </c>
    </row>
    <row r="89" ht="15.75" customHeight="1">
      <c r="A89" s="4" t="s">
        <v>1543</v>
      </c>
      <c r="B89" s="4" t="s">
        <v>1686</v>
      </c>
      <c r="C89" s="4" t="s">
        <v>36</v>
      </c>
      <c r="D89" s="5">
        <v>44012.0</v>
      </c>
      <c r="E89" s="4" t="s">
        <v>1547</v>
      </c>
    </row>
    <row r="90" ht="15.75" customHeight="1">
      <c r="A90" s="4" t="s">
        <v>1543</v>
      </c>
      <c r="B90" s="4" t="s">
        <v>1687</v>
      </c>
      <c r="C90" s="4" t="s">
        <v>1688</v>
      </c>
      <c r="D90" s="5">
        <v>44012.0</v>
      </c>
      <c r="E90" s="4" t="s">
        <v>1545</v>
      </c>
    </row>
    <row r="91" ht="15.75" customHeight="1">
      <c r="A91" s="4" t="s">
        <v>1543</v>
      </c>
      <c r="B91" s="4" t="s">
        <v>1689</v>
      </c>
      <c r="C91" s="4" t="s">
        <v>1690</v>
      </c>
      <c r="D91" s="5">
        <v>44012.0</v>
      </c>
      <c r="E91" s="4" t="s">
        <v>1545</v>
      </c>
    </row>
    <row r="92" ht="15.75" customHeight="1">
      <c r="A92" s="4" t="s">
        <v>1543</v>
      </c>
      <c r="B92" s="4" t="s">
        <v>1691</v>
      </c>
      <c r="C92" s="4" t="s">
        <v>1692</v>
      </c>
      <c r="D92" s="5">
        <v>44012.0</v>
      </c>
      <c r="E92" s="4" t="s">
        <v>1545</v>
      </c>
    </row>
    <row r="93" ht="15.75" customHeight="1">
      <c r="A93" s="4" t="s">
        <v>1543</v>
      </c>
      <c r="B93" s="4" t="s">
        <v>1693</v>
      </c>
      <c r="C93" s="4" t="s">
        <v>1694</v>
      </c>
      <c r="D93" s="5">
        <v>44012.0</v>
      </c>
      <c r="E93" s="4" t="s">
        <v>1545</v>
      </c>
    </row>
    <row r="94" ht="15.75" customHeight="1">
      <c r="A94" s="4" t="s">
        <v>1543</v>
      </c>
      <c r="B94" s="4" t="s">
        <v>1695</v>
      </c>
      <c r="C94" s="4" t="s">
        <v>1696</v>
      </c>
      <c r="D94" s="5">
        <v>44012.0</v>
      </c>
      <c r="E94" s="4" t="s">
        <v>1545</v>
      </c>
    </row>
    <row r="95" ht="15.75" customHeight="1">
      <c r="A95" s="4" t="s">
        <v>1543</v>
      </c>
      <c r="B95" s="4" t="s">
        <v>1697</v>
      </c>
      <c r="C95" s="4" t="s">
        <v>1437</v>
      </c>
      <c r="D95" s="5">
        <v>44012.0</v>
      </c>
      <c r="E95" s="4" t="s">
        <v>1545</v>
      </c>
    </row>
    <row r="96" ht="15.75" customHeight="1">
      <c r="A96" s="4" t="s">
        <v>1543</v>
      </c>
      <c r="B96" s="4" t="s">
        <v>1698</v>
      </c>
      <c r="C96" s="4" t="s">
        <v>1699</v>
      </c>
      <c r="D96" s="5">
        <v>44012.0</v>
      </c>
      <c r="E96" s="4" t="s">
        <v>1547</v>
      </c>
    </row>
    <row r="97" ht="15.75" customHeight="1">
      <c r="A97" s="4" t="s">
        <v>1543</v>
      </c>
      <c r="B97" s="4" t="s">
        <v>1700</v>
      </c>
      <c r="C97" s="4" t="s">
        <v>1701</v>
      </c>
      <c r="D97" s="5">
        <v>44012.0</v>
      </c>
      <c r="E97" s="4" t="s">
        <v>1547</v>
      </c>
    </row>
    <row r="98" ht="15.75" customHeight="1">
      <c r="A98" s="4" t="s">
        <v>1543</v>
      </c>
      <c r="B98" s="4" t="s">
        <v>1702</v>
      </c>
      <c r="C98" s="4" t="s">
        <v>1703</v>
      </c>
      <c r="D98" s="5">
        <v>44012.0</v>
      </c>
      <c r="E98" s="4" t="s">
        <v>1547</v>
      </c>
    </row>
    <row r="99" ht="15.75" customHeight="1">
      <c r="A99" s="4" t="s">
        <v>1543</v>
      </c>
      <c r="B99" s="4" t="s">
        <v>1704</v>
      </c>
      <c r="C99" s="4" t="s">
        <v>1705</v>
      </c>
      <c r="D99" s="5">
        <v>44012.0</v>
      </c>
      <c r="E99" s="4" t="s">
        <v>1547</v>
      </c>
    </row>
    <row r="100" ht="15.75" customHeight="1">
      <c r="A100" s="4" t="s">
        <v>1543</v>
      </c>
      <c r="B100" s="4" t="s">
        <v>1706</v>
      </c>
      <c r="C100" s="4" t="s">
        <v>1438</v>
      </c>
      <c r="D100" s="5">
        <v>44012.0</v>
      </c>
      <c r="E100" s="4" t="s">
        <v>1547</v>
      </c>
    </row>
    <row r="101" ht="15.75" customHeight="1">
      <c r="A101" s="4" t="s">
        <v>1543</v>
      </c>
      <c r="B101" s="4" t="s">
        <v>1707</v>
      </c>
      <c r="C101" s="4" t="s">
        <v>1708</v>
      </c>
      <c r="D101" s="5">
        <v>44012.0</v>
      </c>
      <c r="E101" s="4" t="s">
        <v>1547</v>
      </c>
    </row>
    <row r="102" ht="15.75" customHeight="1">
      <c r="A102" s="4" t="s">
        <v>1543</v>
      </c>
      <c r="B102" s="4" t="s">
        <v>1709</v>
      </c>
      <c r="C102" s="4" t="s">
        <v>1522</v>
      </c>
      <c r="D102" s="5">
        <v>44012.0</v>
      </c>
      <c r="E102" s="4" t="s">
        <v>1547</v>
      </c>
    </row>
    <row r="103" ht="15.75" customHeight="1">
      <c r="A103" s="4" t="s">
        <v>1543</v>
      </c>
      <c r="B103" s="4" t="s">
        <v>1710</v>
      </c>
      <c r="C103" s="4" t="s">
        <v>1381</v>
      </c>
      <c r="D103" s="5">
        <v>44012.0</v>
      </c>
      <c r="E103" s="4" t="s">
        <v>1547</v>
      </c>
    </row>
    <row r="104" ht="15.75" customHeight="1">
      <c r="A104" s="4" t="s">
        <v>1543</v>
      </c>
      <c r="B104" s="4" t="s">
        <v>1711</v>
      </c>
      <c r="C104" s="4" t="s">
        <v>24</v>
      </c>
      <c r="D104" s="5">
        <v>44012.0</v>
      </c>
      <c r="E104" s="4" t="s">
        <v>1547</v>
      </c>
    </row>
    <row r="105" ht="15.75" customHeight="1">
      <c r="A105" s="4" t="s">
        <v>1543</v>
      </c>
      <c r="B105" s="4" t="s">
        <v>1712</v>
      </c>
      <c r="C105" s="4" t="s">
        <v>262</v>
      </c>
      <c r="D105" s="5">
        <v>44012.0</v>
      </c>
      <c r="E105" s="4" t="s">
        <v>1547</v>
      </c>
    </row>
    <row r="106" ht="15.75" customHeight="1">
      <c r="A106" s="4" t="s">
        <v>1543</v>
      </c>
      <c r="B106" s="4" t="s">
        <v>1713</v>
      </c>
      <c r="C106" s="4" t="s">
        <v>1714</v>
      </c>
      <c r="D106" s="5">
        <v>44012.0</v>
      </c>
      <c r="E106" s="4" t="s">
        <v>1545</v>
      </c>
    </row>
    <row r="107" ht="15.75" customHeight="1">
      <c r="A107" s="4" t="s">
        <v>1543</v>
      </c>
      <c r="B107" s="4" t="s">
        <v>1715</v>
      </c>
      <c r="C107" s="4" t="s">
        <v>1716</v>
      </c>
      <c r="D107" s="5">
        <v>44012.0</v>
      </c>
      <c r="E107" s="4" t="s">
        <v>1545</v>
      </c>
    </row>
    <row r="108" ht="15.75" customHeight="1">
      <c r="A108" s="4" t="s">
        <v>1543</v>
      </c>
      <c r="B108" s="4" t="s">
        <v>1717</v>
      </c>
      <c r="C108" s="4" t="s">
        <v>1718</v>
      </c>
      <c r="D108" s="5">
        <v>44012.0</v>
      </c>
      <c r="E108" s="4" t="s">
        <v>1545</v>
      </c>
    </row>
    <row r="109" ht="15.75" customHeight="1">
      <c r="A109" s="4" t="s">
        <v>1543</v>
      </c>
      <c r="B109" s="4" t="s">
        <v>1719</v>
      </c>
      <c r="C109" s="4" t="s">
        <v>1720</v>
      </c>
      <c r="D109" s="5">
        <v>44012.0</v>
      </c>
      <c r="E109" s="4" t="s">
        <v>1545</v>
      </c>
    </row>
    <row r="110" ht="15.75" customHeight="1">
      <c r="A110" s="4" t="s">
        <v>1543</v>
      </c>
      <c r="B110" s="4" t="s">
        <v>1721</v>
      </c>
      <c r="C110" s="4" t="s">
        <v>1722</v>
      </c>
      <c r="D110" s="5">
        <v>44012.0</v>
      </c>
      <c r="E110" s="4" t="s">
        <v>1545</v>
      </c>
    </row>
    <row r="111" ht="15.75" customHeight="1">
      <c r="A111" s="4" t="s">
        <v>1543</v>
      </c>
      <c r="B111" s="4" t="s">
        <v>1723</v>
      </c>
      <c r="C111" s="4" t="s">
        <v>1724</v>
      </c>
      <c r="D111" s="5">
        <v>44012.0</v>
      </c>
      <c r="E111" s="4" t="s">
        <v>1545</v>
      </c>
    </row>
    <row r="112" ht="15.75" customHeight="1">
      <c r="A112" s="4" t="s">
        <v>1543</v>
      </c>
      <c r="B112" s="4" t="s">
        <v>1725</v>
      </c>
      <c r="C112" s="4" t="s">
        <v>1726</v>
      </c>
      <c r="D112" s="5">
        <v>44012.0</v>
      </c>
      <c r="E112" s="4" t="s">
        <v>1545</v>
      </c>
    </row>
    <row r="113" ht="15.75" customHeight="1">
      <c r="A113" s="4" t="s">
        <v>1543</v>
      </c>
      <c r="B113" s="4" t="s">
        <v>1727</v>
      </c>
      <c r="C113" s="4" t="s">
        <v>1728</v>
      </c>
      <c r="D113" s="5">
        <v>44012.0</v>
      </c>
      <c r="E113" s="4" t="s">
        <v>1545</v>
      </c>
    </row>
    <row r="114" ht="15.75" customHeight="1">
      <c r="A114" s="4" t="s">
        <v>1543</v>
      </c>
      <c r="B114" s="4" t="s">
        <v>1729</v>
      </c>
      <c r="C114" s="4" t="s">
        <v>899</v>
      </c>
      <c r="D114" s="5">
        <v>44012.0</v>
      </c>
      <c r="E114" s="4" t="s">
        <v>1545</v>
      </c>
    </row>
    <row r="115" ht="15.75" customHeight="1">
      <c r="A115" s="4" t="s">
        <v>1543</v>
      </c>
      <c r="B115" s="4" t="s">
        <v>1730</v>
      </c>
      <c r="C115" s="4" t="s">
        <v>1469</v>
      </c>
      <c r="D115" s="5">
        <v>44012.0</v>
      </c>
      <c r="E115" s="4" t="s">
        <v>1545</v>
      </c>
    </row>
    <row r="116" ht="15.75" customHeight="1">
      <c r="A116" s="4" t="s">
        <v>1543</v>
      </c>
      <c r="B116" s="4" t="s">
        <v>1731</v>
      </c>
      <c r="C116" s="4" t="s">
        <v>1526</v>
      </c>
      <c r="D116" s="5">
        <v>44012.0</v>
      </c>
      <c r="E116" s="4" t="s">
        <v>1545</v>
      </c>
    </row>
    <row r="117" ht="15.75" customHeight="1">
      <c r="A117" s="4" t="s">
        <v>1543</v>
      </c>
      <c r="B117" s="4" t="s">
        <v>1732</v>
      </c>
      <c r="C117" s="4" t="s">
        <v>1733</v>
      </c>
      <c r="D117" s="5">
        <v>44012.0</v>
      </c>
      <c r="E117" s="4" t="s">
        <v>1547</v>
      </c>
    </row>
    <row r="118" ht="15.75" customHeight="1">
      <c r="A118" s="4" t="s">
        <v>1543</v>
      </c>
      <c r="B118" s="4" t="s">
        <v>1734</v>
      </c>
      <c r="C118" s="4" t="s">
        <v>1735</v>
      </c>
      <c r="D118" s="5">
        <v>44012.0</v>
      </c>
      <c r="E118" s="4" t="s">
        <v>1547</v>
      </c>
    </row>
    <row r="119" ht="15.75" customHeight="1">
      <c r="A119" s="4" t="s">
        <v>1543</v>
      </c>
      <c r="B119" s="4" t="s">
        <v>1736</v>
      </c>
      <c r="C119" s="4" t="s">
        <v>1737</v>
      </c>
      <c r="D119" s="5">
        <v>44012.0</v>
      </c>
      <c r="E119" s="4" t="s">
        <v>1547</v>
      </c>
    </row>
    <row r="120" ht="15.75" customHeight="1">
      <c r="A120" s="4" t="s">
        <v>1543</v>
      </c>
      <c r="B120" s="4" t="s">
        <v>1738</v>
      </c>
      <c r="C120" s="4" t="s">
        <v>1739</v>
      </c>
      <c r="D120" s="5">
        <v>44012.0</v>
      </c>
      <c r="E120" s="4" t="s">
        <v>1547</v>
      </c>
    </row>
    <row r="121" ht="15.75" customHeight="1">
      <c r="A121" s="4" t="s">
        <v>1543</v>
      </c>
      <c r="B121" s="4" t="s">
        <v>1740</v>
      </c>
      <c r="C121" s="4" t="s">
        <v>1741</v>
      </c>
      <c r="D121" s="5">
        <v>44012.0</v>
      </c>
      <c r="E121" s="4" t="s">
        <v>1547</v>
      </c>
    </row>
    <row r="122" ht="15.75" customHeight="1">
      <c r="A122" s="4" t="s">
        <v>1543</v>
      </c>
      <c r="B122" s="4" t="s">
        <v>1742</v>
      </c>
      <c r="C122" s="4" t="s">
        <v>1743</v>
      </c>
      <c r="D122" s="5">
        <v>44012.0</v>
      </c>
      <c r="E122" s="4" t="s">
        <v>1547</v>
      </c>
    </row>
    <row r="123" ht="15.75" customHeight="1">
      <c r="A123" s="4" t="s">
        <v>1543</v>
      </c>
      <c r="B123" s="4" t="s">
        <v>1744</v>
      </c>
      <c r="C123" s="4" t="s">
        <v>1092</v>
      </c>
      <c r="D123" s="5">
        <v>44012.0</v>
      </c>
      <c r="E123" s="4" t="s">
        <v>1547</v>
      </c>
    </row>
    <row r="124" ht="15.75" customHeight="1">
      <c r="A124" s="4" t="s">
        <v>1543</v>
      </c>
      <c r="B124" s="4" t="s">
        <v>1745</v>
      </c>
      <c r="C124" s="4" t="s">
        <v>129</v>
      </c>
      <c r="D124" s="5">
        <v>44012.0</v>
      </c>
      <c r="E124" s="4" t="s">
        <v>1547</v>
      </c>
    </row>
    <row r="125" ht="15.75" customHeight="1">
      <c r="A125" s="4" t="s">
        <v>1543</v>
      </c>
      <c r="B125" s="4" t="s">
        <v>1746</v>
      </c>
      <c r="C125" s="4" t="s">
        <v>1506</v>
      </c>
      <c r="D125" s="5">
        <v>44012.0</v>
      </c>
      <c r="E125" s="4" t="s">
        <v>1547</v>
      </c>
    </row>
    <row r="126" ht="15.75" customHeight="1">
      <c r="A126" s="4" t="s">
        <v>1543</v>
      </c>
      <c r="B126" s="4" t="s">
        <v>1747</v>
      </c>
      <c r="C126" s="4" t="s">
        <v>1748</v>
      </c>
      <c r="D126" s="5">
        <v>44012.0</v>
      </c>
      <c r="E126" s="4" t="s">
        <v>1547</v>
      </c>
    </row>
    <row r="127" ht="15.75" customHeight="1">
      <c r="A127" s="4" t="s">
        <v>1543</v>
      </c>
      <c r="B127" s="4" t="s">
        <v>1749</v>
      </c>
      <c r="C127" s="4" t="s">
        <v>1413</v>
      </c>
      <c r="D127" s="5">
        <v>44012.0</v>
      </c>
      <c r="E127" s="4" t="s">
        <v>1547</v>
      </c>
    </row>
    <row r="128" ht="15.75" customHeight="1">
      <c r="A128" s="4" t="s">
        <v>1543</v>
      </c>
      <c r="B128" s="4" t="s">
        <v>1750</v>
      </c>
      <c r="C128" s="4" t="s">
        <v>1455</v>
      </c>
      <c r="D128" s="5">
        <v>44012.0</v>
      </c>
      <c r="E128" s="4" t="s">
        <v>1547</v>
      </c>
    </row>
    <row r="129" ht="15.75" customHeight="1">
      <c r="A129" s="4" t="s">
        <v>1543</v>
      </c>
      <c r="B129" s="4" t="s">
        <v>1751</v>
      </c>
      <c r="C129" s="4" t="s">
        <v>1752</v>
      </c>
      <c r="D129" s="5">
        <v>44012.0</v>
      </c>
      <c r="E129" s="4" t="s">
        <v>1547</v>
      </c>
    </row>
    <row r="130" ht="15.75" customHeight="1">
      <c r="A130" s="4" t="s">
        <v>1543</v>
      </c>
      <c r="B130" s="4" t="s">
        <v>1753</v>
      </c>
      <c r="C130" s="4" t="s">
        <v>1476</v>
      </c>
      <c r="D130" s="5">
        <v>44012.0</v>
      </c>
      <c r="E130" s="4" t="s">
        <v>1547</v>
      </c>
    </row>
    <row r="131" ht="15.75" customHeight="1">
      <c r="A131" s="4" t="s">
        <v>1543</v>
      </c>
      <c r="B131" s="4" t="s">
        <v>1754</v>
      </c>
      <c r="C131" s="4" t="s">
        <v>39</v>
      </c>
      <c r="D131" s="5">
        <v>44012.0</v>
      </c>
      <c r="E131" s="4" t="s">
        <v>1547</v>
      </c>
    </row>
    <row r="132" ht="15.75" customHeight="1">
      <c r="A132" s="4" t="s">
        <v>1543</v>
      </c>
      <c r="B132" s="4" t="s">
        <v>1755</v>
      </c>
      <c r="C132" s="4" t="s">
        <v>1756</v>
      </c>
      <c r="D132" s="5">
        <v>44012.0</v>
      </c>
      <c r="E132" s="4" t="s">
        <v>1545</v>
      </c>
    </row>
    <row r="133" ht="15.75" customHeight="1">
      <c r="A133" s="4" t="s">
        <v>1543</v>
      </c>
      <c r="B133" s="4" t="s">
        <v>1757</v>
      </c>
      <c r="C133" s="4" t="s">
        <v>1758</v>
      </c>
      <c r="D133" s="5">
        <v>44012.0</v>
      </c>
      <c r="E133" s="4" t="s">
        <v>1547</v>
      </c>
    </row>
    <row r="134" ht="15.75" customHeight="1">
      <c r="A134" s="4" t="s">
        <v>1543</v>
      </c>
      <c r="B134" s="4" t="s">
        <v>1759</v>
      </c>
      <c r="C134" s="4" t="s">
        <v>1528</v>
      </c>
      <c r="D134" s="5">
        <v>44012.0</v>
      </c>
      <c r="E134" s="4" t="s">
        <v>1547</v>
      </c>
    </row>
    <row r="135" ht="15.75" customHeight="1">
      <c r="A135" s="4" t="s">
        <v>1543</v>
      </c>
      <c r="B135" s="4" t="s">
        <v>1760</v>
      </c>
      <c r="C135" s="4" t="s">
        <v>1761</v>
      </c>
      <c r="D135" s="5">
        <v>44010.0</v>
      </c>
      <c r="E135" s="4" t="s">
        <v>1547</v>
      </c>
    </row>
    <row r="136" ht="15.75" customHeight="1">
      <c r="A136" s="4" t="s">
        <v>1543</v>
      </c>
      <c r="B136" s="4" t="s">
        <v>1762</v>
      </c>
      <c r="C136" s="4" t="s">
        <v>241</v>
      </c>
      <c r="D136" s="5">
        <v>44007.0</v>
      </c>
      <c r="E136" s="4" t="s">
        <v>1547</v>
      </c>
    </row>
    <row r="137" ht="15.75" customHeight="1">
      <c r="A137" s="4" t="s">
        <v>1543</v>
      </c>
      <c r="B137" s="4" t="s">
        <v>1763</v>
      </c>
      <c r="C137" s="4" t="s">
        <v>43</v>
      </c>
      <c r="D137" s="5">
        <v>44006.0</v>
      </c>
      <c r="E137" s="4" t="s">
        <v>1545</v>
      </c>
    </row>
    <row r="138" ht="15.75" customHeight="1">
      <c r="A138" s="4" t="s">
        <v>1543</v>
      </c>
      <c r="B138" s="4" t="s">
        <v>1764</v>
      </c>
      <c r="C138" s="4" t="s">
        <v>1519</v>
      </c>
      <c r="D138" s="5">
        <v>44001.0</v>
      </c>
      <c r="E138" s="4" t="s">
        <v>1547</v>
      </c>
    </row>
    <row r="139" ht="15.75" customHeight="1">
      <c r="A139" s="4" t="s">
        <v>1543</v>
      </c>
      <c r="B139" s="4" t="s">
        <v>1765</v>
      </c>
      <c r="C139" s="4" t="s">
        <v>1512</v>
      </c>
      <c r="D139" s="5">
        <v>44001.0</v>
      </c>
      <c r="E139" s="4" t="s">
        <v>1547</v>
      </c>
    </row>
    <row r="140" ht="15.75" customHeight="1">
      <c r="A140" s="4" t="s">
        <v>1543</v>
      </c>
      <c r="B140" s="4" t="s">
        <v>1766</v>
      </c>
      <c r="C140" s="4" t="s">
        <v>1501</v>
      </c>
      <c r="D140" s="5">
        <v>44000.0</v>
      </c>
      <c r="E140" s="4" t="s">
        <v>1547</v>
      </c>
    </row>
    <row r="141" ht="15.75" customHeight="1">
      <c r="A141" s="4" t="s">
        <v>1543</v>
      </c>
      <c r="B141" s="4" t="s">
        <v>1767</v>
      </c>
      <c r="C141" s="4" t="s">
        <v>1495</v>
      </c>
      <c r="D141" s="5">
        <v>44000.0</v>
      </c>
      <c r="E141" s="4" t="s">
        <v>1547</v>
      </c>
    </row>
    <row r="142" ht="15.75" customHeight="1">
      <c r="A142" s="4" t="s">
        <v>1543</v>
      </c>
      <c r="B142" s="4" t="s">
        <v>1768</v>
      </c>
      <c r="C142" s="4" t="s">
        <v>1484</v>
      </c>
      <c r="D142" s="5">
        <v>44000.0</v>
      </c>
      <c r="E142" s="4" t="s">
        <v>1547</v>
      </c>
    </row>
    <row r="143" ht="15.75" customHeight="1">
      <c r="A143" s="4" t="s">
        <v>1543</v>
      </c>
      <c r="B143" s="4" t="s">
        <v>1769</v>
      </c>
      <c r="C143" s="4" t="s">
        <v>1482</v>
      </c>
      <c r="D143" s="5">
        <v>44000.0</v>
      </c>
      <c r="E143" s="4" t="s">
        <v>1545</v>
      </c>
    </row>
    <row r="144" ht="15.75" customHeight="1">
      <c r="A144" s="4" t="s">
        <v>1543</v>
      </c>
      <c r="B144" s="4" t="s">
        <v>1770</v>
      </c>
      <c r="C144" s="4" t="s">
        <v>1470</v>
      </c>
      <c r="D144" s="5">
        <v>44000.0</v>
      </c>
      <c r="E144" s="4" t="s">
        <v>1547</v>
      </c>
    </row>
    <row r="145" ht="15.75" customHeight="1">
      <c r="A145" s="4" t="s">
        <v>1543</v>
      </c>
      <c r="B145" s="4" t="s">
        <v>1771</v>
      </c>
      <c r="C145" s="4" t="s">
        <v>1468</v>
      </c>
      <c r="D145" s="5">
        <v>44000.0</v>
      </c>
      <c r="E145" s="4" t="s">
        <v>1547</v>
      </c>
    </row>
    <row r="146" ht="15.75" customHeight="1">
      <c r="A146" s="4" t="s">
        <v>1543</v>
      </c>
      <c r="B146" s="4" t="s">
        <v>1772</v>
      </c>
      <c r="C146" s="4" t="s">
        <v>1773</v>
      </c>
      <c r="D146" s="5">
        <v>43999.0</v>
      </c>
      <c r="E146" s="4" t="s">
        <v>1545</v>
      </c>
    </row>
    <row r="147" ht="15.75" customHeight="1">
      <c r="A147" s="4" t="s">
        <v>1543</v>
      </c>
      <c r="B147" s="4" t="s">
        <v>1774</v>
      </c>
      <c r="C147" s="4" t="s">
        <v>1466</v>
      </c>
      <c r="D147" s="5">
        <v>43999.0</v>
      </c>
      <c r="E147" s="4" t="s">
        <v>1547</v>
      </c>
    </row>
    <row r="148" ht="15.75" customHeight="1">
      <c r="A148" s="4" t="s">
        <v>1543</v>
      </c>
      <c r="B148" s="4" t="s">
        <v>1775</v>
      </c>
      <c r="C148" s="4" t="s">
        <v>1776</v>
      </c>
      <c r="D148" s="5">
        <v>43998.0</v>
      </c>
      <c r="E148" s="4" t="s">
        <v>1545</v>
      </c>
    </row>
    <row r="149" ht="15.75" customHeight="1">
      <c r="A149" s="4" t="s">
        <v>1543</v>
      </c>
      <c r="B149" s="4" t="s">
        <v>1777</v>
      </c>
      <c r="C149" s="4" t="s">
        <v>1457</v>
      </c>
      <c r="D149" s="5">
        <v>43997.0</v>
      </c>
      <c r="E149" s="4" t="s">
        <v>1547</v>
      </c>
    </row>
    <row r="150" ht="15.75" customHeight="1">
      <c r="A150" s="4" t="s">
        <v>1543</v>
      </c>
      <c r="B150" s="4" t="s">
        <v>1778</v>
      </c>
      <c r="C150" s="4" t="s">
        <v>1452</v>
      </c>
      <c r="D150" s="5">
        <v>43997.0</v>
      </c>
      <c r="E150" s="4" t="s">
        <v>1547</v>
      </c>
    </row>
    <row r="151" ht="15.75" customHeight="1">
      <c r="A151" s="4" t="s">
        <v>1543</v>
      </c>
      <c r="B151" s="4" t="s">
        <v>1779</v>
      </c>
      <c r="C151" s="4" t="s">
        <v>1435</v>
      </c>
      <c r="D151" s="5">
        <v>43997.0</v>
      </c>
      <c r="E151" s="4" t="s">
        <v>1547</v>
      </c>
    </row>
    <row r="152" ht="15.75" customHeight="1">
      <c r="A152" s="4" t="s">
        <v>1543</v>
      </c>
      <c r="B152" s="4" t="s">
        <v>1780</v>
      </c>
      <c r="C152" s="12" t="s">
        <v>1461</v>
      </c>
      <c r="D152" s="13">
        <v>43997.0</v>
      </c>
      <c r="E152" s="12" t="s">
        <v>1545</v>
      </c>
    </row>
    <row r="153" ht="15.75" customHeight="1">
      <c r="A153" s="4" t="s">
        <v>1543</v>
      </c>
      <c r="B153" s="4" t="s">
        <v>1781</v>
      </c>
      <c r="C153" s="4" t="s">
        <v>1782</v>
      </c>
      <c r="D153" s="5">
        <v>43993.0</v>
      </c>
      <c r="E153" s="4" t="s">
        <v>1545</v>
      </c>
    </row>
    <row r="154" ht="15.75" customHeight="1">
      <c r="A154" s="4" t="s">
        <v>1543</v>
      </c>
      <c r="B154" s="4" t="s">
        <v>1783</v>
      </c>
      <c r="C154" s="4" t="s">
        <v>1411</v>
      </c>
      <c r="D154" s="5">
        <v>43990.0</v>
      </c>
      <c r="E154" s="4" t="s">
        <v>1547</v>
      </c>
    </row>
    <row r="155" ht="15.75" customHeight="1">
      <c r="A155" s="4" t="s">
        <v>1543</v>
      </c>
      <c r="B155" s="4" t="s">
        <v>1784</v>
      </c>
      <c r="C155" s="4" t="s">
        <v>1138</v>
      </c>
      <c r="D155" s="5">
        <v>43986.0</v>
      </c>
      <c r="E155" s="4" t="s">
        <v>1547</v>
      </c>
    </row>
    <row r="156" ht="15.75" customHeight="1">
      <c r="A156" s="4" t="s">
        <v>1543</v>
      </c>
      <c r="B156" s="4" t="s">
        <v>1785</v>
      </c>
      <c r="C156" s="4" t="s">
        <v>1017</v>
      </c>
      <c r="D156" s="5">
        <v>43986.0</v>
      </c>
      <c r="E156" s="4" t="s">
        <v>1547</v>
      </c>
    </row>
    <row r="157" ht="15.75" customHeight="1">
      <c r="A157" s="4" t="s">
        <v>1543</v>
      </c>
      <c r="B157" s="4" t="s">
        <v>1786</v>
      </c>
      <c r="C157" s="4" t="s">
        <v>1464</v>
      </c>
      <c r="D157" s="5">
        <v>43985.0</v>
      </c>
      <c r="E157" s="4" t="s">
        <v>1547</v>
      </c>
    </row>
    <row r="158" ht="15.75" customHeight="1">
      <c r="A158" s="4" t="s">
        <v>1543</v>
      </c>
      <c r="B158" s="4" t="s">
        <v>1787</v>
      </c>
      <c r="C158" s="4" t="s">
        <v>473</v>
      </c>
      <c r="D158" s="5">
        <v>43985.0</v>
      </c>
      <c r="E158" s="4" t="s">
        <v>1547</v>
      </c>
    </row>
    <row r="159" ht="15.75" customHeight="1">
      <c r="A159" s="4" t="s">
        <v>1543</v>
      </c>
      <c r="B159" s="4" t="s">
        <v>1788</v>
      </c>
      <c r="C159" s="4" t="s">
        <v>240</v>
      </c>
      <c r="D159" s="5">
        <v>43985.0</v>
      </c>
      <c r="E159" s="4" t="s">
        <v>1547</v>
      </c>
    </row>
    <row r="160" ht="15.75" customHeight="1">
      <c r="A160" s="4" t="s">
        <v>1543</v>
      </c>
      <c r="B160" s="4" t="s">
        <v>1789</v>
      </c>
      <c r="C160" s="4" t="s">
        <v>1790</v>
      </c>
      <c r="D160" s="5">
        <v>43985.0</v>
      </c>
      <c r="E160" s="4" t="s">
        <v>1547</v>
      </c>
    </row>
    <row r="161" ht="15.75" customHeight="1">
      <c r="A161" s="4" t="s">
        <v>1543</v>
      </c>
      <c r="B161" s="4" t="s">
        <v>1791</v>
      </c>
      <c r="C161" s="4" t="s">
        <v>59</v>
      </c>
      <c r="D161" s="5">
        <v>43983.0</v>
      </c>
      <c r="E161" s="4" t="s">
        <v>1547</v>
      </c>
    </row>
    <row r="162" ht="15.75" customHeight="1">
      <c r="A162" s="4" t="s">
        <v>1543</v>
      </c>
      <c r="B162" s="4" t="s">
        <v>1792</v>
      </c>
      <c r="C162" s="4" t="s">
        <v>44</v>
      </c>
      <c r="D162" s="5">
        <v>43983.0</v>
      </c>
      <c r="E162" s="4" t="s">
        <v>1547</v>
      </c>
    </row>
    <row r="163" ht="15.75" customHeight="1">
      <c r="A163" s="4" t="s">
        <v>1543</v>
      </c>
      <c r="B163" s="4" t="s">
        <v>1793</v>
      </c>
      <c r="C163" s="4" t="s">
        <v>1794</v>
      </c>
      <c r="D163" s="5">
        <v>43981.0</v>
      </c>
      <c r="E163" s="4" t="s">
        <v>1545</v>
      </c>
    </row>
    <row r="164" ht="15.75" customHeight="1">
      <c r="A164" s="4" t="s">
        <v>1543</v>
      </c>
      <c r="B164" s="4" t="s">
        <v>1795</v>
      </c>
      <c r="C164" s="4" t="s">
        <v>42</v>
      </c>
      <c r="D164" s="5">
        <v>43976.0</v>
      </c>
      <c r="E164" s="4" t="s">
        <v>1547</v>
      </c>
    </row>
    <row r="165" ht="15.75" customHeight="1">
      <c r="A165" s="4" t="s">
        <v>1543</v>
      </c>
      <c r="B165" s="4" t="s">
        <v>1796</v>
      </c>
      <c r="C165" s="4" t="s">
        <v>41</v>
      </c>
      <c r="D165" s="5">
        <v>43976.0</v>
      </c>
      <c r="E165" s="4" t="s">
        <v>1547</v>
      </c>
    </row>
    <row r="166" ht="15.75" customHeight="1">
      <c r="A166" s="4" t="s">
        <v>1543</v>
      </c>
      <c r="B166" s="4" t="s">
        <v>1797</v>
      </c>
      <c r="C166" s="4" t="s">
        <v>40</v>
      </c>
      <c r="D166" s="5">
        <v>43975.0</v>
      </c>
      <c r="E166" s="4" t="s">
        <v>1547</v>
      </c>
    </row>
    <row r="167" ht="15.75" customHeight="1">
      <c r="A167" s="4" t="s">
        <v>1543</v>
      </c>
      <c r="B167" s="4" t="s">
        <v>1798</v>
      </c>
      <c r="C167" s="4" t="s">
        <v>1799</v>
      </c>
      <c r="D167" s="5">
        <v>43975.0</v>
      </c>
      <c r="E167" s="4" t="s">
        <v>1547</v>
      </c>
    </row>
    <row r="168" ht="15.75" customHeight="1">
      <c r="A168" s="4" t="s">
        <v>1543</v>
      </c>
      <c r="B168" s="4" t="s">
        <v>1800</v>
      </c>
      <c r="C168" s="4" t="s">
        <v>675</v>
      </c>
      <c r="D168" s="5">
        <v>43974.0</v>
      </c>
      <c r="E168" s="4" t="s">
        <v>1547</v>
      </c>
    </row>
    <row r="169" ht="15.75" customHeight="1">
      <c r="A169" s="4" t="s">
        <v>1543</v>
      </c>
      <c r="B169" s="4" t="s">
        <v>1801</v>
      </c>
      <c r="C169" s="4" t="s">
        <v>38</v>
      </c>
      <c r="D169" s="5">
        <v>43974.0</v>
      </c>
      <c r="E169" s="4" t="s">
        <v>1547</v>
      </c>
    </row>
    <row r="170" ht="15.75" customHeight="1">
      <c r="A170" s="4" t="s">
        <v>1543</v>
      </c>
      <c r="B170" s="4" t="s">
        <v>1802</v>
      </c>
      <c r="C170" s="4" t="s">
        <v>1803</v>
      </c>
      <c r="D170" s="5">
        <v>43973.0</v>
      </c>
      <c r="E170" s="4" t="s">
        <v>1545</v>
      </c>
    </row>
    <row r="171" ht="15.75" customHeight="1">
      <c r="A171" s="4" t="s">
        <v>1543</v>
      </c>
      <c r="B171" s="4" t="s">
        <v>1804</v>
      </c>
      <c r="C171" s="4" t="s">
        <v>1414</v>
      </c>
      <c r="D171" s="5">
        <v>43973.0</v>
      </c>
      <c r="E171" s="4" t="s">
        <v>1547</v>
      </c>
    </row>
    <row r="172" ht="15.75" customHeight="1">
      <c r="A172" s="4" t="s">
        <v>1543</v>
      </c>
      <c r="B172" s="4" t="s">
        <v>1805</v>
      </c>
      <c r="C172" s="4" t="s">
        <v>32</v>
      </c>
      <c r="D172" s="5">
        <v>43973.0</v>
      </c>
      <c r="E172" s="4" t="s">
        <v>1547</v>
      </c>
    </row>
    <row r="173" ht="15.75" customHeight="1">
      <c r="A173" s="4" t="s">
        <v>1543</v>
      </c>
      <c r="B173" s="4" t="s">
        <v>1806</v>
      </c>
      <c r="C173" s="4" t="s">
        <v>1807</v>
      </c>
      <c r="D173" s="5">
        <v>43972.0</v>
      </c>
      <c r="E173" s="4" t="s">
        <v>1547</v>
      </c>
    </row>
    <row r="174" ht="15.75" customHeight="1">
      <c r="A174" s="4" t="s">
        <v>1543</v>
      </c>
      <c r="B174" s="4" t="s">
        <v>1808</v>
      </c>
      <c r="C174" s="4" t="s">
        <v>1427</v>
      </c>
      <c r="D174" s="5">
        <v>43972.0</v>
      </c>
      <c r="E174" s="4" t="s">
        <v>1545</v>
      </c>
    </row>
    <row r="175" ht="15.75" customHeight="1">
      <c r="A175" s="4" t="s">
        <v>1543</v>
      </c>
      <c r="B175" s="4" t="s">
        <v>1809</v>
      </c>
      <c r="C175" s="4" t="s">
        <v>31</v>
      </c>
      <c r="D175" s="5">
        <v>43972.0</v>
      </c>
      <c r="E175" s="4" t="s">
        <v>1545</v>
      </c>
    </row>
    <row r="176" ht="15.75" customHeight="1">
      <c r="A176" s="4" t="s">
        <v>1543</v>
      </c>
      <c r="B176" s="4" t="s">
        <v>1810</v>
      </c>
      <c r="C176" s="4" t="s">
        <v>1811</v>
      </c>
      <c r="D176" s="5">
        <v>43972.0</v>
      </c>
      <c r="E176" s="4" t="s">
        <v>1545</v>
      </c>
    </row>
    <row r="177" ht="15.75" customHeight="1">
      <c r="A177" s="4" t="s">
        <v>1543</v>
      </c>
      <c r="B177" s="4" t="s">
        <v>1812</v>
      </c>
      <c r="C177" s="4" t="s">
        <v>28</v>
      </c>
      <c r="D177" s="5">
        <v>43972.0</v>
      </c>
      <c r="E177" s="4" t="s">
        <v>1545</v>
      </c>
    </row>
    <row r="178" ht="15.75" customHeight="1">
      <c r="A178" s="4" t="s">
        <v>1543</v>
      </c>
      <c r="B178" s="4" t="s">
        <v>1813</v>
      </c>
      <c r="C178" s="4" t="s">
        <v>1814</v>
      </c>
      <c r="D178" s="5">
        <v>43972.0</v>
      </c>
      <c r="E178" s="4" t="s">
        <v>1545</v>
      </c>
    </row>
    <row r="179" ht="15.75" customHeight="1">
      <c r="A179" s="4" t="s">
        <v>1543</v>
      </c>
      <c r="B179" s="4" t="s">
        <v>1815</v>
      </c>
      <c r="C179" s="4" t="s">
        <v>22</v>
      </c>
      <c r="D179" s="5">
        <v>43971.0</v>
      </c>
      <c r="E179" s="4" t="s">
        <v>1547</v>
      </c>
    </row>
    <row r="180" ht="15.75" customHeight="1">
      <c r="A180" s="4" t="s">
        <v>1543</v>
      </c>
      <c r="B180" s="4" t="s">
        <v>1816</v>
      </c>
      <c r="C180" s="4" t="s">
        <v>1817</v>
      </c>
      <c r="D180" s="5">
        <v>43971.0</v>
      </c>
      <c r="E180" s="4" t="s">
        <v>1545</v>
      </c>
    </row>
    <row r="181" ht="15.75" customHeight="1">
      <c r="A181" s="4" t="s">
        <v>1543</v>
      </c>
      <c r="B181" s="4" t="s">
        <v>1818</v>
      </c>
      <c r="C181" s="4" t="s">
        <v>27</v>
      </c>
      <c r="D181" s="5">
        <v>43971.0</v>
      </c>
      <c r="E181" s="4" t="s">
        <v>1547</v>
      </c>
    </row>
    <row r="182" ht="15.75" customHeight="1">
      <c r="A182" s="4" t="s">
        <v>1543</v>
      </c>
      <c r="B182" s="4" t="s">
        <v>1819</v>
      </c>
      <c r="C182" s="4" t="s">
        <v>1489</v>
      </c>
      <c r="D182" s="5">
        <v>43971.0</v>
      </c>
      <c r="E182" s="4" t="s">
        <v>1547</v>
      </c>
    </row>
    <row r="183" ht="15.75" customHeight="1">
      <c r="A183" s="4" t="s">
        <v>1543</v>
      </c>
      <c r="B183" s="4" t="s">
        <v>1820</v>
      </c>
      <c r="C183" s="4" t="s">
        <v>1229</v>
      </c>
      <c r="D183" s="5">
        <v>43971.0</v>
      </c>
      <c r="E183" s="4" t="s">
        <v>1545</v>
      </c>
    </row>
    <row r="184" ht="15.75" customHeight="1">
      <c r="A184" s="4" t="s">
        <v>1543</v>
      </c>
      <c r="B184" s="4" t="s">
        <v>1821</v>
      </c>
      <c r="C184" s="4" t="s">
        <v>1822</v>
      </c>
      <c r="D184" s="5">
        <v>43971.0</v>
      </c>
      <c r="E184" s="4" t="s">
        <v>1545</v>
      </c>
    </row>
    <row r="185" ht="15.75" customHeight="1">
      <c r="A185" s="4" t="s">
        <v>1543</v>
      </c>
      <c r="B185" s="4" t="s">
        <v>1823</v>
      </c>
      <c r="C185" s="4" t="s">
        <v>33</v>
      </c>
      <c r="D185" s="5">
        <v>43971.0</v>
      </c>
      <c r="E185" s="4" t="s">
        <v>1547</v>
      </c>
    </row>
    <row r="186" ht="15.75" customHeight="1">
      <c r="A186" s="4" t="s">
        <v>1543</v>
      </c>
      <c r="B186" s="4" t="s">
        <v>1824</v>
      </c>
      <c r="C186" s="4" t="s">
        <v>19</v>
      </c>
      <c r="D186" s="5">
        <v>43971.0</v>
      </c>
      <c r="E186" s="4" t="s">
        <v>1547</v>
      </c>
    </row>
    <row r="187" ht="15.75" customHeight="1">
      <c r="A187" s="4" t="s">
        <v>1543</v>
      </c>
      <c r="B187" s="4" t="s">
        <v>1825</v>
      </c>
      <c r="C187" s="4" t="s">
        <v>18</v>
      </c>
      <c r="D187" s="5">
        <v>43970.0</v>
      </c>
      <c r="E187" s="4" t="s">
        <v>1547</v>
      </c>
    </row>
    <row r="188" ht="15.75" customHeight="1">
      <c r="A188" s="4" t="s">
        <v>1543</v>
      </c>
      <c r="B188" s="4" t="s">
        <v>1826</v>
      </c>
      <c r="C188" s="4" t="s">
        <v>1827</v>
      </c>
      <c r="D188" s="5">
        <v>43970.0</v>
      </c>
      <c r="E188" s="4" t="s">
        <v>1545</v>
      </c>
    </row>
    <row r="189" ht="15.75" customHeight="1">
      <c r="A189" s="4" t="s">
        <v>1543</v>
      </c>
      <c r="B189" s="4" t="s">
        <v>1828</v>
      </c>
      <c r="C189" s="4" t="s">
        <v>35</v>
      </c>
      <c r="D189" s="5">
        <v>43969.0</v>
      </c>
      <c r="E189" s="4" t="s">
        <v>1547</v>
      </c>
    </row>
    <row r="190" ht="15.75" customHeight="1">
      <c r="A190" s="4" t="s">
        <v>1543</v>
      </c>
      <c r="B190" s="4" t="s">
        <v>1829</v>
      </c>
      <c r="C190" s="4" t="s">
        <v>17</v>
      </c>
      <c r="D190" s="5">
        <v>43969.0</v>
      </c>
      <c r="E190" s="4" t="s">
        <v>1547</v>
      </c>
    </row>
    <row r="191" ht="15.75" customHeight="1">
      <c r="A191" s="4" t="s">
        <v>1543</v>
      </c>
      <c r="B191" s="4" t="s">
        <v>1830</v>
      </c>
      <c r="C191" s="4" t="s">
        <v>9</v>
      </c>
      <c r="D191" s="5">
        <v>43969.0</v>
      </c>
      <c r="E191" s="4" t="s">
        <v>1547</v>
      </c>
    </row>
    <row r="192" ht="15.75" customHeight="1">
      <c r="A192" s="4" t="s">
        <v>1543</v>
      </c>
      <c r="B192" s="4" t="s">
        <v>1831</v>
      </c>
      <c r="C192" s="4" t="s">
        <v>564</v>
      </c>
      <c r="D192" s="5">
        <v>43969.0</v>
      </c>
      <c r="E192" s="4" t="s">
        <v>1547</v>
      </c>
    </row>
    <row r="193" ht="15.75" customHeight="1">
      <c r="A193" s="4" t="s">
        <v>1543</v>
      </c>
      <c r="B193" s="4" t="s">
        <v>1832</v>
      </c>
      <c r="C193" s="4" t="s">
        <v>16</v>
      </c>
      <c r="D193" s="5">
        <v>43967.0</v>
      </c>
      <c r="E193" s="4" t="s">
        <v>1547</v>
      </c>
    </row>
    <row r="194" ht="15.75" customHeight="1">
      <c r="A194" s="4" t="s">
        <v>1543</v>
      </c>
      <c r="B194" s="4" t="s">
        <v>1833</v>
      </c>
      <c r="C194" s="4" t="s">
        <v>1834</v>
      </c>
      <c r="D194" s="5">
        <v>43966.0</v>
      </c>
      <c r="E194" s="4" t="s">
        <v>1545</v>
      </c>
    </row>
    <row r="195" ht="15.75" customHeight="1">
      <c r="A195" s="4" t="s">
        <v>1543</v>
      </c>
      <c r="B195" s="4" t="s">
        <v>1835</v>
      </c>
      <c r="C195" s="4" t="s">
        <v>1836</v>
      </c>
      <c r="D195" s="5">
        <v>43965.0</v>
      </c>
      <c r="E195" s="4" t="s">
        <v>1545</v>
      </c>
    </row>
    <row r="196" ht="15.75" customHeight="1">
      <c r="A196" s="4" t="s">
        <v>1543</v>
      </c>
      <c r="B196" s="4" t="s">
        <v>1837</v>
      </c>
      <c r="C196" s="4" t="s">
        <v>7</v>
      </c>
      <c r="D196" s="5">
        <v>43965.0</v>
      </c>
      <c r="E196" s="4" t="s">
        <v>1547</v>
      </c>
    </row>
    <row r="197" ht="15.75" customHeight="1">
      <c r="A197" s="4" t="s">
        <v>1543</v>
      </c>
      <c r="B197" s="4" t="s">
        <v>1838</v>
      </c>
      <c r="C197" s="4" t="s">
        <v>13</v>
      </c>
      <c r="D197" s="5">
        <v>43962.0</v>
      </c>
      <c r="E197" s="4" t="s">
        <v>1547</v>
      </c>
    </row>
    <row r="198" ht="15.75" customHeight="1">
      <c r="A198" s="4" t="s">
        <v>1543</v>
      </c>
      <c r="B198" s="4" t="s">
        <v>1839</v>
      </c>
      <c r="C198" s="4" t="s">
        <v>1426</v>
      </c>
      <c r="D198" s="5">
        <v>43962.0</v>
      </c>
      <c r="E198" s="4" t="s">
        <v>1547</v>
      </c>
    </row>
    <row r="199" ht="15.75" customHeight="1">
      <c r="A199" s="4" t="s">
        <v>1543</v>
      </c>
      <c r="B199" s="4" t="s">
        <v>1840</v>
      </c>
      <c r="C199" s="4" t="s">
        <v>11</v>
      </c>
      <c r="D199" s="5">
        <v>43961.0</v>
      </c>
      <c r="E199" s="4" t="s">
        <v>1545</v>
      </c>
    </row>
    <row r="200" ht="15.75" customHeight="1">
      <c r="A200" s="4" t="s">
        <v>1543</v>
      </c>
      <c r="B200" s="4" t="s">
        <v>1841</v>
      </c>
      <c r="C200" s="4" t="s">
        <v>10</v>
      </c>
      <c r="D200" s="5">
        <v>43961.0</v>
      </c>
      <c r="E200" s="4" t="s">
        <v>1547</v>
      </c>
    </row>
    <row r="201" ht="15.75" customHeight="1">
      <c r="A201" s="4" t="s">
        <v>1543</v>
      </c>
      <c r="B201" s="4" t="s">
        <v>1842</v>
      </c>
      <c r="C201" s="4" t="s">
        <v>5</v>
      </c>
      <c r="D201" s="5">
        <v>43957.0</v>
      </c>
      <c r="E201" s="4" t="s">
        <v>1547</v>
      </c>
    </row>
    <row r="202" ht="15.75" customHeight="1">
      <c r="A202" s="4" t="s">
        <v>1543</v>
      </c>
      <c r="B202" s="4" t="s">
        <v>1843</v>
      </c>
      <c r="C202" s="4" t="s">
        <v>1844</v>
      </c>
      <c r="D202" s="5">
        <v>43955.0</v>
      </c>
      <c r="E202" s="4" t="s">
        <v>1545</v>
      </c>
    </row>
    <row r="203" ht="15.75" customHeight="1">
      <c r="A203" s="4" t="s">
        <v>1543</v>
      </c>
      <c r="B203" s="4" t="s">
        <v>1845</v>
      </c>
      <c r="C203" s="4" t="s">
        <v>1537</v>
      </c>
      <c r="D203" s="5">
        <v>43954.0</v>
      </c>
      <c r="E203" s="4" t="s">
        <v>1547</v>
      </c>
    </row>
    <row r="204" ht="15.75" customHeight="1">
      <c r="A204" s="4" t="s">
        <v>1543</v>
      </c>
      <c r="B204" s="4" t="s">
        <v>1846</v>
      </c>
      <c r="C204" s="4" t="s">
        <v>1536</v>
      </c>
      <c r="D204" s="5">
        <v>43952.0</v>
      </c>
      <c r="E204" s="4" t="s">
        <v>1547</v>
      </c>
    </row>
    <row r="205" ht="15.75" customHeight="1">
      <c r="A205" s="4" t="s">
        <v>1543</v>
      </c>
      <c r="B205" s="4" t="s">
        <v>1847</v>
      </c>
      <c r="C205" s="4" t="s">
        <v>1535</v>
      </c>
      <c r="D205" s="5">
        <v>43952.0</v>
      </c>
      <c r="E205" s="4" t="s">
        <v>1545</v>
      </c>
    </row>
    <row r="206" ht="15.75" customHeight="1">
      <c r="A206" s="4" t="s">
        <v>1543</v>
      </c>
      <c r="B206" s="4" t="s">
        <v>1848</v>
      </c>
      <c r="C206" s="4" t="s">
        <v>1530</v>
      </c>
      <c r="D206" s="5">
        <v>43951.0</v>
      </c>
      <c r="E206" s="4" t="s">
        <v>1547</v>
      </c>
    </row>
    <row r="207" ht="15.75" customHeight="1">
      <c r="A207" s="4" t="s">
        <v>1543</v>
      </c>
      <c r="B207" s="4" t="s">
        <v>1849</v>
      </c>
      <c r="C207" s="4" t="s">
        <v>1529</v>
      </c>
      <c r="D207" s="5">
        <v>43951.0</v>
      </c>
      <c r="E207" s="4" t="s">
        <v>1547</v>
      </c>
    </row>
    <row r="208" ht="15.75" customHeight="1">
      <c r="A208" s="4" t="s">
        <v>1543</v>
      </c>
      <c r="B208" s="4" t="s">
        <v>1850</v>
      </c>
      <c r="C208" s="4" t="s">
        <v>1851</v>
      </c>
      <c r="D208" s="5">
        <v>43951.0</v>
      </c>
      <c r="E208" s="4" t="s">
        <v>1547</v>
      </c>
    </row>
    <row r="209" ht="15.75" customHeight="1">
      <c r="A209" s="4" t="s">
        <v>1543</v>
      </c>
      <c r="B209" s="4" t="s">
        <v>1852</v>
      </c>
      <c r="C209" s="4" t="s">
        <v>1853</v>
      </c>
      <c r="D209" s="5">
        <v>43950.0</v>
      </c>
      <c r="E209" s="4" t="s">
        <v>1545</v>
      </c>
    </row>
    <row r="210" ht="15.75" customHeight="1">
      <c r="A210" s="4" t="s">
        <v>1543</v>
      </c>
      <c r="B210" s="4" t="s">
        <v>1854</v>
      </c>
      <c r="C210" s="4" t="s">
        <v>856</v>
      </c>
      <c r="D210" s="5">
        <v>43950.0</v>
      </c>
      <c r="E210" s="4" t="s">
        <v>1545</v>
      </c>
    </row>
    <row r="211" ht="15.75" customHeight="1">
      <c r="A211" s="4" t="s">
        <v>1543</v>
      </c>
      <c r="B211" s="4" t="s">
        <v>1855</v>
      </c>
      <c r="C211" s="4" t="s">
        <v>1856</v>
      </c>
      <c r="D211" s="5">
        <v>43950.0</v>
      </c>
      <c r="E211" s="4" t="s">
        <v>1545</v>
      </c>
    </row>
    <row r="212" ht="15.75" customHeight="1">
      <c r="A212" s="4" t="s">
        <v>1543</v>
      </c>
      <c r="B212" s="4" t="s">
        <v>1857</v>
      </c>
      <c r="C212" s="4" t="s">
        <v>1520</v>
      </c>
      <c r="D212" s="5">
        <v>43950.0</v>
      </c>
      <c r="E212" s="4" t="s">
        <v>1547</v>
      </c>
    </row>
    <row r="213" ht="15.75" customHeight="1">
      <c r="A213" s="4" t="s">
        <v>1543</v>
      </c>
      <c r="B213" s="4" t="s">
        <v>1858</v>
      </c>
      <c r="C213" s="4" t="s">
        <v>1859</v>
      </c>
      <c r="D213" s="5">
        <v>43950.0</v>
      </c>
      <c r="E213" s="4" t="s">
        <v>1545</v>
      </c>
    </row>
    <row r="214" ht="15.75" customHeight="1">
      <c r="A214" s="4" t="s">
        <v>1543</v>
      </c>
      <c r="B214" s="4" t="s">
        <v>1860</v>
      </c>
      <c r="C214" s="4" t="s">
        <v>1861</v>
      </c>
      <c r="D214" s="5">
        <v>43950.0</v>
      </c>
      <c r="E214" s="4" t="s">
        <v>1545</v>
      </c>
    </row>
    <row r="215" ht="15.75" customHeight="1">
      <c r="A215" s="4" t="s">
        <v>1543</v>
      </c>
      <c r="B215" s="4" t="s">
        <v>1862</v>
      </c>
      <c r="C215" s="4" t="s">
        <v>1515</v>
      </c>
      <c r="D215" s="5">
        <v>43950.0</v>
      </c>
      <c r="E215" s="4" t="s">
        <v>1547</v>
      </c>
    </row>
    <row r="216" ht="15.75" customHeight="1">
      <c r="A216" s="4" t="s">
        <v>1543</v>
      </c>
      <c r="B216" s="4" t="s">
        <v>1863</v>
      </c>
      <c r="C216" s="4" t="s">
        <v>1513</v>
      </c>
      <c r="D216" s="5">
        <v>43950.0</v>
      </c>
      <c r="E216" s="4" t="s">
        <v>1547</v>
      </c>
    </row>
    <row r="217" ht="15.75" customHeight="1">
      <c r="A217" s="4" t="s">
        <v>1543</v>
      </c>
      <c r="B217" s="4" t="s">
        <v>1864</v>
      </c>
      <c r="C217" s="4" t="s">
        <v>1865</v>
      </c>
      <c r="D217" s="5">
        <v>43950.0</v>
      </c>
      <c r="E217" s="4" t="s">
        <v>1545</v>
      </c>
    </row>
    <row r="218" ht="15.75" customHeight="1">
      <c r="A218" s="4" t="s">
        <v>1543</v>
      </c>
      <c r="B218" s="4" t="s">
        <v>1866</v>
      </c>
      <c r="C218" s="4" t="s">
        <v>1510</v>
      </c>
      <c r="D218" s="5">
        <v>43950.0</v>
      </c>
      <c r="E218" s="4" t="s">
        <v>1545</v>
      </c>
    </row>
    <row r="219" ht="15.75" customHeight="1">
      <c r="A219" s="4" t="s">
        <v>1543</v>
      </c>
      <c r="B219" s="4" t="s">
        <v>1867</v>
      </c>
      <c r="C219" s="4" t="s">
        <v>1508</v>
      </c>
      <c r="D219" s="5">
        <v>43950.0</v>
      </c>
      <c r="E219" s="4" t="s">
        <v>1547</v>
      </c>
    </row>
    <row r="220" ht="15.75" customHeight="1">
      <c r="A220" s="4" t="s">
        <v>1543</v>
      </c>
      <c r="B220" s="4" t="s">
        <v>1868</v>
      </c>
      <c r="C220" s="4" t="s">
        <v>1869</v>
      </c>
      <c r="D220" s="5">
        <v>43950.0</v>
      </c>
      <c r="E220" s="4" t="s">
        <v>1547</v>
      </c>
    </row>
    <row r="221" ht="15.75" customHeight="1">
      <c r="A221" s="4" t="s">
        <v>1543</v>
      </c>
      <c r="B221" s="4" t="s">
        <v>1870</v>
      </c>
      <c r="C221" s="4" t="s">
        <v>1507</v>
      </c>
      <c r="D221" s="5">
        <v>43950.0</v>
      </c>
      <c r="E221" s="4" t="s">
        <v>1547</v>
      </c>
    </row>
    <row r="222" ht="15.75" customHeight="1">
      <c r="A222" s="4" t="s">
        <v>1543</v>
      </c>
      <c r="B222" s="4" t="s">
        <v>1871</v>
      </c>
      <c r="C222" s="4" t="s">
        <v>1872</v>
      </c>
      <c r="D222" s="5">
        <v>43950.0</v>
      </c>
      <c r="E222" s="4" t="s">
        <v>1545</v>
      </c>
    </row>
    <row r="223" ht="15.75" customHeight="1">
      <c r="A223" s="4" t="s">
        <v>1543</v>
      </c>
      <c r="B223" s="4" t="s">
        <v>1873</v>
      </c>
      <c r="C223" s="4" t="s">
        <v>1505</v>
      </c>
      <c r="D223" s="5">
        <v>43950.0</v>
      </c>
      <c r="E223" s="4" t="s">
        <v>1547</v>
      </c>
    </row>
    <row r="224" ht="15.75" customHeight="1">
      <c r="A224" s="4" t="s">
        <v>1543</v>
      </c>
      <c r="B224" s="4" t="s">
        <v>1874</v>
      </c>
      <c r="C224" s="4" t="s">
        <v>1875</v>
      </c>
      <c r="D224" s="5">
        <v>43950.0</v>
      </c>
      <c r="E224" s="4" t="s">
        <v>1547</v>
      </c>
    </row>
    <row r="225" ht="15.75" customHeight="1">
      <c r="A225" s="4" t="s">
        <v>1543</v>
      </c>
      <c r="B225" s="4" t="s">
        <v>1876</v>
      </c>
      <c r="C225" s="4" t="s">
        <v>1877</v>
      </c>
      <c r="D225" s="5">
        <v>43950.0</v>
      </c>
      <c r="E225" s="4" t="s">
        <v>1545</v>
      </c>
    </row>
    <row r="226" ht="15.75" customHeight="1">
      <c r="A226" s="4" t="s">
        <v>1543</v>
      </c>
      <c r="B226" s="4" t="s">
        <v>1878</v>
      </c>
      <c r="C226" s="4" t="s">
        <v>1879</v>
      </c>
      <c r="D226" s="5">
        <v>43950.0</v>
      </c>
      <c r="E226" s="4" t="s">
        <v>1545</v>
      </c>
    </row>
    <row r="227" ht="15.75" customHeight="1">
      <c r="A227" s="4" t="s">
        <v>1543</v>
      </c>
      <c r="B227" s="4" t="s">
        <v>1880</v>
      </c>
      <c r="C227" s="4" t="s">
        <v>1881</v>
      </c>
      <c r="D227" s="5">
        <v>43950.0</v>
      </c>
      <c r="E227" s="4" t="s">
        <v>1545</v>
      </c>
    </row>
    <row r="228" ht="15.75" customHeight="1">
      <c r="A228" s="4" t="s">
        <v>1543</v>
      </c>
      <c r="B228" s="4" t="s">
        <v>1882</v>
      </c>
      <c r="C228" s="4" t="s">
        <v>1503</v>
      </c>
      <c r="D228" s="5">
        <v>43950.0</v>
      </c>
      <c r="E228" s="4" t="s">
        <v>1547</v>
      </c>
    </row>
    <row r="229" ht="15.75" customHeight="1">
      <c r="A229" s="4" t="s">
        <v>1543</v>
      </c>
      <c r="B229" s="4" t="s">
        <v>1883</v>
      </c>
      <c r="C229" s="4" t="s">
        <v>1884</v>
      </c>
      <c r="D229" s="5">
        <v>43950.0</v>
      </c>
      <c r="E229" s="4" t="s">
        <v>1545</v>
      </c>
    </row>
    <row r="230" ht="15.75" customHeight="1">
      <c r="A230" s="4" t="s">
        <v>1543</v>
      </c>
      <c r="B230" s="4" t="s">
        <v>1885</v>
      </c>
      <c r="C230" s="4" t="s">
        <v>1886</v>
      </c>
      <c r="D230" s="5">
        <v>43950.0</v>
      </c>
      <c r="E230" s="4" t="s">
        <v>1545</v>
      </c>
    </row>
    <row r="231" ht="15.75" customHeight="1">
      <c r="A231" s="4" t="s">
        <v>1543</v>
      </c>
      <c r="B231" s="4" t="s">
        <v>1887</v>
      </c>
      <c r="C231" s="4" t="s">
        <v>1888</v>
      </c>
      <c r="D231" s="5">
        <v>43950.0</v>
      </c>
      <c r="E231" s="4" t="s">
        <v>1545</v>
      </c>
    </row>
    <row r="232" ht="15.75" customHeight="1">
      <c r="A232" s="4" t="s">
        <v>1543</v>
      </c>
      <c r="B232" s="4" t="s">
        <v>1889</v>
      </c>
      <c r="C232" s="4" t="s">
        <v>1502</v>
      </c>
      <c r="D232" s="5">
        <v>43950.0</v>
      </c>
      <c r="E232" s="4" t="s">
        <v>1547</v>
      </c>
    </row>
    <row r="233" ht="15.75" customHeight="1">
      <c r="A233" s="4" t="s">
        <v>1543</v>
      </c>
      <c r="B233" s="4" t="s">
        <v>1890</v>
      </c>
      <c r="C233" s="12" t="s">
        <v>1523</v>
      </c>
      <c r="D233" s="13">
        <v>43950.0</v>
      </c>
      <c r="E233" s="12" t="s">
        <v>1547</v>
      </c>
    </row>
    <row r="234" ht="15.75" customHeight="1">
      <c r="A234" s="4" t="s">
        <v>1543</v>
      </c>
      <c r="B234" s="4" t="s">
        <v>1891</v>
      </c>
      <c r="C234" s="4" t="s">
        <v>1499</v>
      </c>
      <c r="D234" s="5">
        <v>43947.0</v>
      </c>
      <c r="E234" s="4" t="s">
        <v>1547</v>
      </c>
    </row>
    <row r="235" ht="15.75" customHeight="1">
      <c r="A235" s="4" t="s">
        <v>1543</v>
      </c>
      <c r="B235" s="4" t="s">
        <v>1892</v>
      </c>
      <c r="C235" s="4" t="s">
        <v>1498</v>
      </c>
      <c r="D235" s="5">
        <v>43944.0</v>
      </c>
      <c r="E235" s="4" t="s">
        <v>1547</v>
      </c>
    </row>
    <row r="236" ht="15.75" customHeight="1">
      <c r="A236" s="4" t="s">
        <v>1543</v>
      </c>
      <c r="B236" s="4" t="s">
        <v>1893</v>
      </c>
      <c r="C236" s="4" t="s">
        <v>1894</v>
      </c>
      <c r="D236" s="5">
        <v>43944.0</v>
      </c>
      <c r="E236" s="4" t="s">
        <v>1545</v>
      </c>
    </row>
    <row r="237" ht="15.75" customHeight="1">
      <c r="A237" s="4" t="s">
        <v>1543</v>
      </c>
      <c r="B237" s="4" t="s">
        <v>1895</v>
      </c>
      <c r="C237" s="4" t="s">
        <v>1497</v>
      </c>
      <c r="D237" s="5">
        <v>43944.0</v>
      </c>
      <c r="E237" s="4" t="s">
        <v>1547</v>
      </c>
    </row>
    <row r="238" ht="15.75" customHeight="1">
      <c r="A238" s="4" t="s">
        <v>1543</v>
      </c>
      <c r="B238" s="4" t="s">
        <v>1896</v>
      </c>
      <c r="C238" s="4" t="s">
        <v>1496</v>
      </c>
      <c r="D238" s="5">
        <v>43944.0</v>
      </c>
      <c r="E238" s="4" t="s">
        <v>1547</v>
      </c>
    </row>
    <row r="239" ht="15.75" customHeight="1">
      <c r="A239" s="4" t="s">
        <v>1543</v>
      </c>
      <c r="B239" s="4" t="s">
        <v>1897</v>
      </c>
      <c r="C239" s="4" t="s">
        <v>1531</v>
      </c>
      <c r="D239" s="5">
        <v>43944.0</v>
      </c>
      <c r="E239" s="4" t="s">
        <v>1545</v>
      </c>
    </row>
    <row r="240" ht="15.75" customHeight="1">
      <c r="A240" s="4" t="s">
        <v>1543</v>
      </c>
      <c r="B240" s="4" t="s">
        <v>1898</v>
      </c>
      <c r="C240" s="4" t="s">
        <v>1494</v>
      </c>
      <c r="D240" s="5">
        <v>43944.0</v>
      </c>
      <c r="E240" s="4" t="s">
        <v>1545</v>
      </c>
    </row>
    <row r="241" ht="15.75" customHeight="1">
      <c r="A241" s="4" t="s">
        <v>1543</v>
      </c>
      <c r="B241" s="4" t="s">
        <v>1899</v>
      </c>
      <c r="C241" s="4" t="s">
        <v>1492</v>
      </c>
      <c r="D241" s="5">
        <v>43944.0</v>
      </c>
      <c r="E241" s="4" t="s">
        <v>1547</v>
      </c>
    </row>
    <row r="242" ht="15.75" customHeight="1">
      <c r="A242" s="4" t="s">
        <v>1543</v>
      </c>
      <c r="B242" s="4" t="s">
        <v>1900</v>
      </c>
      <c r="C242" s="4" t="s">
        <v>1509</v>
      </c>
      <c r="D242" s="5">
        <v>43943.0</v>
      </c>
      <c r="E242" s="4" t="s">
        <v>1547</v>
      </c>
    </row>
    <row r="243" ht="15.75" customHeight="1">
      <c r="A243" s="4" t="s">
        <v>1543</v>
      </c>
      <c r="B243" s="4" t="s">
        <v>1901</v>
      </c>
      <c r="C243" s="4" t="s">
        <v>1902</v>
      </c>
      <c r="D243" s="5">
        <v>43942.0</v>
      </c>
      <c r="E243" s="4" t="s">
        <v>1547</v>
      </c>
    </row>
    <row r="244" ht="15.75" customHeight="1">
      <c r="A244" s="4" t="s">
        <v>1543</v>
      </c>
      <c r="B244" s="4" t="s">
        <v>1903</v>
      </c>
      <c r="C244" s="4" t="s">
        <v>1490</v>
      </c>
      <c r="D244" s="5">
        <v>43941.0</v>
      </c>
      <c r="E244" s="4" t="s">
        <v>1545</v>
      </c>
    </row>
    <row r="245" ht="15.75" customHeight="1">
      <c r="A245" s="4" t="s">
        <v>1543</v>
      </c>
      <c r="B245" s="4" t="s">
        <v>1904</v>
      </c>
      <c r="C245" s="4" t="s">
        <v>1905</v>
      </c>
      <c r="D245" s="5">
        <v>43941.0</v>
      </c>
      <c r="E245" s="4" t="s">
        <v>1547</v>
      </c>
    </row>
    <row r="246" ht="15.75" customHeight="1">
      <c r="A246" s="4" t="s">
        <v>1543</v>
      </c>
      <c r="B246" s="4" t="s">
        <v>1906</v>
      </c>
      <c r="C246" s="4" t="s">
        <v>1907</v>
      </c>
      <c r="D246" s="5">
        <v>43941.0</v>
      </c>
      <c r="E246" s="4" t="s">
        <v>1547</v>
      </c>
    </row>
    <row r="247" ht="15.75" customHeight="1">
      <c r="A247" s="4" t="s">
        <v>1543</v>
      </c>
      <c r="B247" s="4" t="s">
        <v>1908</v>
      </c>
      <c r="C247" s="4" t="s">
        <v>1488</v>
      </c>
      <c r="D247" s="5">
        <v>43940.0</v>
      </c>
      <c r="E247" s="4" t="s">
        <v>1547</v>
      </c>
    </row>
    <row r="248" ht="15.75" customHeight="1">
      <c r="A248" s="4" t="s">
        <v>1543</v>
      </c>
      <c r="B248" s="4" t="s">
        <v>1909</v>
      </c>
      <c r="C248" s="4" t="s">
        <v>1910</v>
      </c>
      <c r="D248" s="5">
        <v>43938.0</v>
      </c>
      <c r="E248" s="4" t="s">
        <v>1547</v>
      </c>
    </row>
    <row r="249" ht="15.75" customHeight="1">
      <c r="A249" s="4" t="s">
        <v>1543</v>
      </c>
      <c r="B249" s="4" t="s">
        <v>1911</v>
      </c>
      <c r="C249" s="4" t="s">
        <v>1487</v>
      </c>
      <c r="D249" s="5">
        <v>43937.0</v>
      </c>
      <c r="E249" s="4" t="s">
        <v>1545</v>
      </c>
    </row>
    <row r="250" ht="15.75" customHeight="1">
      <c r="A250" s="4" t="s">
        <v>1543</v>
      </c>
      <c r="B250" s="4" t="s">
        <v>1912</v>
      </c>
      <c r="C250" s="4" t="s">
        <v>1486</v>
      </c>
      <c r="D250" s="5">
        <v>43937.0</v>
      </c>
      <c r="E250" s="4" t="s">
        <v>1545</v>
      </c>
    </row>
    <row r="251" ht="15.75" customHeight="1">
      <c r="A251" s="4" t="s">
        <v>1543</v>
      </c>
      <c r="B251" s="4" t="s">
        <v>1913</v>
      </c>
      <c r="C251" s="4" t="s">
        <v>1914</v>
      </c>
      <c r="D251" s="5">
        <v>43937.0</v>
      </c>
      <c r="E251" s="4" t="s">
        <v>1547</v>
      </c>
    </row>
    <row r="252" ht="15.75" customHeight="1">
      <c r="A252" s="4" t="s">
        <v>1543</v>
      </c>
      <c r="B252" s="4" t="s">
        <v>1915</v>
      </c>
      <c r="C252" s="4" t="s">
        <v>1916</v>
      </c>
      <c r="D252" s="5">
        <v>43936.0</v>
      </c>
      <c r="E252" s="4" t="s">
        <v>1547</v>
      </c>
    </row>
    <row r="253" ht="15.75" customHeight="1">
      <c r="A253" s="4" t="s">
        <v>1543</v>
      </c>
      <c r="B253" s="4" t="s">
        <v>1917</v>
      </c>
      <c r="C253" s="4" t="s">
        <v>1422</v>
      </c>
      <c r="D253" s="5">
        <v>43936.0</v>
      </c>
      <c r="E253" s="4" t="s">
        <v>1545</v>
      </c>
    </row>
    <row r="254" ht="15.75" customHeight="1">
      <c r="A254" s="4" t="s">
        <v>1543</v>
      </c>
      <c r="B254" s="4" t="s">
        <v>1918</v>
      </c>
      <c r="C254" s="4" t="s">
        <v>1485</v>
      </c>
      <c r="D254" s="5">
        <v>43935.0</v>
      </c>
      <c r="E254" s="4" t="s">
        <v>1547</v>
      </c>
    </row>
    <row r="255" ht="15.75" customHeight="1">
      <c r="A255" s="4" t="s">
        <v>1543</v>
      </c>
      <c r="B255" s="4" t="s">
        <v>1919</v>
      </c>
      <c r="C255" s="4" t="s">
        <v>1473</v>
      </c>
      <c r="D255" s="5">
        <v>43934.0</v>
      </c>
      <c r="E255" s="4" t="s">
        <v>1545</v>
      </c>
    </row>
    <row r="256" ht="15.75" customHeight="1">
      <c r="A256" s="4" t="s">
        <v>1543</v>
      </c>
      <c r="B256" s="4" t="s">
        <v>1920</v>
      </c>
      <c r="C256" s="4" t="s">
        <v>1921</v>
      </c>
      <c r="D256" s="5">
        <v>43933.0</v>
      </c>
      <c r="E256" s="4" t="s">
        <v>1547</v>
      </c>
    </row>
    <row r="257" ht="15.75" customHeight="1">
      <c r="A257" s="4" t="s">
        <v>1543</v>
      </c>
      <c r="B257" s="4" t="s">
        <v>1922</v>
      </c>
      <c r="C257" s="4" t="s">
        <v>1481</v>
      </c>
      <c r="D257" s="5">
        <v>43932.0</v>
      </c>
      <c r="E257" s="4" t="s">
        <v>1545</v>
      </c>
    </row>
    <row r="258" ht="15.75" customHeight="1">
      <c r="A258" s="4" t="s">
        <v>1543</v>
      </c>
      <c r="B258" s="4" t="s">
        <v>1923</v>
      </c>
      <c r="C258" s="4" t="s">
        <v>1924</v>
      </c>
      <c r="D258" s="5">
        <v>43930.0</v>
      </c>
      <c r="E258" s="4" t="s">
        <v>1547</v>
      </c>
    </row>
    <row r="259" ht="15.75" customHeight="1">
      <c r="A259" s="4" t="s">
        <v>1543</v>
      </c>
      <c r="B259" s="4" t="s">
        <v>1925</v>
      </c>
      <c r="C259" s="4" t="s">
        <v>1926</v>
      </c>
      <c r="D259" s="5">
        <v>43928.0</v>
      </c>
      <c r="E259" s="4" t="s">
        <v>1545</v>
      </c>
    </row>
    <row r="260" ht="15.75" customHeight="1">
      <c r="A260" s="4" t="s">
        <v>1543</v>
      </c>
      <c r="B260" s="4" t="s">
        <v>1927</v>
      </c>
      <c r="C260" s="4" t="s">
        <v>1928</v>
      </c>
      <c r="D260" s="5">
        <v>43926.0</v>
      </c>
      <c r="E260" s="4" t="s">
        <v>1547</v>
      </c>
    </row>
    <row r="261" ht="15.75" customHeight="1">
      <c r="A261" s="4" t="s">
        <v>1543</v>
      </c>
      <c r="B261" s="4" t="s">
        <v>1929</v>
      </c>
      <c r="C261" s="4" t="s">
        <v>1479</v>
      </c>
      <c r="D261" s="5">
        <v>43924.0</v>
      </c>
      <c r="E261" s="4" t="s">
        <v>1547</v>
      </c>
    </row>
    <row r="262" ht="15.75" customHeight="1">
      <c r="A262" s="4" t="s">
        <v>1543</v>
      </c>
      <c r="B262" s="4" t="s">
        <v>1930</v>
      </c>
      <c r="C262" s="4" t="s">
        <v>1478</v>
      </c>
      <c r="D262" s="5">
        <v>43924.0</v>
      </c>
      <c r="E262" s="4" t="s">
        <v>1547</v>
      </c>
    </row>
    <row r="263" ht="15.75" customHeight="1">
      <c r="A263" s="4" t="s">
        <v>1543</v>
      </c>
      <c r="B263" s="4" t="s">
        <v>1931</v>
      </c>
      <c r="C263" s="4" t="s">
        <v>1932</v>
      </c>
      <c r="D263" s="5">
        <v>43923.0</v>
      </c>
      <c r="E263" s="4" t="s">
        <v>1547</v>
      </c>
    </row>
    <row r="264" ht="15.75" customHeight="1">
      <c r="A264" s="4" t="s">
        <v>1543</v>
      </c>
      <c r="B264" s="4" t="s">
        <v>1933</v>
      </c>
      <c r="C264" s="4" t="s">
        <v>1477</v>
      </c>
      <c r="D264" s="5">
        <v>43922.0</v>
      </c>
      <c r="E264" s="4" t="s">
        <v>1545</v>
      </c>
    </row>
    <row r="265" ht="15.75" customHeight="1">
      <c r="A265" s="4" t="s">
        <v>1543</v>
      </c>
      <c r="B265" s="4" t="s">
        <v>1934</v>
      </c>
      <c r="C265" s="4" t="s">
        <v>37</v>
      </c>
      <c r="D265" s="5">
        <v>43922.0</v>
      </c>
      <c r="E265" s="4" t="s">
        <v>1545</v>
      </c>
    </row>
    <row r="266" ht="15.75" customHeight="1">
      <c r="A266" s="4" t="s">
        <v>1543</v>
      </c>
      <c r="B266" s="4" t="s">
        <v>1935</v>
      </c>
      <c r="C266" s="4" t="s">
        <v>1936</v>
      </c>
      <c r="D266" s="5">
        <v>43921.0</v>
      </c>
      <c r="E266" s="4" t="s">
        <v>1545</v>
      </c>
    </row>
    <row r="267" ht="15.75" customHeight="1">
      <c r="A267" s="4" t="s">
        <v>1543</v>
      </c>
      <c r="B267" s="4" t="s">
        <v>1937</v>
      </c>
      <c r="C267" s="4" t="s">
        <v>1756</v>
      </c>
      <c r="D267" s="5">
        <v>43916.0</v>
      </c>
      <c r="E267" s="4" t="s">
        <v>1545</v>
      </c>
    </row>
    <row r="268" ht="15.75" customHeight="1">
      <c r="A268" s="4" t="s">
        <v>1543</v>
      </c>
      <c r="B268" s="4" t="s">
        <v>1938</v>
      </c>
      <c r="C268" s="4" t="s">
        <v>1939</v>
      </c>
      <c r="D268" s="5">
        <v>43915.0</v>
      </c>
      <c r="E268" s="4" t="s">
        <v>1547</v>
      </c>
    </row>
    <row r="269" ht="15.75" customHeight="1">
      <c r="A269" s="4" t="s">
        <v>1543</v>
      </c>
      <c r="B269" s="4" t="s">
        <v>1940</v>
      </c>
      <c r="C269" s="4" t="s">
        <v>1517</v>
      </c>
      <c r="D269" s="5">
        <v>43914.0</v>
      </c>
      <c r="E269" s="4" t="s">
        <v>1547</v>
      </c>
    </row>
    <row r="270" ht="15.75" customHeight="1">
      <c r="A270" s="4" t="s">
        <v>1543</v>
      </c>
      <c r="B270" s="4" t="s">
        <v>1941</v>
      </c>
      <c r="C270" s="4" t="s">
        <v>1942</v>
      </c>
      <c r="D270" s="5">
        <v>43914.0</v>
      </c>
      <c r="E270" s="4" t="s">
        <v>1547</v>
      </c>
    </row>
    <row r="271" ht="15.75" customHeight="1">
      <c r="A271" s="4" t="s">
        <v>1543</v>
      </c>
      <c r="B271" s="4" t="s">
        <v>1943</v>
      </c>
      <c r="C271" s="4" t="s">
        <v>1474</v>
      </c>
      <c r="D271" s="5">
        <v>43914.0</v>
      </c>
      <c r="E271" s="4" t="s">
        <v>1547</v>
      </c>
    </row>
    <row r="272" ht="15.75" customHeight="1">
      <c r="A272" s="4" t="s">
        <v>1543</v>
      </c>
      <c r="B272" s="4" t="s">
        <v>1944</v>
      </c>
      <c r="C272" s="4" t="s">
        <v>1945</v>
      </c>
      <c r="D272" s="5">
        <v>43914.0</v>
      </c>
      <c r="E272" s="4" t="s">
        <v>1547</v>
      </c>
    </row>
    <row r="273" ht="15.75" customHeight="1">
      <c r="A273" s="4" t="s">
        <v>1543</v>
      </c>
      <c r="B273" s="4" t="s">
        <v>1946</v>
      </c>
      <c r="C273" s="4" t="s">
        <v>1471</v>
      </c>
      <c r="D273" s="5">
        <v>43914.0</v>
      </c>
      <c r="E273" s="4" t="s">
        <v>1547</v>
      </c>
    </row>
    <row r="274" ht="15.75" customHeight="1">
      <c r="A274" s="4" t="s">
        <v>1543</v>
      </c>
      <c r="B274" s="4" t="s">
        <v>1947</v>
      </c>
      <c r="C274" s="4" t="s">
        <v>1504</v>
      </c>
      <c r="D274" s="5">
        <v>43913.0</v>
      </c>
      <c r="E274" s="4" t="s">
        <v>1545</v>
      </c>
    </row>
    <row r="275" ht="15.75" customHeight="1">
      <c r="A275" s="4" t="s">
        <v>1543</v>
      </c>
      <c r="B275" s="4" t="s">
        <v>1948</v>
      </c>
      <c r="C275" s="4" t="s">
        <v>1949</v>
      </c>
      <c r="D275" s="5">
        <v>43912.0</v>
      </c>
      <c r="E275" s="4" t="s">
        <v>1545</v>
      </c>
    </row>
    <row r="276" ht="15.75" customHeight="1">
      <c r="A276" s="4" t="s">
        <v>1543</v>
      </c>
      <c r="B276" s="4" t="s">
        <v>1950</v>
      </c>
      <c r="C276" s="4" t="s">
        <v>30</v>
      </c>
      <c r="D276" s="5">
        <v>43901.0</v>
      </c>
      <c r="E276" s="4" t="s">
        <v>1547</v>
      </c>
    </row>
    <row r="277" ht="15.75" customHeight="1">
      <c r="A277" s="4" t="s">
        <v>1543</v>
      </c>
      <c r="B277" s="4" t="s">
        <v>1951</v>
      </c>
      <c r="C277" s="4" t="s">
        <v>1952</v>
      </c>
      <c r="D277" s="5">
        <v>43901.0</v>
      </c>
      <c r="E277" s="4" t="s">
        <v>1547</v>
      </c>
    </row>
    <row r="278" ht="15.75" customHeight="1">
      <c r="A278" s="4" t="s">
        <v>1543</v>
      </c>
      <c r="B278" s="4" t="s">
        <v>1953</v>
      </c>
      <c r="C278" s="4" t="s">
        <v>1467</v>
      </c>
      <c r="D278" s="5">
        <v>43900.0</v>
      </c>
      <c r="E278" s="4" t="s">
        <v>1547</v>
      </c>
    </row>
    <row r="279" ht="15.75" customHeight="1">
      <c r="A279" s="4" t="s">
        <v>1543</v>
      </c>
      <c r="B279" s="4" t="s">
        <v>1954</v>
      </c>
      <c r="C279" s="4" t="s">
        <v>1955</v>
      </c>
      <c r="D279" s="5">
        <v>43895.0</v>
      </c>
      <c r="E279" s="4" t="s">
        <v>1547</v>
      </c>
    </row>
    <row r="280" ht="15.75" customHeight="1">
      <c r="A280" s="4" t="s">
        <v>1543</v>
      </c>
      <c r="B280" s="4" t="s">
        <v>1956</v>
      </c>
      <c r="C280" s="4" t="s">
        <v>1957</v>
      </c>
      <c r="D280" s="5">
        <v>43895.0</v>
      </c>
      <c r="E280" s="4" t="s">
        <v>1547</v>
      </c>
    </row>
    <row r="281" ht="15.75" customHeight="1">
      <c r="A281" s="4" t="s">
        <v>1543</v>
      </c>
      <c r="B281" s="4" t="s">
        <v>1958</v>
      </c>
      <c r="C281" s="4" t="s">
        <v>1959</v>
      </c>
      <c r="D281" s="5">
        <v>43895.0</v>
      </c>
      <c r="E281" s="4" t="s">
        <v>1547</v>
      </c>
    </row>
    <row r="282" ht="15.75" customHeight="1">
      <c r="A282" s="4" t="s">
        <v>1543</v>
      </c>
      <c r="B282" s="4" t="s">
        <v>1960</v>
      </c>
      <c r="C282" s="4" t="s">
        <v>1511</v>
      </c>
      <c r="D282" s="5">
        <v>43895.0</v>
      </c>
      <c r="E282" s="4" t="s">
        <v>1545</v>
      </c>
    </row>
    <row r="283" ht="15.75" customHeight="1">
      <c r="A283" s="4" t="s">
        <v>1543</v>
      </c>
      <c r="B283" s="4" t="s">
        <v>1961</v>
      </c>
      <c r="C283" s="4" t="s">
        <v>1962</v>
      </c>
      <c r="D283" s="5">
        <v>43895.0</v>
      </c>
      <c r="E283" s="4" t="s">
        <v>1545</v>
      </c>
    </row>
    <row r="284" ht="15.75" customHeight="1">
      <c r="A284" s="4" t="s">
        <v>1543</v>
      </c>
      <c r="B284" s="4" t="s">
        <v>1963</v>
      </c>
      <c r="C284" s="4" t="s">
        <v>1964</v>
      </c>
      <c r="D284" s="5">
        <v>43893.0</v>
      </c>
      <c r="E284" s="4" t="s">
        <v>1545</v>
      </c>
    </row>
    <row r="285" ht="15.75" customHeight="1">
      <c r="A285" s="4" t="s">
        <v>1543</v>
      </c>
      <c r="B285" s="4" t="s">
        <v>1965</v>
      </c>
      <c r="C285" s="4" t="s">
        <v>14</v>
      </c>
      <c r="D285" s="5">
        <v>43893.0</v>
      </c>
      <c r="E285" s="4" t="s">
        <v>1547</v>
      </c>
    </row>
    <row r="286" ht="15.75" customHeight="1">
      <c r="A286" s="4" t="s">
        <v>1543</v>
      </c>
      <c r="B286" s="4" t="s">
        <v>1966</v>
      </c>
      <c r="C286" s="4" t="s">
        <v>1463</v>
      </c>
      <c r="D286" s="5">
        <v>43893.0</v>
      </c>
      <c r="E286" s="4" t="s">
        <v>1547</v>
      </c>
    </row>
    <row r="287" ht="15.75" customHeight="1">
      <c r="A287" s="4" t="s">
        <v>1543</v>
      </c>
      <c r="B287" s="4" t="s">
        <v>1967</v>
      </c>
      <c r="C287" s="4" t="s">
        <v>1462</v>
      </c>
      <c r="D287" s="5">
        <v>43893.0</v>
      </c>
      <c r="E287" s="4" t="s">
        <v>1547</v>
      </c>
    </row>
    <row r="288" ht="15.75" customHeight="1">
      <c r="A288" s="4" t="s">
        <v>1543</v>
      </c>
      <c r="B288" s="4" t="s">
        <v>1968</v>
      </c>
      <c r="C288" s="4" t="s">
        <v>1532</v>
      </c>
      <c r="D288" s="5">
        <v>43892.0</v>
      </c>
      <c r="E288" s="4" t="s">
        <v>1545</v>
      </c>
    </row>
    <row r="289" ht="15.75" customHeight="1">
      <c r="A289" s="4" t="s">
        <v>1543</v>
      </c>
      <c r="B289" s="4" t="s">
        <v>1969</v>
      </c>
      <c r="C289" s="4" t="s">
        <v>1970</v>
      </c>
      <c r="D289" s="5">
        <v>43889.0</v>
      </c>
      <c r="E289" s="4" t="s">
        <v>1547</v>
      </c>
    </row>
    <row r="290" ht="15.75" customHeight="1">
      <c r="A290" s="4" t="s">
        <v>1543</v>
      </c>
      <c r="B290" s="4" t="s">
        <v>1971</v>
      </c>
      <c r="C290" s="4" t="s">
        <v>1972</v>
      </c>
      <c r="D290" s="5">
        <v>43889.0</v>
      </c>
      <c r="E290" s="4" t="s">
        <v>1547</v>
      </c>
    </row>
    <row r="291" ht="15.75" customHeight="1">
      <c r="A291" s="4" t="s">
        <v>1543</v>
      </c>
      <c r="B291" s="4" t="s">
        <v>1973</v>
      </c>
      <c r="C291" s="4" t="s">
        <v>1458</v>
      </c>
      <c r="D291" s="5">
        <v>43888.0</v>
      </c>
      <c r="E291" s="4" t="s">
        <v>1547</v>
      </c>
    </row>
    <row r="292" ht="15.75" customHeight="1">
      <c r="A292" s="4" t="s">
        <v>1543</v>
      </c>
      <c r="B292" s="4" t="s">
        <v>1974</v>
      </c>
      <c r="C292" s="4" t="s">
        <v>1975</v>
      </c>
      <c r="D292" s="5">
        <v>43886.0</v>
      </c>
      <c r="E292" s="4" t="s">
        <v>1547</v>
      </c>
    </row>
    <row r="293" ht="15.75" customHeight="1">
      <c r="A293" s="4" t="s">
        <v>1543</v>
      </c>
      <c r="B293" s="4" t="s">
        <v>1976</v>
      </c>
      <c r="C293" s="4" t="s">
        <v>1977</v>
      </c>
      <c r="D293" s="5">
        <v>43886.0</v>
      </c>
      <c r="E293" s="4" t="s">
        <v>1547</v>
      </c>
    </row>
    <row r="294" ht="15.75" customHeight="1">
      <c r="A294" s="4" t="s">
        <v>1543</v>
      </c>
      <c r="B294" s="4" t="s">
        <v>1978</v>
      </c>
      <c r="C294" s="4" t="s">
        <v>1979</v>
      </c>
      <c r="D294" s="5">
        <v>43885.0</v>
      </c>
      <c r="E294" s="4" t="s">
        <v>1545</v>
      </c>
    </row>
    <row r="295" ht="15.75" customHeight="1">
      <c r="A295" s="4" t="s">
        <v>1543</v>
      </c>
      <c r="B295" s="4" t="s">
        <v>1980</v>
      </c>
      <c r="C295" s="4" t="s">
        <v>1521</v>
      </c>
      <c r="D295" s="5">
        <v>43878.0</v>
      </c>
      <c r="E295" s="4" t="s">
        <v>1547</v>
      </c>
    </row>
    <row r="296" ht="15.75" customHeight="1">
      <c r="A296" s="4" t="s">
        <v>1543</v>
      </c>
      <c r="B296" s="4" t="s">
        <v>1981</v>
      </c>
      <c r="C296" s="4" t="s">
        <v>1454</v>
      </c>
      <c r="D296" s="5">
        <v>43877.0</v>
      </c>
      <c r="E296" s="4" t="s">
        <v>1547</v>
      </c>
    </row>
    <row r="297" ht="15.75" customHeight="1">
      <c r="A297" s="4" t="s">
        <v>1543</v>
      </c>
      <c r="B297" s="4" t="s">
        <v>1982</v>
      </c>
      <c r="C297" s="4" t="s">
        <v>1451</v>
      </c>
      <c r="D297" s="5">
        <v>43874.0</v>
      </c>
      <c r="E297" s="4" t="s">
        <v>1545</v>
      </c>
    </row>
    <row r="298" ht="15.75" customHeight="1">
      <c r="A298" s="4" t="s">
        <v>1543</v>
      </c>
      <c r="B298" s="4" t="s">
        <v>1983</v>
      </c>
      <c r="C298" s="4" t="s">
        <v>1450</v>
      </c>
      <c r="D298" s="5">
        <v>43873.0</v>
      </c>
      <c r="E298" s="4" t="s">
        <v>1547</v>
      </c>
    </row>
    <row r="299" ht="15.75" customHeight="1">
      <c r="A299" s="4" t="s">
        <v>1543</v>
      </c>
      <c r="B299" s="4" t="s">
        <v>1984</v>
      </c>
      <c r="C299" s="4" t="s">
        <v>1985</v>
      </c>
      <c r="D299" s="5">
        <v>43872.0</v>
      </c>
      <c r="E299" s="4" t="s">
        <v>1547</v>
      </c>
    </row>
    <row r="300" ht="15.75" customHeight="1">
      <c r="A300" s="4" t="s">
        <v>1543</v>
      </c>
      <c r="B300" s="4" t="s">
        <v>1986</v>
      </c>
      <c r="C300" s="4" t="s">
        <v>1534</v>
      </c>
      <c r="D300" s="5">
        <v>43871.0</v>
      </c>
      <c r="E300" s="4" t="s">
        <v>1547</v>
      </c>
    </row>
    <row r="301" ht="15.75" customHeight="1">
      <c r="A301" s="4" t="s">
        <v>1543</v>
      </c>
      <c r="B301" s="4" t="s">
        <v>1987</v>
      </c>
      <c r="C301" s="4" t="s">
        <v>1448</v>
      </c>
      <c r="D301" s="5">
        <v>43867.0</v>
      </c>
      <c r="E301" s="4" t="s">
        <v>1547</v>
      </c>
    </row>
    <row r="302" ht="15.75" customHeight="1">
      <c r="A302" s="4" t="s">
        <v>1543</v>
      </c>
      <c r="B302" s="4" t="s">
        <v>1988</v>
      </c>
      <c r="C302" s="4" t="s">
        <v>1989</v>
      </c>
      <c r="D302" s="5">
        <v>43865.0</v>
      </c>
      <c r="E302" s="4" t="s">
        <v>1545</v>
      </c>
    </row>
    <row r="303" ht="15.75" customHeight="1">
      <c r="A303" s="4" t="s">
        <v>1543</v>
      </c>
      <c r="B303" s="4" t="s">
        <v>1990</v>
      </c>
      <c r="C303" s="4" t="s">
        <v>1991</v>
      </c>
      <c r="D303" s="5">
        <v>43861.0</v>
      </c>
      <c r="E303" s="4" t="s">
        <v>1545</v>
      </c>
    </row>
    <row r="304" ht="15.75" customHeight="1">
      <c r="A304" s="4" t="s">
        <v>1543</v>
      </c>
      <c r="B304" s="4" t="s">
        <v>1992</v>
      </c>
      <c r="C304" s="4" t="s">
        <v>1538</v>
      </c>
      <c r="D304" s="5">
        <v>43859.0</v>
      </c>
      <c r="E304" s="4" t="s">
        <v>1547</v>
      </c>
    </row>
    <row r="305" ht="15.75" customHeight="1">
      <c r="A305" s="4" t="s">
        <v>1543</v>
      </c>
      <c r="B305" s="4" t="s">
        <v>1993</v>
      </c>
      <c r="C305" s="4" t="s">
        <v>1444</v>
      </c>
      <c r="D305" s="5">
        <v>43857.0</v>
      </c>
      <c r="E305" s="4" t="s">
        <v>1545</v>
      </c>
    </row>
    <row r="306" ht="15.75" customHeight="1">
      <c r="A306" s="4" t="s">
        <v>1543</v>
      </c>
      <c r="B306" s="4" t="s">
        <v>1994</v>
      </c>
      <c r="C306" s="4" t="s">
        <v>1443</v>
      </c>
      <c r="D306" s="5">
        <v>43856.0</v>
      </c>
      <c r="E306" s="4" t="s">
        <v>1545</v>
      </c>
    </row>
    <row r="307" ht="15.75" customHeight="1">
      <c r="A307" s="4" t="s">
        <v>1543</v>
      </c>
      <c r="B307" s="4" t="s">
        <v>1995</v>
      </c>
      <c r="C307" s="4" t="s">
        <v>1446</v>
      </c>
      <c r="D307" s="5">
        <v>43851.0</v>
      </c>
      <c r="E307" s="4" t="s">
        <v>1545</v>
      </c>
    </row>
    <row r="308" ht="15.75" customHeight="1">
      <c r="A308" s="4" t="s">
        <v>1543</v>
      </c>
      <c r="B308" s="4" t="s">
        <v>1996</v>
      </c>
      <c r="C308" s="4" t="s">
        <v>1997</v>
      </c>
      <c r="D308" s="5">
        <v>43850.0</v>
      </c>
      <c r="E308" s="4" t="s">
        <v>1547</v>
      </c>
    </row>
    <row r="309" ht="15.75" customHeight="1">
      <c r="A309" s="4" t="s">
        <v>1543</v>
      </c>
      <c r="B309" s="4" t="s">
        <v>1998</v>
      </c>
      <c r="C309" s="4" t="s">
        <v>1999</v>
      </c>
      <c r="D309" s="5">
        <v>43845.0</v>
      </c>
      <c r="E309" s="4" t="s">
        <v>1545</v>
      </c>
    </row>
    <row r="310" ht="15.75" customHeight="1">
      <c r="A310" s="4" t="s">
        <v>1543</v>
      </c>
      <c r="B310" s="4" t="s">
        <v>2000</v>
      </c>
      <c r="C310" s="4" t="s">
        <v>1441</v>
      </c>
      <c r="D310" s="5">
        <v>43844.0</v>
      </c>
      <c r="E310" s="4" t="s">
        <v>1547</v>
      </c>
    </row>
    <row r="311" ht="15.75" customHeight="1">
      <c r="A311" s="4" t="s">
        <v>1543</v>
      </c>
      <c r="B311" s="4" t="s">
        <v>2001</v>
      </c>
      <c r="C311" s="4" t="s">
        <v>1442</v>
      </c>
      <c r="D311" s="5">
        <v>43843.0</v>
      </c>
      <c r="E311" s="4" t="s">
        <v>1545</v>
      </c>
    </row>
    <row r="312" ht="15.75" customHeight="1">
      <c r="A312" s="4" t="s">
        <v>1543</v>
      </c>
      <c r="B312" s="4" t="s">
        <v>2002</v>
      </c>
      <c r="C312" s="4" t="s">
        <v>1407</v>
      </c>
      <c r="D312" s="5">
        <v>43841.0</v>
      </c>
      <c r="E312" s="4" t="s">
        <v>1547</v>
      </c>
    </row>
    <row r="313" ht="15.75" customHeight="1">
      <c r="A313" s="4" t="s">
        <v>1543</v>
      </c>
      <c r="B313" s="4" t="s">
        <v>2003</v>
      </c>
      <c r="C313" s="4" t="s">
        <v>160</v>
      </c>
      <c r="D313" s="5">
        <v>43840.0</v>
      </c>
      <c r="E313" s="4" t="s">
        <v>1545</v>
      </c>
    </row>
    <row r="314" ht="15.75" customHeight="1">
      <c r="A314" s="4" t="s">
        <v>1543</v>
      </c>
      <c r="B314" s="4" t="s">
        <v>2004</v>
      </c>
      <c r="C314" s="4" t="s">
        <v>2005</v>
      </c>
      <c r="D314" s="5">
        <v>43840.0</v>
      </c>
      <c r="E314" s="4" t="s">
        <v>1547</v>
      </c>
    </row>
    <row r="315" ht="15.75" customHeight="1">
      <c r="A315" s="14"/>
      <c r="B315" s="14"/>
      <c r="C315" s="14"/>
      <c r="D315" s="15"/>
    </row>
    <row r="316" ht="15.75" customHeight="1">
      <c r="A316" s="14"/>
      <c r="B316" s="14"/>
      <c r="C316" s="14"/>
      <c r="D316" s="15"/>
    </row>
    <row r="317" ht="15.75" customHeight="1">
      <c r="A317" s="14"/>
      <c r="B317" s="14"/>
      <c r="C317" s="14"/>
      <c r="D317" s="15"/>
    </row>
    <row r="318" ht="15.75" customHeight="1">
      <c r="A318" s="14"/>
      <c r="B318" s="14"/>
      <c r="C318" s="14"/>
      <c r="D318" s="15"/>
    </row>
    <row r="319" ht="15.75" customHeight="1">
      <c r="A319" s="14"/>
      <c r="B319" s="14"/>
      <c r="C319" s="14"/>
      <c r="D319" s="15"/>
    </row>
    <row r="320" ht="15.75" customHeight="1">
      <c r="A320" s="14"/>
      <c r="B320" s="14"/>
      <c r="C320" s="14"/>
      <c r="D320" s="15"/>
    </row>
    <row r="321" ht="15.75" customHeight="1">
      <c r="A321" s="14"/>
      <c r="B321" s="14"/>
      <c r="C321" s="14"/>
      <c r="D321" s="15"/>
    </row>
    <row r="322" ht="15.75" customHeight="1">
      <c r="A322" s="14"/>
      <c r="B322" s="14"/>
      <c r="C322" s="14"/>
      <c r="D322" s="15"/>
    </row>
    <row r="323" ht="15.75" customHeight="1">
      <c r="A323" s="14"/>
      <c r="B323" s="14"/>
      <c r="C323" s="14"/>
      <c r="D323" s="15"/>
    </row>
    <row r="324" ht="15.75" customHeight="1">
      <c r="A324" s="14"/>
      <c r="B324" s="14"/>
      <c r="C324" s="14"/>
      <c r="D324" s="15"/>
    </row>
    <row r="325" ht="15.75" customHeight="1">
      <c r="A325" s="14"/>
      <c r="B325" s="14"/>
      <c r="C325" s="14"/>
      <c r="D325" s="15"/>
    </row>
    <row r="326" ht="15.75" customHeight="1">
      <c r="A326" s="14"/>
      <c r="B326" s="14"/>
      <c r="C326" s="14"/>
      <c r="D326" s="15"/>
    </row>
    <row r="327" ht="15.75" customHeight="1">
      <c r="A327" s="14"/>
      <c r="B327" s="14"/>
      <c r="C327" s="14"/>
      <c r="D327" s="15"/>
    </row>
    <row r="328" ht="15.75" customHeight="1">
      <c r="A328" s="14"/>
      <c r="B328" s="14"/>
      <c r="C328" s="14"/>
      <c r="D328" s="15"/>
    </row>
    <row r="329" ht="15.75" customHeight="1">
      <c r="A329" s="14"/>
      <c r="B329" s="14"/>
      <c r="C329" s="14"/>
      <c r="D329" s="15"/>
    </row>
    <row r="330" ht="15.75" customHeight="1">
      <c r="A330" s="14"/>
      <c r="B330" s="14"/>
      <c r="C330" s="14"/>
      <c r="D330" s="15"/>
    </row>
    <row r="331" ht="15.75" customHeight="1">
      <c r="A331" s="14"/>
      <c r="B331" s="14"/>
      <c r="C331" s="14"/>
      <c r="D331" s="15"/>
    </row>
    <row r="332" ht="15.75" customHeight="1">
      <c r="A332" s="14"/>
      <c r="B332" s="14"/>
      <c r="C332" s="14"/>
      <c r="D332" s="15"/>
    </row>
    <row r="333" ht="15.75" customHeight="1">
      <c r="A333" s="14"/>
      <c r="B333" s="14"/>
      <c r="C333" s="14"/>
      <c r="D333" s="15"/>
    </row>
    <row r="334" ht="15.75" customHeight="1">
      <c r="A334" s="14"/>
      <c r="B334" s="14"/>
      <c r="C334" s="14"/>
      <c r="D334" s="15"/>
    </row>
    <row r="335" ht="15.75" customHeight="1">
      <c r="A335" s="14"/>
      <c r="B335" s="14"/>
      <c r="C335" s="14"/>
      <c r="D335" s="15"/>
    </row>
    <row r="336" ht="15.75" customHeight="1">
      <c r="A336" s="14"/>
      <c r="B336" s="14"/>
      <c r="C336" s="14"/>
      <c r="D336" s="15"/>
    </row>
    <row r="337" ht="15.75" customHeight="1">
      <c r="A337" s="14"/>
      <c r="B337" s="14"/>
      <c r="C337" s="14"/>
      <c r="D337" s="15"/>
    </row>
    <row r="338" ht="15.75" customHeight="1">
      <c r="A338" s="14"/>
      <c r="B338" s="14"/>
      <c r="C338" s="14"/>
      <c r="D338" s="15"/>
    </row>
    <row r="339" ht="15.75" customHeight="1">
      <c r="A339" s="14"/>
      <c r="B339" s="14"/>
      <c r="C339" s="14"/>
      <c r="D339" s="15"/>
    </row>
    <row r="340" ht="15.75" customHeight="1">
      <c r="A340" s="14"/>
      <c r="B340" s="14"/>
      <c r="C340" s="14"/>
      <c r="D340" s="15"/>
    </row>
    <row r="341" ht="15.75" customHeight="1">
      <c r="A341" s="14"/>
      <c r="B341" s="14"/>
      <c r="C341" s="14"/>
      <c r="D341" s="15"/>
    </row>
    <row r="342" ht="15.75" customHeight="1">
      <c r="A342" s="14"/>
      <c r="B342" s="14"/>
      <c r="C342" s="14"/>
      <c r="D342" s="15"/>
    </row>
    <row r="343" ht="15.75" customHeight="1">
      <c r="A343" s="14"/>
      <c r="B343" s="14"/>
      <c r="C343" s="14"/>
      <c r="D343" s="15"/>
    </row>
    <row r="344" ht="15.75" customHeight="1">
      <c r="A344" s="14"/>
      <c r="B344" s="14"/>
      <c r="C344" s="14"/>
      <c r="D344" s="15"/>
    </row>
    <row r="345" ht="15.75" customHeight="1">
      <c r="A345" s="14"/>
      <c r="B345" s="14"/>
      <c r="C345" s="14"/>
      <c r="D345" s="15"/>
    </row>
    <row r="346" ht="15.75" customHeight="1">
      <c r="A346" s="14"/>
      <c r="B346" s="14"/>
      <c r="C346" s="14"/>
      <c r="D346" s="15"/>
    </row>
    <row r="347" ht="15.75" customHeight="1">
      <c r="A347" s="14"/>
      <c r="B347" s="14"/>
      <c r="C347" s="14"/>
      <c r="D347" s="15"/>
    </row>
    <row r="348" ht="15.75" customHeight="1">
      <c r="A348" s="14"/>
      <c r="B348" s="14"/>
      <c r="C348" s="14"/>
      <c r="D348" s="15"/>
    </row>
    <row r="349" ht="15.75" customHeight="1">
      <c r="A349" s="14"/>
      <c r="B349" s="14"/>
      <c r="C349" s="14"/>
      <c r="D349" s="15"/>
    </row>
    <row r="350" ht="15.75" customHeight="1">
      <c r="A350" s="14"/>
      <c r="B350" s="14"/>
      <c r="C350" s="14"/>
      <c r="D350" s="15"/>
    </row>
    <row r="351" ht="15.75" customHeight="1">
      <c r="A351" s="14"/>
      <c r="B351" s="14"/>
      <c r="C351" s="14"/>
      <c r="D351" s="15"/>
    </row>
    <row r="352" ht="15.75" customHeight="1">
      <c r="A352" s="14"/>
      <c r="B352" s="14"/>
      <c r="C352" s="14"/>
      <c r="D352" s="15"/>
    </row>
    <row r="353" ht="15.75" customHeight="1">
      <c r="A353" s="14"/>
      <c r="B353" s="14"/>
      <c r="C353" s="14"/>
      <c r="D353" s="15"/>
    </row>
    <row r="354" ht="15.75" customHeight="1">
      <c r="A354" s="14"/>
      <c r="B354" s="14"/>
      <c r="C354" s="14"/>
      <c r="D354" s="15"/>
    </row>
    <row r="355" ht="15.75" customHeight="1">
      <c r="A355" s="14"/>
      <c r="B355" s="14"/>
      <c r="C355" s="14"/>
      <c r="D355" s="15"/>
    </row>
    <row r="356" ht="15.75" customHeight="1">
      <c r="A356" s="14"/>
      <c r="B356" s="14"/>
      <c r="C356" s="14"/>
      <c r="D356" s="15"/>
    </row>
    <row r="357" ht="15.75" customHeight="1">
      <c r="A357" s="14"/>
      <c r="B357" s="14"/>
      <c r="C357" s="14"/>
      <c r="D357" s="15"/>
    </row>
    <row r="358" ht="15.75" customHeight="1">
      <c r="A358" s="14"/>
      <c r="B358" s="14"/>
      <c r="C358" s="14"/>
      <c r="D358" s="15"/>
    </row>
    <row r="359" ht="15.75" customHeight="1">
      <c r="A359" s="14"/>
      <c r="B359" s="14"/>
      <c r="C359" s="14"/>
      <c r="D359" s="15"/>
    </row>
    <row r="360" ht="15.75" customHeight="1">
      <c r="A360" s="14"/>
      <c r="B360" s="14"/>
      <c r="C360" s="14"/>
      <c r="D360" s="15"/>
    </row>
    <row r="361" ht="15.75" customHeight="1">
      <c r="A361" s="14"/>
      <c r="B361" s="14"/>
      <c r="C361" s="14"/>
      <c r="D361" s="15"/>
    </row>
    <row r="362" ht="15.75" customHeight="1">
      <c r="A362" s="14"/>
      <c r="B362" s="14"/>
      <c r="C362" s="14"/>
      <c r="D362" s="15"/>
    </row>
    <row r="363" ht="15.75" customHeight="1">
      <c r="A363" s="14"/>
      <c r="B363" s="14"/>
      <c r="C363" s="14"/>
      <c r="D363" s="15"/>
    </row>
    <row r="364" ht="15.75" customHeight="1">
      <c r="A364" s="14"/>
      <c r="B364" s="14"/>
      <c r="C364" s="14"/>
      <c r="D364" s="15"/>
    </row>
    <row r="365" ht="15.75" customHeight="1">
      <c r="A365" s="14"/>
      <c r="B365" s="14"/>
      <c r="C365" s="14"/>
      <c r="D365" s="15"/>
    </row>
    <row r="366" ht="15.75" customHeight="1">
      <c r="A366" s="14"/>
      <c r="B366" s="14"/>
      <c r="C366" s="14"/>
      <c r="D366" s="15"/>
    </row>
    <row r="367" ht="15.75" customHeight="1">
      <c r="A367" s="14"/>
      <c r="B367" s="14"/>
      <c r="C367" s="14"/>
      <c r="D367" s="15"/>
    </row>
    <row r="368" ht="15.75" customHeight="1">
      <c r="A368" s="14"/>
      <c r="B368" s="14"/>
      <c r="C368" s="14"/>
      <c r="D368" s="15"/>
    </row>
    <row r="369" ht="15.75" customHeight="1">
      <c r="A369" s="14"/>
      <c r="B369" s="14"/>
      <c r="C369" s="14"/>
      <c r="D369" s="15"/>
    </row>
    <row r="370" ht="15.75" customHeight="1">
      <c r="A370" s="14"/>
      <c r="B370" s="14"/>
      <c r="C370" s="14"/>
      <c r="D370" s="15"/>
    </row>
    <row r="371" ht="15.75" customHeight="1">
      <c r="A371" s="14"/>
      <c r="B371" s="14"/>
      <c r="C371" s="14"/>
      <c r="D371" s="15"/>
    </row>
    <row r="372" ht="15.75" customHeight="1">
      <c r="A372" s="14"/>
      <c r="B372" s="14"/>
      <c r="C372" s="14"/>
      <c r="D372" s="15"/>
    </row>
    <row r="373" ht="15.75" customHeight="1">
      <c r="A373" s="14"/>
      <c r="B373" s="14"/>
      <c r="C373" s="14"/>
      <c r="D373" s="15"/>
    </row>
    <row r="374" ht="15.75" customHeight="1">
      <c r="A374" s="14"/>
      <c r="B374" s="14"/>
      <c r="C374" s="14"/>
      <c r="D374" s="15"/>
    </row>
    <row r="375" ht="15.75" customHeight="1">
      <c r="A375" s="14"/>
      <c r="B375" s="14"/>
      <c r="C375" s="14"/>
      <c r="D375" s="15"/>
    </row>
    <row r="376" ht="15.75" customHeight="1">
      <c r="A376" s="14"/>
      <c r="B376" s="14"/>
      <c r="C376" s="14"/>
      <c r="D376" s="15"/>
    </row>
    <row r="377" ht="15.75" customHeight="1">
      <c r="A377" s="14"/>
      <c r="B377" s="14"/>
      <c r="C377" s="14"/>
      <c r="D377" s="15"/>
    </row>
    <row r="378" ht="15.75" customHeight="1">
      <c r="A378" s="14"/>
      <c r="B378" s="14"/>
      <c r="C378" s="14"/>
      <c r="D378" s="15"/>
    </row>
    <row r="379" ht="15.75" customHeight="1">
      <c r="A379" s="14"/>
      <c r="B379" s="14"/>
      <c r="C379" s="14"/>
      <c r="D379" s="15"/>
    </row>
    <row r="380" ht="15.75" customHeight="1">
      <c r="A380" s="14"/>
      <c r="B380" s="14"/>
      <c r="C380" s="14"/>
      <c r="D380" s="15"/>
    </row>
    <row r="381" ht="15.75" customHeight="1">
      <c r="A381" s="14"/>
      <c r="B381" s="14"/>
      <c r="C381" s="14"/>
      <c r="D381" s="15"/>
    </row>
    <row r="382" ht="15.75" customHeight="1">
      <c r="A382" s="14"/>
      <c r="B382" s="14"/>
      <c r="C382" s="14"/>
      <c r="D382" s="15"/>
    </row>
    <row r="383" ht="15.75" customHeight="1">
      <c r="A383" s="14"/>
      <c r="B383" s="14"/>
      <c r="C383" s="14"/>
      <c r="D383" s="15"/>
    </row>
    <row r="384" ht="15.75" customHeight="1">
      <c r="A384" s="14"/>
      <c r="B384" s="14"/>
      <c r="C384" s="14"/>
      <c r="D384" s="15"/>
    </row>
    <row r="385" ht="15.75" customHeight="1">
      <c r="A385" s="14"/>
      <c r="B385" s="14"/>
      <c r="C385" s="14"/>
      <c r="D385" s="15"/>
    </row>
    <row r="386" ht="15.75" customHeight="1">
      <c r="A386" s="14"/>
      <c r="B386" s="14"/>
      <c r="C386" s="14"/>
      <c r="D386" s="15"/>
    </row>
    <row r="387" ht="15.75" customHeight="1">
      <c r="A387" s="14"/>
      <c r="B387" s="14"/>
      <c r="C387" s="14"/>
      <c r="D387" s="15"/>
    </row>
    <row r="388" ht="15.75" customHeight="1">
      <c r="A388" s="14"/>
      <c r="B388" s="14"/>
      <c r="C388" s="14"/>
      <c r="D388" s="15"/>
    </row>
    <row r="389" ht="15.75" customHeight="1">
      <c r="A389" s="14"/>
      <c r="B389" s="14"/>
      <c r="C389" s="14"/>
      <c r="D389" s="15"/>
    </row>
    <row r="390" ht="15.75" customHeight="1">
      <c r="A390" s="14"/>
      <c r="B390" s="14"/>
      <c r="C390" s="14"/>
      <c r="D390" s="15"/>
    </row>
    <row r="391" ht="15.75" customHeight="1">
      <c r="A391" s="14"/>
      <c r="B391" s="14"/>
      <c r="C391" s="14"/>
      <c r="D391" s="15"/>
    </row>
    <row r="392" ht="15.75" customHeight="1">
      <c r="A392" s="14"/>
      <c r="B392" s="14"/>
      <c r="C392" s="14"/>
      <c r="D392" s="15"/>
    </row>
    <row r="393" ht="15.75" customHeight="1">
      <c r="A393" s="14"/>
      <c r="B393" s="14"/>
      <c r="C393" s="14"/>
      <c r="D393" s="15"/>
    </row>
    <row r="394" ht="15.75" customHeight="1">
      <c r="A394" s="14"/>
      <c r="B394" s="14"/>
      <c r="C394" s="14"/>
      <c r="D394" s="15"/>
    </row>
    <row r="395" ht="15.75" customHeight="1">
      <c r="A395" s="14"/>
      <c r="B395" s="14"/>
      <c r="C395" s="14"/>
      <c r="D395" s="15"/>
    </row>
    <row r="396" ht="15.75" customHeight="1">
      <c r="A396" s="14"/>
      <c r="B396" s="14"/>
      <c r="C396" s="14"/>
      <c r="D396" s="15"/>
    </row>
    <row r="397" ht="15.75" customHeight="1">
      <c r="A397" s="14"/>
      <c r="B397" s="14"/>
      <c r="C397" s="14"/>
      <c r="D397" s="15"/>
    </row>
    <row r="398" ht="15.75" customHeight="1">
      <c r="A398" s="14"/>
      <c r="B398" s="14"/>
      <c r="C398" s="14"/>
      <c r="D398" s="15"/>
    </row>
    <row r="399" ht="15.75" customHeight="1">
      <c r="A399" s="14"/>
      <c r="B399" s="14"/>
      <c r="C399" s="14"/>
      <c r="D399" s="15"/>
    </row>
    <row r="400" ht="15.75" customHeight="1">
      <c r="A400" s="14"/>
      <c r="B400" s="14"/>
      <c r="C400" s="14"/>
      <c r="D400" s="15"/>
    </row>
    <row r="401" ht="15.75" customHeight="1">
      <c r="A401" s="14"/>
      <c r="B401" s="14"/>
      <c r="C401" s="14"/>
      <c r="D401" s="15"/>
    </row>
    <row r="402" ht="15.75" customHeight="1">
      <c r="A402" s="14"/>
      <c r="B402" s="14"/>
      <c r="C402" s="14"/>
      <c r="D402" s="15"/>
    </row>
    <row r="403" ht="15.75" customHeight="1">
      <c r="A403" s="14"/>
      <c r="B403" s="14"/>
      <c r="C403" s="14"/>
      <c r="D403" s="15"/>
    </row>
    <row r="404" ht="15.75" customHeight="1">
      <c r="A404" s="14"/>
      <c r="B404" s="14"/>
      <c r="C404" s="14"/>
      <c r="D404" s="15"/>
    </row>
    <row r="405" ht="15.75" customHeight="1">
      <c r="A405" s="14"/>
      <c r="B405" s="14"/>
      <c r="C405" s="14"/>
      <c r="D405" s="15"/>
    </row>
    <row r="406" ht="15.75" customHeight="1">
      <c r="A406" s="14"/>
      <c r="B406" s="14"/>
      <c r="C406" s="14"/>
      <c r="D406" s="15"/>
    </row>
    <row r="407" ht="15.75" customHeight="1">
      <c r="A407" s="14"/>
      <c r="B407" s="14"/>
      <c r="C407" s="14"/>
      <c r="D407" s="15"/>
    </row>
    <row r="408" ht="15.75" customHeight="1">
      <c r="A408" s="14"/>
      <c r="B408" s="14"/>
      <c r="C408" s="14"/>
      <c r="D408" s="15"/>
    </row>
    <row r="409" ht="15.75" customHeight="1">
      <c r="A409" s="14"/>
      <c r="B409" s="14"/>
      <c r="C409" s="14"/>
      <c r="D409" s="15"/>
    </row>
    <row r="410" ht="15.75" customHeight="1">
      <c r="A410" s="14"/>
      <c r="B410" s="14"/>
      <c r="C410" s="14"/>
      <c r="D410" s="15"/>
    </row>
    <row r="411" ht="15.75" customHeight="1">
      <c r="A411" s="14"/>
      <c r="B411" s="14"/>
      <c r="C411" s="14"/>
      <c r="D411" s="15"/>
    </row>
    <row r="412" ht="15.75" customHeight="1">
      <c r="A412" s="14"/>
      <c r="B412" s="14"/>
      <c r="C412" s="14"/>
      <c r="D412" s="15"/>
    </row>
    <row r="413" ht="15.75" customHeight="1">
      <c r="A413" s="14"/>
      <c r="B413" s="14"/>
      <c r="C413" s="14"/>
      <c r="D413" s="15"/>
    </row>
    <row r="414" ht="15.75" customHeight="1">
      <c r="A414" s="14"/>
      <c r="B414" s="14"/>
      <c r="C414" s="14"/>
      <c r="D414" s="15"/>
    </row>
    <row r="415" ht="15.75" customHeight="1">
      <c r="A415" s="14"/>
      <c r="B415" s="14"/>
      <c r="C415" s="14"/>
      <c r="D415" s="15"/>
    </row>
    <row r="416" ht="15.75" customHeight="1">
      <c r="A416" s="14"/>
      <c r="B416" s="14"/>
      <c r="C416" s="14"/>
      <c r="D416" s="15"/>
    </row>
    <row r="417" ht="15.75" customHeight="1">
      <c r="A417" s="14"/>
      <c r="B417" s="14"/>
      <c r="C417" s="14"/>
      <c r="D417" s="15"/>
    </row>
    <row r="418" ht="15.75" customHeight="1">
      <c r="A418" s="14"/>
      <c r="B418" s="14"/>
      <c r="C418" s="14"/>
      <c r="D418" s="15"/>
    </row>
    <row r="419" ht="15.75" customHeight="1">
      <c r="A419" s="14"/>
      <c r="B419" s="14"/>
      <c r="C419" s="14"/>
      <c r="D419" s="15"/>
    </row>
    <row r="420" ht="15.75" customHeight="1">
      <c r="A420" s="14"/>
      <c r="B420" s="14"/>
      <c r="C420" s="14"/>
      <c r="D420" s="15"/>
    </row>
    <row r="421" ht="15.75" customHeight="1">
      <c r="A421" s="14"/>
      <c r="B421" s="14"/>
      <c r="C421" s="14"/>
      <c r="D421" s="15"/>
    </row>
    <row r="422" ht="15.75" customHeight="1">
      <c r="A422" s="14"/>
      <c r="B422" s="14"/>
      <c r="C422" s="14"/>
      <c r="D422" s="15"/>
    </row>
    <row r="423" ht="15.75" customHeight="1">
      <c r="A423" s="14"/>
      <c r="B423" s="14"/>
      <c r="C423" s="14"/>
      <c r="D423" s="15"/>
    </row>
    <row r="424" ht="15.75" customHeight="1">
      <c r="A424" s="14"/>
      <c r="B424" s="14"/>
      <c r="C424" s="14"/>
      <c r="D424" s="15"/>
    </row>
    <row r="425" ht="15.75" customHeight="1">
      <c r="A425" s="14"/>
      <c r="B425" s="14"/>
      <c r="C425" s="14"/>
      <c r="D425" s="15"/>
    </row>
    <row r="426" ht="15.75" customHeight="1">
      <c r="A426" s="14"/>
      <c r="B426" s="14"/>
      <c r="C426" s="14"/>
      <c r="D426" s="15"/>
    </row>
    <row r="427" ht="15.75" customHeight="1">
      <c r="A427" s="14"/>
      <c r="B427" s="14"/>
      <c r="C427" s="14"/>
      <c r="D427" s="15"/>
    </row>
    <row r="428" ht="15.75" customHeight="1">
      <c r="A428" s="14"/>
      <c r="B428" s="14"/>
      <c r="C428" s="14"/>
      <c r="D428" s="15"/>
    </row>
    <row r="429" ht="15.75" customHeight="1">
      <c r="A429" s="14"/>
      <c r="B429" s="14"/>
      <c r="C429" s="14"/>
      <c r="D429" s="15"/>
    </row>
    <row r="430" ht="15.75" customHeight="1">
      <c r="A430" s="14"/>
      <c r="B430" s="14"/>
      <c r="C430" s="14"/>
      <c r="D430" s="15"/>
    </row>
    <row r="431" ht="15.75" customHeight="1">
      <c r="A431" s="14"/>
      <c r="B431" s="14"/>
      <c r="C431" s="14"/>
      <c r="D431" s="15"/>
    </row>
    <row r="432" ht="15.75" customHeight="1">
      <c r="A432" s="14"/>
      <c r="B432" s="14"/>
      <c r="C432" s="14"/>
      <c r="D432" s="15"/>
    </row>
    <row r="433" ht="15.75" customHeight="1">
      <c r="A433" s="14"/>
      <c r="B433" s="14"/>
      <c r="C433" s="14"/>
      <c r="D433" s="15"/>
    </row>
    <row r="434" ht="15.75" customHeight="1">
      <c r="A434" s="14"/>
      <c r="B434" s="14"/>
      <c r="C434" s="14"/>
      <c r="D434" s="15"/>
    </row>
    <row r="435" ht="15.75" customHeight="1">
      <c r="A435" s="14"/>
      <c r="B435" s="14"/>
      <c r="C435" s="14"/>
      <c r="D435" s="15"/>
    </row>
    <row r="436" ht="15.75" customHeight="1">
      <c r="A436" s="14"/>
      <c r="B436" s="14"/>
      <c r="C436" s="14"/>
      <c r="D436" s="15"/>
    </row>
    <row r="437" ht="15.75" customHeight="1">
      <c r="A437" s="14"/>
      <c r="B437" s="14"/>
      <c r="C437" s="14"/>
      <c r="D437" s="15"/>
    </row>
    <row r="438" ht="15.75" customHeight="1">
      <c r="A438" s="14"/>
      <c r="B438" s="14"/>
      <c r="C438" s="14"/>
      <c r="D438" s="15"/>
    </row>
    <row r="439" ht="15.75" customHeight="1">
      <c r="A439" s="14"/>
      <c r="B439" s="14"/>
      <c r="C439" s="14"/>
      <c r="D439" s="15"/>
    </row>
    <row r="440" ht="15.75" customHeight="1">
      <c r="A440" s="14"/>
      <c r="B440" s="14"/>
      <c r="C440" s="14"/>
      <c r="D440" s="15"/>
    </row>
    <row r="441" ht="15.75" customHeight="1">
      <c r="A441" s="14"/>
      <c r="B441" s="14"/>
      <c r="C441" s="14"/>
      <c r="D441" s="15"/>
    </row>
    <row r="442" ht="15.75" customHeight="1">
      <c r="A442" s="14"/>
      <c r="B442" s="14"/>
      <c r="C442" s="14"/>
      <c r="D442" s="15"/>
    </row>
    <row r="443" ht="15.75" customHeight="1">
      <c r="A443" s="14"/>
      <c r="B443" s="14"/>
      <c r="C443" s="14"/>
      <c r="D443" s="15"/>
    </row>
    <row r="444" ht="15.75" customHeight="1">
      <c r="A444" s="14"/>
      <c r="B444" s="14"/>
      <c r="C444" s="14"/>
      <c r="D444" s="15"/>
    </row>
    <row r="445" ht="15.75" customHeight="1">
      <c r="A445" s="14"/>
      <c r="B445" s="14"/>
      <c r="C445" s="14"/>
      <c r="D445" s="15"/>
    </row>
    <row r="446" ht="15.75" customHeight="1">
      <c r="A446" s="14"/>
      <c r="B446" s="14"/>
      <c r="C446" s="14"/>
      <c r="D446" s="15"/>
    </row>
    <row r="447" ht="15.75" customHeight="1">
      <c r="A447" s="14"/>
      <c r="B447" s="14"/>
      <c r="C447" s="14"/>
      <c r="D447" s="15"/>
    </row>
    <row r="448" ht="15.75" customHeight="1">
      <c r="A448" s="14"/>
      <c r="B448" s="14"/>
      <c r="C448" s="14"/>
      <c r="D448" s="15"/>
    </row>
    <row r="449" ht="15.75" customHeight="1">
      <c r="A449" s="14"/>
      <c r="B449" s="14"/>
      <c r="C449" s="14"/>
      <c r="D449" s="15"/>
    </row>
    <row r="450" ht="15.75" customHeight="1">
      <c r="A450" s="14"/>
      <c r="B450" s="14"/>
      <c r="C450" s="14"/>
      <c r="D450" s="15"/>
    </row>
    <row r="451" ht="15.75" customHeight="1">
      <c r="A451" s="14"/>
      <c r="B451" s="14"/>
      <c r="C451" s="14"/>
      <c r="D451" s="15"/>
    </row>
    <row r="452" ht="15.75" customHeight="1">
      <c r="A452" s="14"/>
      <c r="B452" s="14"/>
      <c r="C452" s="14"/>
      <c r="D452" s="15"/>
    </row>
    <row r="453" ht="15.75" customHeight="1">
      <c r="A453" s="14"/>
      <c r="B453" s="14"/>
      <c r="C453" s="14"/>
      <c r="D453" s="15"/>
    </row>
    <row r="454" ht="15.75" customHeight="1">
      <c r="A454" s="14"/>
      <c r="B454" s="14"/>
      <c r="C454" s="14"/>
      <c r="D454" s="15"/>
    </row>
    <row r="455" ht="15.75" customHeight="1">
      <c r="A455" s="14"/>
      <c r="B455" s="14"/>
      <c r="C455" s="14"/>
      <c r="D455" s="15"/>
    </row>
    <row r="456" ht="15.75" customHeight="1">
      <c r="A456" s="14"/>
      <c r="B456" s="14"/>
      <c r="C456" s="14"/>
      <c r="D456" s="15"/>
    </row>
    <row r="457" ht="15.75" customHeight="1">
      <c r="A457" s="14"/>
      <c r="B457" s="14"/>
      <c r="C457" s="14"/>
      <c r="D457" s="15"/>
    </row>
    <row r="458" ht="15.75" customHeight="1">
      <c r="A458" s="14"/>
      <c r="B458" s="14"/>
      <c r="C458" s="14"/>
      <c r="D458" s="15"/>
    </row>
    <row r="459" ht="15.75" customHeight="1">
      <c r="A459" s="14"/>
      <c r="B459" s="14"/>
      <c r="C459" s="14"/>
      <c r="D459" s="15"/>
    </row>
    <row r="460" ht="15.75" customHeight="1">
      <c r="A460" s="14"/>
      <c r="B460" s="14"/>
      <c r="C460" s="14"/>
      <c r="D460" s="15"/>
    </row>
    <row r="461" ht="15.75" customHeight="1">
      <c r="A461" s="14"/>
      <c r="B461" s="14"/>
      <c r="C461" s="14"/>
      <c r="D461" s="15"/>
    </row>
    <row r="462" ht="15.75" customHeight="1">
      <c r="A462" s="14"/>
      <c r="B462" s="14"/>
      <c r="C462" s="14"/>
      <c r="D462" s="15"/>
    </row>
    <row r="463" ht="15.75" customHeight="1">
      <c r="A463" s="14"/>
      <c r="B463" s="14"/>
      <c r="C463" s="14"/>
      <c r="D463" s="15"/>
    </row>
    <row r="464" ht="15.75" customHeight="1">
      <c r="A464" s="14"/>
      <c r="B464" s="14"/>
      <c r="C464" s="14"/>
      <c r="D464" s="15"/>
    </row>
    <row r="465" ht="15.75" customHeight="1">
      <c r="A465" s="14"/>
      <c r="B465" s="14"/>
      <c r="C465" s="14"/>
      <c r="D465" s="15"/>
    </row>
    <row r="466" ht="15.75" customHeight="1">
      <c r="A466" s="14"/>
      <c r="B466" s="14"/>
      <c r="C466" s="14"/>
      <c r="D466" s="15"/>
    </row>
    <row r="467" ht="15.75" customHeight="1">
      <c r="A467" s="14"/>
      <c r="B467" s="14"/>
      <c r="C467" s="14"/>
      <c r="D467" s="15"/>
    </row>
    <row r="468" ht="15.75" customHeight="1">
      <c r="A468" s="14"/>
      <c r="B468" s="14"/>
      <c r="C468" s="14"/>
      <c r="D468" s="15"/>
    </row>
    <row r="469" ht="15.75" customHeight="1">
      <c r="A469" s="14"/>
      <c r="B469" s="14"/>
      <c r="C469" s="14"/>
      <c r="D469" s="15"/>
    </row>
    <row r="470" ht="15.75" customHeight="1">
      <c r="A470" s="14"/>
      <c r="B470" s="14"/>
      <c r="C470" s="14"/>
      <c r="D470" s="15"/>
    </row>
    <row r="471" ht="15.75" customHeight="1">
      <c r="A471" s="14"/>
      <c r="B471" s="14"/>
      <c r="C471" s="14"/>
      <c r="D471" s="15"/>
    </row>
    <row r="472" ht="15.75" customHeight="1">
      <c r="A472" s="14"/>
      <c r="B472" s="14"/>
      <c r="C472" s="14"/>
      <c r="D472" s="15"/>
    </row>
    <row r="473" ht="15.75" customHeight="1">
      <c r="A473" s="14"/>
      <c r="B473" s="14"/>
      <c r="C473" s="14"/>
      <c r="D473" s="15"/>
    </row>
    <row r="474" ht="15.75" customHeight="1">
      <c r="A474" s="14"/>
      <c r="B474" s="14"/>
      <c r="C474" s="14"/>
      <c r="D474" s="15"/>
    </row>
    <row r="475" ht="15.75" customHeight="1">
      <c r="A475" s="14"/>
      <c r="B475" s="14"/>
      <c r="C475" s="14"/>
      <c r="D475" s="15"/>
    </row>
    <row r="476" ht="15.75" customHeight="1">
      <c r="A476" s="14"/>
      <c r="B476" s="14"/>
      <c r="C476" s="14"/>
      <c r="D476" s="15"/>
    </row>
    <row r="477" ht="15.75" customHeight="1">
      <c r="A477" s="14"/>
      <c r="B477" s="14"/>
      <c r="C477" s="14"/>
      <c r="D477" s="15"/>
    </row>
    <row r="478" ht="15.75" customHeight="1">
      <c r="A478" s="14"/>
      <c r="B478" s="14"/>
      <c r="C478" s="14"/>
      <c r="D478" s="15"/>
    </row>
    <row r="479" ht="15.75" customHeight="1">
      <c r="A479" s="14"/>
      <c r="B479" s="14"/>
      <c r="C479" s="14"/>
      <c r="D479" s="15"/>
    </row>
    <row r="480" ht="15.75" customHeight="1">
      <c r="A480" s="14"/>
      <c r="B480" s="14"/>
      <c r="C480" s="14"/>
      <c r="D480" s="15"/>
    </row>
    <row r="481" ht="15.75" customHeight="1">
      <c r="A481" s="14"/>
      <c r="B481" s="14"/>
      <c r="C481" s="14"/>
      <c r="D481" s="15"/>
    </row>
    <row r="482" ht="15.75" customHeight="1">
      <c r="A482" s="14"/>
      <c r="B482" s="14"/>
      <c r="C482" s="14"/>
      <c r="D482" s="15"/>
    </row>
    <row r="483" ht="15.75" customHeight="1">
      <c r="A483" s="14"/>
      <c r="B483" s="14"/>
      <c r="C483" s="14"/>
      <c r="D483" s="15"/>
    </row>
    <row r="484" ht="15.75" customHeight="1">
      <c r="D484" s="15"/>
    </row>
    <row r="485" ht="15.75" customHeight="1">
      <c r="D485" s="15"/>
    </row>
    <row r="486" ht="15.75" customHeight="1">
      <c r="D486" s="15"/>
    </row>
    <row r="487" ht="15.75" customHeight="1">
      <c r="D487" s="15"/>
    </row>
    <row r="488" ht="15.75" customHeight="1">
      <c r="D488" s="15"/>
    </row>
    <row r="489" ht="15.75" customHeight="1">
      <c r="D489" s="15"/>
    </row>
    <row r="490" ht="15.75" customHeight="1">
      <c r="D490" s="15"/>
    </row>
    <row r="491" ht="15.75" customHeight="1">
      <c r="D491" s="15"/>
    </row>
    <row r="492" ht="15.75" customHeight="1">
      <c r="D492" s="15"/>
    </row>
    <row r="493" ht="15.75" customHeight="1">
      <c r="D493" s="15"/>
    </row>
    <row r="494" ht="15.75" customHeight="1">
      <c r="D494" s="15"/>
    </row>
    <row r="495" ht="15.75" customHeight="1">
      <c r="D495" s="15"/>
    </row>
    <row r="496" ht="15.75" customHeight="1">
      <c r="D496" s="15"/>
    </row>
    <row r="497" ht="15.75" customHeight="1">
      <c r="D497" s="15"/>
    </row>
    <row r="498" ht="15.75" customHeight="1">
      <c r="D498" s="15"/>
    </row>
    <row r="499" ht="15.75" customHeight="1">
      <c r="D499" s="15"/>
    </row>
    <row r="500" ht="15.75" customHeight="1">
      <c r="D500" s="15"/>
    </row>
    <row r="501" ht="15.75" customHeight="1">
      <c r="D501" s="15"/>
    </row>
    <row r="502" ht="15.75" customHeight="1">
      <c r="D502" s="15"/>
    </row>
    <row r="503" ht="15.75" customHeight="1">
      <c r="D503" s="15"/>
    </row>
    <row r="504" ht="15.75" customHeight="1">
      <c r="D504" s="15"/>
    </row>
    <row r="505" ht="15.75" customHeight="1">
      <c r="D505" s="15"/>
    </row>
    <row r="506" ht="15.75" customHeight="1">
      <c r="D506" s="15"/>
    </row>
    <row r="507" ht="15.75" customHeight="1">
      <c r="D507" s="15"/>
    </row>
    <row r="508" ht="15.75" customHeight="1">
      <c r="D508" s="15"/>
    </row>
    <row r="509" ht="15.75" customHeight="1">
      <c r="D509" s="15"/>
    </row>
    <row r="510" ht="15.75" customHeight="1">
      <c r="D510" s="15"/>
    </row>
    <row r="511" ht="15.75" customHeight="1">
      <c r="D511" s="15"/>
    </row>
    <row r="512" ht="15.75" customHeight="1">
      <c r="D512" s="15"/>
    </row>
    <row r="513" ht="15.75" customHeight="1">
      <c r="D513" s="16"/>
    </row>
    <row r="514" ht="15.75" customHeight="1">
      <c r="D514" s="16"/>
    </row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75"/>
    <col customWidth="1" min="2" max="2" width="34.0"/>
    <col customWidth="1" min="3" max="3" width="34.13"/>
    <col customWidth="1" min="4" max="4" width="13.25"/>
    <col customWidth="1" min="5" max="5" width="12.63"/>
  </cols>
  <sheetData>
    <row r="1">
      <c r="A1" s="9" t="s">
        <v>1539</v>
      </c>
      <c r="B1" s="10" t="s">
        <v>0</v>
      </c>
      <c r="C1" s="11" t="s">
        <v>1541</v>
      </c>
      <c r="D1" s="9" t="s">
        <v>2006</v>
      </c>
      <c r="E1" s="17"/>
    </row>
    <row r="2" ht="15.75" customHeight="1">
      <c r="A2" s="4" t="s">
        <v>1543</v>
      </c>
      <c r="B2" s="4" t="s">
        <v>1669</v>
      </c>
      <c r="C2" s="5">
        <v>44012.0</v>
      </c>
      <c r="D2" s="4" t="s">
        <v>21</v>
      </c>
      <c r="E2" s="17"/>
    </row>
    <row r="3" ht="15.75" customHeight="1">
      <c r="A3" s="4" t="s">
        <v>1543</v>
      </c>
      <c r="B3" s="4" t="s">
        <v>1748</v>
      </c>
      <c r="C3" s="5">
        <v>44012.0</v>
      </c>
      <c r="D3" s="4" t="s">
        <v>21</v>
      </c>
      <c r="E3" s="17"/>
    </row>
    <row r="4" ht="15.75" customHeight="1">
      <c r="A4" s="4" t="s">
        <v>1543</v>
      </c>
      <c r="B4" s="4" t="s">
        <v>1646</v>
      </c>
      <c r="C4" s="5">
        <v>44012.0</v>
      </c>
      <c r="D4" s="4" t="s">
        <v>21</v>
      </c>
      <c r="E4" s="17"/>
    </row>
    <row r="5" ht="15.75" customHeight="1">
      <c r="A5" s="4" t="s">
        <v>1543</v>
      </c>
      <c r="B5" s="4" t="s">
        <v>1522</v>
      </c>
      <c r="C5" s="5">
        <v>44012.0</v>
      </c>
      <c r="D5" s="4" t="s">
        <v>21</v>
      </c>
      <c r="E5" s="17"/>
    </row>
    <row r="6" ht="15.75" customHeight="1">
      <c r="A6" s="4" t="s">
        <v>1543</v>
      </c>
      <c r="B6" s="4" t="s">
        <v>24</v>
      </c>
      <c r="C6" s="5">
        <v>44012.0</v>
      </c>
      <c r="D6" s="4" t="s">
        <v>21</v>
      </c>
      <c r="E6" s="17"/>
    </row>
    <row r="7" ht="15.75" customHeight="1">
      <c r="A7" s="4" t="s">
        <v>1543</v>
      </c>
      <c r="B7" s="4" t="s">
        <v>1624</v>
      </c>
      <c r="C7" s="5">
        <v>44012.0</v>
      </c>
      <c r="D7" s="4" t="s">
        <v>21</v>
      </c>
      <c r="E7" s="17"/>
    </row>
    <row r="8" ht="15.75" customHeight="1">
      <c r="A8" s="4" t="s">
        <v>1543</v>
      </c>
      <c r="B8" s="4" t="s">
        <v>1587</v>
      </c>
      <c r="C8" s="5">
        <v>44012.0</v>
      </c>
      <c r="D8" s="4" t="s">
        <v>21</v>
      </c>
      <c r="E8" s="17"/>
    </row>
    <row r="9" ht="15.75" customHeight="1">
      <c r="A9" s="4" t="s">
        <v>1543</v>
      </c>
      <c r="B9" s="4" t="s">
        <v>1583</v>
      </c>
      <c r="C9" s="5">
        <v>44012.0</v>
      </c>
      <c r="D9" s="4" t="s">
        <v>15</v>
      </c>
      <c r="E9" s="17"/>
    </row>
    <row r="10" ht="15.75" customHeight="1">
      <c r="A10" s="4" t="s">
        <v>1543</v>
      </c>
      <c r="B10" s="4" t="s">
        <v>1605</v>
      </c>
      <c r="C10" s="5">
        <v>44012.0</v>
      </c>
      <c r="D10" s="4" t="s">
        <v>15</v>
      </c>
      <c r="E10" s="17"/>
    </row>
    <row r="11" ht="15.75" customHeight="1">
      <c r="A11" s="4" t="s">
        <v>1543</v>
      </c>
      <c r="B11" s="4" t="s">
        <v>1735</v>
      </c>
      <c r="C11" s="5">
        <v>44012.0</v>
      </c>
      <c r="D11" s="4" t="s">
        <v>6</v>
      </c>
      <c r="E11" s="17"/>
    </row>
    <row r="12" ht="15.75" customHeight="1">
      <c r="A12" s="4" t="s">
        <v>1543</v>
      </c>
      <c r="B12" s="4" t="s">
        <v>1581</v>
      </c>
      <c r="C12" s="5">
        <v>44012.0</v>
      </c>
      <c r="D12" s="4" t="s">
        <v>6</v>
      </c>
      <c r="E12" s="17"/>
    </row>
    <row r="13" ht="15.75" customHeight="1">
      <c r="A13" s="4" t="s">
        <v>1543</v>
      </c>
      <c r="B13" s="4" t="s">
        <v>1699</v>
      </c>
      <c r="C13" s="5">
        <v>44012.0</v>
      </c>
      <c r="D13" s="4" t="s">
        <v>6</v>
      </c>
      <c r="E13" s="17"/>
    </row>
    <row r="14" ht="15.75" customHeight="1">
      <c r="A14" s="4" t="s">
        <v>1543</v>
      </c>
      <c r="B14" s="4" t="s">
        <v>1565</v>
      </c>
      <c r="C14" s="5">
        <v>44012.0</v>
      </c>
      <c r="D14" s="4" t="s">
        <v>6</v>
      </c>
      <c r="E14" s="17"/>
    </row>
    <row r="15" ht="15.75" customHeight="1">
      <c r="A15" s="4" t="s">
        <v>1543</v>
      </c>
      <c r="B15" s="4" t="s">
        <v>1737</v>
      </c>
      <c r="C15" s="5">
        <v>44012.0</v>
      </c>
      <c r="D15" s="4" t="s">
        <v>6</v>
      </c>
      <c r="E15" s="17"/>
    </row>
    <row r="16" ht="15.75" customHeight="1">
      <c r="A16" s="4" t="s">
        <v>1543</v>
      </c>
      <c r="B16" s="4" t="s">
        <v>1701</v>
      </c>
      <c r="C16" s="5">
        <v>44012.0</v>
      </c>
      <c r="D16" s="4" t="s">
        <v>6</v>
      </c>
      <c r="E16" s="17"/>
    </row>
    <row r="17" ht="15.75" customHeight="1">
      <c r="A17" s="4" t="s">
        <v>1543</v>
      </c>
      <c r="B17" s="4" t="s">
        <v>1634</v>
      </c>
      <c r="C17" s="5">
        <v>44012.0</v>
      </c>
      <c r="D17" s="4" t="s">
        <v>6</v>
      </c>
      <c r="E17" s="17"/>
    </row>
    <row r="18" ht="15.75" customHeight="1">
      <c r="A18" s="4" t="s">
        <v>1543</v>
      </c>
      <c r="B18" s="4" t="s">
        <v>1650</v>
      </c>
      <c r="C18" s="5">
        <v>44012.0</v>
      </c>
      <c r="D18" s="4" t="s">
        <v>6</v>
      </c>
      <c r="E18" s="17"/>
    </row>
    <row r="19" ht="15.75" customHeight="1">
      <c r="A19" s="4" t="s">
        <v>1543</v>
      </c>
      <c r="B19" s="4" t="s">
        <v>1636</v>
      </c>
      <c r="C19" s="5">
        <v>44012.0</v>
      </c>
      <c r="D19" s="4" t="s">
        <v>6</v>
      </c>
      <c r="E19" s="17"/>
    </row>
    <row r="20" ht="15.75" customHeight="1">
      <c r="A20" s="4" t="s">
        <v>1543</v>
      </c>
      <c r="B20" s="4" t="s">
        <v>1665</v>
      </c>
      <c r="C20" s="5">
        <v>44012.0</v>
      </c>
      <c r="D20" s="4" t="s">
        <v>6</v>
      </c>
      <c r="E20" s="17"/>
    </row>
    <row r="21" ht="15.75" customHeight="1">
      <c r="A21" s="4" t="s">
        <v>1543</v>
      </c>
      <c r="B21" s="4" t="s">
        <v>1607</v>
      </c>
      <c r="C21" s="5">
        <v>44012.0</v>
      </c>
      <c r="D21" s="4" t="s">
        <v>6</v>
      </c>
      <c r="E21" s="17"/>
    </row>
    <row r="22" ht="15.75" customHeight="1">
      <c r="A22" s="4" t="s">
        <v>1543</v>
      </c>
      <c r="B22" s="4" t="s">
        <v>1703</v>
      </c>
      <c r="C22" s="5">
        <v>44012.0</v>
      </c>
      <c r="D22" s="4" t="s">
        <v>6</v>
      </c>
      <c r="E22" s="17"/>
    </row>
    <row r="23" ht="15.75" customHeight="1">
      <c r="A23" s="4" t="s">
        <v>1543</v>
      </c>
      <c r="B23" s="4" t="s">
        <v>1679</v>
      </c>
      <c r="C23" s="5">
        <v>44012.0</v>
      </c>
      <c r="D23" s="4" t="s">
        <v>6</v>
      </c>
    </row>
    <row r="24" ht="15.75" customHeight="1">
      <c r="A24" s="4" t="s">
        <v>1543</v>
      </c>
      <c r="B24" s="4" t="s">
        <v>1705</v>
      </c>
      <c r="C24" s="5">
        <v>44012.0</v>
      </c>
      <c r="D24" s="4" t="s">
        <v>6</v>
      </c>
    </row>
    <row r="25" ht="15.75" customHeight="1">
      <c r="A25" s="4" t="s">
        <v>1543</v>
      </c>
      <c r="B25" s="4" t="s">
        <v>1739</v>
      </c>
      <c r="C25" s="5">
        <v>44012.0</v>
      </c>
      <c r="D25" s="4" t="s">
        <v>6</v>
      </c>
    </row>
    <row r="26" ht="15.75" customHeight="1">
      <c r="A26" s="4" t="s">
        <v>1543</v>
      </c>
      <c r="B26" s="4" t="s">
        <v>1681</v>
      </c>
      <c r="C26" s="5">
        <v>44012.0</v>
      </c>
      <c r="D26" s="4" t="s">
        <v>6</v>
      </c>
    </row>
    <row r="27" ht="15.75" customHeight="1">
      <c r="A27" s="4" t="s">
        <v>1543</v>
      </c>
      <c r="B27" s="4" t="s">
        <v>1621</v>
      </c>
      <c r="C27" s="5">
        <v>44012.0</v>
      </c>
      <c r="D27" s="4" t="s">
        <v>6</v>
      </c>
    </row>
    <row r="28" ht="15.75" customHeight="1">
      <c r="A28" s="4" t="s">
        <v>1543</v>
      </c>
      <c r="B28" s="4" t="s">
        <v>1638</v>
      </c>
      <c r="C28" s="5">
        <v>44012.0</v>
      </c>
      <c r="D28" s="4" t="s">
        <v>6</v>
      </c>
    </row>
    <row r="29" ht="15.75" customHeight="1">
      <c r="A29" s="4" t="s">
        <v>1543</v>
      </c>
      <c r="B29" s="4" t="s">
        <v>1741</v>
      </c>
      <c r="C29" s="5">
        <v>44012.0</v>
      </c>
      <c r="D29" s="4" t="s">
        <v>6</v>
      </c>
    </row>
    <row r="30" ht="15.75" customHeight="1">
      <c r="A30" s="4" t="s">
        <v>1543</v>
      </c>
      <c r="B30" s="4" t="s">
        <v>1743</v>
      </c>
      <c r="C30" s="5">
        <v>44012.0</v>
      </c>
      <c r="D30" s="4" t="s">
        <v>6</v>
      </c>
    </row>
    <row r="31" ht="15.75" customHeight="1">
      <c r="A31" s="4" t="s">
        <v>1543</v>
      </c>
      <c r="B31" s="4" t="s">
        <v>1640</v>
      </c>
      <c r="C31" s="5">
        <v>44012.0</v>
      </c>
      <c r="D31" s="4" t="s">
        <v>6</v>
      </c>
    </row>
    <row r="32" ht="15.75" customHeight="1">
      <c r="A32" s="4" t="s">
        <v>1543</v>
      </c>
      <c r="B32" s="4" t="s">
        <v>1591</v>
      </c>
      <c r="C32" s="5">
        <v>44012.0</v>
      </c>
      <c r="D32" s="4" t="s">
        <v>6</v>
      </c>
    </row>
    <row r="33" ht="15.75" customHeight="1">
      <c r="A33" s="4" t="s">
        <v>1543</v>
      </c>
      <c r="B33" s="4" t="s">
        <v>1432</v>
      </c>
      <c r="C33" s="5">
        <v>44012.0</v>
      </c>
      <c r="D33" s="4" t="s">
        <v>6</v>
      </c>
    </row>
    <row r="34" ht="15.75" customHeight="1">
      <c r="A34" s="4" t="s">
        <v>1543</v>
      </c>
      <c r="B34" s="4" t="s">
        <v>1438</v>
      </c>
      <c r="C34" s="5">
        <v>44012.0</v>
      </c>
      <c r="D34" s="4" t="s">
        <v>6</v>
      </c>
    </row>
    <row r="35" ht="15.75" customHeight="1">
      <c r="A35" s="4" t="s">
        <v>1543</v>
      </c>
      <c r="B35" s="4" t="s">
        <v>1092</v>
      </c>
      <c r="C35" s="5">
        <v>44012.0</v>
      </c>
      <c r="D35" s="4" t="s">
        <v>6</v>
      </c>
    </row>
    <row r="36" ht="15.75" customHeight="1">
      <c r="A36" s="4" t="s">
        <v>1543</v>
      </c>
      <c r="B36" s="4" t="s">
        <v>1506</v>
      </c>
      <c r="C36" s="5">
        <v>44012.0</v>
      </c>
      <c r="D36" s="4" t="s">
        <v>6</v>
      </c>
    </row>
    <row r="37" ht="15.75" customHeight="1">
      <c r="A37" s="4" t="s">
        <v>1543</v>
      </c>
      <c r="B37" s="4" t="s">
        <v>1524</v>
      </c>
      <c r="C37" s="5">
        <v>44012.0</v>
      </c>
      <c r="D37" s="4" t="s">
        <v>6</v>
      </c>
    </row>
    <row r="38" ht="15.75" customHeight="1">
      <c r="A38" s="4" t="s">
        <v>1543</v>
      </c>
      <c r="B38" s="4" t="s">
        <v>1708</v>
      </c>
      <c r="C38" s="5">
        <v>44012.0</v>
      </c>
      <c r="D38" s="4" t="s">
        <v>6</v>
      </c>
    </row>
    <row r="39" ht="15.75" customHeight="1">
      <c r="A39" s="4" t="s">
        <v>1543</v>
      </c>
      <c r="B39" s="4" t="s">
        <v>1406</v>
      </c>
      <c r="C39" s="5">
        <v>44012.0</v>
      </c>
      <c r="D39" s="4" t="s">
        <v>6</v>
      </c>
    </row>
    <row r="40" ht="15.75" customHeight="1">
      <c r="A40" s="4" t="s">
        <v>1543</v>
      </c>
      <c r="B40" s="4" t="s">
        <v>1440</v>
      </c>
      <c r="C40" s="5">
        <v>44012.0</v>
      </c>
      <c r="D40" s="4" t="s">
        <v>6</v>
      </c>
    </row>
    <row r="41" ht="15.75" customHeight="1">
      <c r="A41" s="4" t="s">
        <v>1543</v>
      </c>
      <c r="B41" s="4" t="s">
        <v>1644</v>
      </c>
      <c r="C41" s="5">
        <v>44012.0</v>
      </c>
      <c r="D41" s="4" t="s">
        <v>6</v>
      </c>
    </row>
    <row r="42" ht="15.75" customHeight="1">
      <c r="A42" s="4" t="s">
        <v>1543</v>
      </c>
      <c r="B42" s="4" t="s">
        <v>756</v>
      </c>
      <c r="C42" s="5">
        <v>44012.0</v>
      </c>
      <c r="D42" s="4" t="s">
        <v>6</v>
      </c>
    </row>
    <row r="43" ht="15.75" customHeight="1">
      <c r="A43" s="4" t="s">
        <v>1543</v>
      </c>
      <c r="B43" s="4" t="s">
        <v>1408</v>
      </c>
      <c r="C43" s="5">
        <v>44012.0</v>
      </c>
      <c r="D43" s="4" t="s">
        <v>6</v>
      </c>
    </row>
    <row r="44" ht="15.75" customHeight="1">
      <c r="A44" s="4" t="s">
        <v>1543</v>
      </c>
      <c r="B44" s="4" t="s">
        <v>1445</v>
      </c>
      <c r="C44" s="5">
        <v>44012.0</v>
      </c>
      <c r="D44" s="4" t="s">
        <v>6</v>
      </c>
    </row>
    <row r="45" ht="15.75" customHeight="1">
      <c r="A45" s="4" t="s">
        <v>1543</v>
      </c>
      <c r="B45" s="4" t="s">
        <v>1412</v>
      </c>
      <c r="C45" s="5">
        <v>44012.0</v>
      </c>
      <c r="D45" s="4" t="s">
        <v>6</v>
      </c>
    </row>
    <row r="46" ht="15.75" customHeight="1">
      <c r="A46" s="4" t="s">
        <v>1543</v>
      </c>
      <c r="B46" s="4" t="s">
        <v>1413</v>
      </c>
      <c r="C46" s="5">
        <v>44012.0</v>
      </c>
      <c r="D46" s="4" t="s">
        <v>6</v>
      </c>
    </row>
    <row r="47" ht="15.75" customHeight="1">
      <c r="A47" s="4" t="s">
        <v>1543</v>
      </c>
      <c r="B47" s="4" t="s">
        <v>1455</v>
      </c>
      <c r="C47" s="5">
        <v>44012.0</v>
      </c>
      <c r="D47" s="4" t="s">
        <v>6</v>
      </c>
    </row>
    <row r="48" ht="15.75" customHeight="1">
      <c r="A48" s="4" t="s">
        <v>1543</v>
      </c>
      <c r="B48" s="4" t="s">
        <v>1449</v>
      </c>
      <c r="C48" s="5">
        <v>44012.0</v>
      </c>
      <c r="D48" s="4" t="s">
        <v>6</v>
      </c>
    </row>
    <row r="49" ht="15.75" customHeight="1">
      <c r="A49" s="4" t="s">
        <v>1543</v>
      </c>
      <c r="B49" s="4" t="s">
        <v>1460</v>
      </c>
      <c r="C49" s="5">
        <v>44012.0</v>
      </c>
      <c r="D49" s="4" t="s">
        <v>6</v>
      </c>
    </row>
    <row r="50" ht="15.75" customHeight="1">
      <c r="A50" s="4" t="s">
        <v>1543</v>
      </c>
      <c r="B50" s="4" t="s">
        <v>1416</v>
      </c>
      <c r="C50" s="5">
        <v>44012.0</v>
      </c>
      <c r="D50" s="4" t="s">
        <v>6</v>
      </c>
      <c r="E50" s="17"/>
    </row>
    <row r="51" ht="15.75" customHeight="1">
      <c r="A51" s="4" t="s">
        <v>1543</v>
      </c>
      <c r="B51" s="4" t="s">
        <v>1417</v>
      </c>
      <c r="C51" s="5">
        <v>44012.0</v>
      </c>
      <c r="D51" s="4" t="s">
        <v>6</v>
      </c>
    </row>
    <row r="52" ht="15.75" customHeight="1">
      <c r="A52" s="4" t="s">
        <v>1543</v>
      </c>
      <c r="B52" s="4" t="s">
        <v>1418</v>
      </c>
      <c r="C52" s="5">
        <v>44012.0</v>
      </c>
      <c r="D52" s="4" t="s">
        <v>6</v>
      </c>
    </row>
    <row r="53" ht="15.75" customHeight="1">
      <c r="A53" s="4" t="s">
        <v>1543</v>
      </c>
      <c r="B53" s="4" t="s">
        <v>1683</v>
      </c>
      <c r="C53" s="5">
        <v>44012.0</v>
      </c>
      <c r="D53" s="4" t="s">
        <v>6</v>
      </c>
    </row>
    <row r="54" ht="15.75" customHeight="1">
      <c r="A54" s="4" t="s">
        <v>1543</v>
      </c>
      <c r="B54" s="4" t="s">
        <v>1552</v>
      </c>
      <c r="C54" s="5">
        <v>44012.0</v>
      </c>
      <c r="D54" s="4" t="s">
        <v>6</v>
      </c>
      <c r="E54" s="17"/>
    </row>
    <row r="55" ht="15.75" customHeight="1">
      <c r="A55" s="4" t="s">
        <v>1543</v>
      </c>
      <c r="B55" s="4" t="s">
        <v>1752</v>
      </c>
      <c r="C55" s="5">
        <v>44012.0</v>
      </c>
      <c r="D55" s="4" t="s">
        <v>6</v>
      </c>
    </row>
    <row r="56" ht="15.75" customHeight="1">
      <c r="A56" s="4" t="s">
        <v>1543</v>
      </c>
      <c r="B56" s="4" t="s">
        <v>1421</v>
      </c>
      <c r="C56" s="5">
        <v>44012.0</v>
      </c>
      <c r="D56" s="4" t="s">
        <v>6</v>
      </c>
    </row>
    <row r="57" ht="15.75" customHeight="1">
      <c r="A57" s="4" t="s">
        <v>1543</v>
      </c>
      <c r="B57" s="4" t="s">
        <v>1609</v>
      </c>
      <c r="C57" s="5">
        <v>44012.0</v>
      </c>
      <c r="D57" s="4" t="s">
        <v>6</v>
      </c>
      <c r="E57" s="17"/>
    </row>
    <row r="58" ht="15.75" customHeight="1">
      <c r="A58" s="4" t="s">
        <v>1543</v>
      </c>
      <c r="B58" s="4" t="s">
        <v>1476</v>
      </c>
      <c r="C58" s="5">
        <v>44012.0</v>
      </c>
      <c r="D58" s="4" t="s">
        <v>6</v>
      </c>
    </row>
    <row r="59" ht="15.75" customHeight="1">
      <c r="A59" s="4" t="s">
        <v>1543</v>
      </c>
      <c r="B59" s="4" t="s">
        <v>1554</v>
      </c>
      <c r="C59" s="5">
        <v>44012.0</v>
      </c>
      <c r="D59" s="4" t="s">
        <v>6</v>
      </c>
    </row>
    <row r="60" ht="15.75" customHeight="1">
      <c r="A60" s="4" t="s">
        <v>1543</v>
      </c>
      <c r="B60" s="4" t="s">
        <v>1574</v>
      </c>
      <c r="C60" s="5">
        <v>44012.0</v>
      </c>
      <c r="D60" s="4" t="s">
        <v>6</v>
      </c>
    </row>
    <row r="61" ht="15.75" customHeight="1">
      <c r="A61" s="4" t="s">
        <v>1543</v>
      </c>
      <c r="B61" s="4" t="s">
        <v>1491</v>
      </c>
      <c r="C61" s="5">
        <v>44012.0</v>
      </c>
      <c r="D61" s="4" t="s">
        <v>6</v>
      </c>
    </row>
    <row r="62" ht="15.75" customHeight="1">
      <c r="A62" s="4" t="s">
        <v>1543</v>
      </c>
      <c r="B62" s="4" t="s">
        <v>39</v>
      </c>
      <c r="C62" s="5">
        <v>44012.0</v>
      </c>
      <c r="D62" s="4" t="s">
        <v>6</v>
      </c>
      <c r="E62" s="17"/>
    </row>
    <row r="63" ht="15.75" customHeight="1">
      <c r="A63" s="4" t="s">
        <v>1543</v>
      </c>
      <c r="B63" s="4" t="s">
        <v>25</v>
      </c>
      <c r="C63" s="5">
        <v>44012.0</v>
      </c>
      <c r="D63" s="4" t="s">
        <v>6</v>
      </c>
      <c r="E63" s="17"/>
    </row>
    <row r="64" ht="15.75" customHeight="1">
      <c r="A64" s="4" t="s">
        <v>1543</v>
      </c>
      <c r="B64" s="4" t="s">
        <v>1381</v>
      </c>
      <c r="C64" s="5">
        <v>44012.0</v>
      </c>
      <c r="D64" s="4" t="s">
        <v>6</v>
      </c>
      <c r="E64" s="17"/>
    </row>
    <row r="65" ht="15.75" customHeight="1">
      <c r="A65" s="4" t="s">
        <v>1543</v>
      </c>
      <c r="B65" s="4" t="s">
        <v>1425</v>
      </c>
      <c r="C65" s="5">
        <v>44012.0</v>
      </c>
      <c r="D65" s="4" t="s">
        <v>6</v>
      </c>
      <c r="E65" s="17"/>
    </row>
    <row r="66" ht="15.75" customHeight="1">
      <c r="A66" s="4" t="s">
        <v>1543</v>
      </c>
      <c r="B66" s="4" t="s">
        <v>980</v>
      </c>
      <c r="C66" s="5">
        <v>44012.0</v>
      </c>
      <c r="D66" s="4" t="s">
        <v>6</v>
      </c>
    </row>
    <row r="67" ht="15.75" customHeight="1">
      <c r="A67" s="4" t="s">
        <v>1543</v>
      </c>
      <c r="B67" s="4" t="s">
        <v>36</v>
      </c>
      <c r="C67" s="5">
        <v>44012.0</v>
      </c>
      <c r="D67" s="4" t="s">
        <v>6</v>
      </c>
    </row>
    <row r="68" ht="15.75" customHeight="1">
      <c r="A68" s="4" t="s">
        <v>1543</v>
      </c>
      <c r="B68" s="4" t="s">
        <v>1428</v>
      </c>
      <c r="C68" s="5">
        <v>44012.0</v>
      </c>
      <c r="D68" s="4" t="s">
        <v>6</v>
      </c>
      <c r="E68" s="17"/>
    </row>
    <row r="69" ht="15.75" customHeight="1">
      <c r="A69" s="4" t="s">
        <v>1543</v>
      </c>
      <c r="B69" s="4" t="s">
        <v>1429</v>
      </c>
      <c r="C69" s="5">
        <v>44012.0</v>
      </c>
      <c r="D69" s="4" t="s">
        <v>6</v>
      </c>
    </row>
    <row r="70" ht="15.75" customHeight="1">
      <c r="A70" s="4" t="s">
        <v>1543</v>
      </c>
      <c r="B70" s="4" t="s">
        <v>1378</v>
      </c>
      <c r="C70" s="5">
        <v>44012.0</v>
      </c>
      <c r="D70" s="4" t="s">
        <v>6</v>
      </c>
    </row>
    <row r="71" ht="15.75" customHeight="1">
      <c r="A71" s="4" t="s">
        <v>1543</v>
      </c>
      <c r="B71" s="4" t="s">
        <v>262</v>
      </c>
      <c r="C71" s="5">
        <v>44012.0</v>
      </c>
      <c r="D71" s="4" t="s">
        <v>6</v>
      </c>
    </row>
    <row r="72" ht="15.75" customHeight="1">
      <c r="A72" s="4" t="s">
        <v>1543</v>
      </c>
      <c r="B72" s="4" t="s">
        <v>1528</v>
      </c>
      <c r="C72" s="5">
        <v>44012.0</v>
      </c>
      <c r="D72" s="4" t="s">
        <v>6</v>
      </c>
    </row>
    <row r="73" ht="15.75" customHeight="1">
      <c r="A73" s="4" t="s">
        <v>1543</v>
      </c>
      <c r="B73" s="4" t="s">
        <v>1434</v>
      </c>
      <c r="C73" s="5">
        <v>44012.0</v>
      </c>
      <c r="D73" s="4" t="s">
        <v>6</v>
      </c>
      <c r="E73" s="17"/>
    </row>
    <row r="74" ht="15.75" customHeight="1">
      <c r="A74" s="4" t="s">
        <v>1543</v>
      </c>
      <c r="B74" s="4" t="s">
        <v>1851</v>
      </c>
      <c r="C74" s="5">
        <v>44012.0</v>
      </c>
      <c r="D74" s="4" t="s">
        <v>6</v>
      </c>
    </row>
    <row r="75" ht="15.75" customHeight="1">
      <c r="A75" s="4" t="s">
        <v>1543</v>
      </c>
      <c r="B75" s="4" t="s">
        <v>1529</v>
      </c>
      <c r="C75" s="5">
        <v>44012.0</v>
      </c>
      <c r="D75" s="4" t="s">
        <v>6</v>
      </c>
    </row>
    <row r="76" ht="15.75" customHeight="1">
      <c r="A76" s="4" t="s">
        <v>1543</v>
      </c>
      <c r="B76" s="4" t="s">
        <v>1530</v>
      </c>
      <c r="C76" s="5">
        <v>44012.0</v>
      </c>
      <c r="D76" s="4" t="s">
        <v>6</v>
      </c>
      <c r="E76" s="17"/>
    </row>
    <row r="77" ht="15.75" customHeight="1">
      <c r="A77" s="4" t="s">
        <v>1543</v>
      </c>
      <c r="B77" s="4" t="s">
        <v>1790</v>
      </c>
      <c r="C77" s="5">
        <v>44012.0</v>
      </c>
      <c r="D77" s="4" t="s">
        <v>21</v>
      </c>
    </row>
    <row r="78" ht="15.75" customHeight="1">
      <c r="A78" s="4" t="s">
        <v>1543</v>
      </c>
      <c r="B78" s="4" t="s">
        <v>240</v>
      </c>
      <c r="C78" s="5">
        <v>44012.0</v>
      </c>
      <c r="D78" s="4" t="s">
        <v>6</v>
      </c>
      <c r="E78" s="17"/>
    </row>
    <row r="79" ht="15.75" customHeight="1">
      <c r="A79" s="4" t="s">
        <v>1543</v>
      </c>
      <c r="B79" s="4" t="s">
        <v>473</v>
      </c>
      <c r="C79" s="5">
        <v>44012.0</v>
      </c>
      <c r="D79" s="4" t="s">
        <v>6</v>
      </c>
      <c r="E79" s="17"/>
    </row>
    <row r="80" ht="15.75" customHeight="1">
      <c r="A80" s="4" t="s">
        <v>1543</v>
      </c>
      <c r="B80" s="4" t="s">
        <v>1464</v>
      </c>
      <c r="C80" s="5">
        <v>44012.0</v>
      </c>
      <c r="D80" s="4" t="s">
        <v>6</v>
      </c>
      <c r="E80" s="17"/>
    </row>
    <row r="81" ht="15.75" customHeight="1">
      <c r="A81" s="4" t="s">
        <v>1543</v>
      </c>
      <c r="B81" s="4" t="s">
        <v>1537</v>
      </c>
      <c r="C81" s="5">
        <v>44012.0</v>
      </c>
      <c r="D81" s="4" t="s">
        <v>6</v>
      </c>
    </row>
    <row r="82" ht="15.75" customHeight="1">
      <c r="A82" s="4" t="s">
        <v>1543</v>
      </c>
      <c r="B82" s="4" t="s">
        <v>1478</v>
      </c>
      <c r="C82" s="5">
        <v>44010.0</v>
      </c>
      <c r="D82" s="4" t="s">
        <v>6</v>
      </c>
    </row>
    <row r="83" ht="15.75" customHeight="1">
      <c r="A83" s="4" t="s">
        <v>1543</v>
      </c>
      <c r="B83" s="4" t="s">
        <v>1479</v>
      </c>
      <c r="C83" s="5">
        <v>44007.0</v>
      </c>
      <c r="D83" s="4" t="s">
        <v>6</v>
      </c>
    </row>
    <row r="84" ht="15.75" customHeight="1">
      <c r="A84" s="4" t="s">
        <v>1543</v>
      </c>
      <c r="B84" s="4" t="s">
        <v>14</v>
      </c>
      <c r="C84" s="5">
        <v>44006.0</v>
      </c>
      <c r="D84" s="4" t="s">
        <v>15</v>
      </c>
    </row>
    <row r="85" ht="15.75" customHeight="1">
      <c r="A85" s="4" t="s">
        <v>1543</v>
      </c>
      <c r="B85" s="4" t="s">
        <v>1462</v>
      </c>
      <c r="C85" s="5">
        <v>44001.0</v>
      </c>
      <c r="D85" s="4" t="s">
        <v>6</v>
      </c>
      <c r="E85" s="17"/>
    </row>
    <row r="86" ht="15.75" customHeight="1">
      <c r="A86" s="4" t="s">
        <v>1543</v>
      </c>
      <c r="B86" s="4" t="s">
        <v>1463</v>
      </c>
      <c r="C86" s="5">
        <v>44001.0</v>
      </c>
      <c r="D86" s="4" t="s">
        <v>6</v>
      </c>
      <c r="E86" s="17"/>
    </row>
    <row r="87" ht="15.75" customHeight="1">
      <c r="A87" s="4" t="s">
        <v>1543</v>
      </c>
      <c r="B87" s="4" t="s">
        <v>1875</v>
      </c>
      <c r="C87" s="5">
        <v>44000.0</v>
      </c>
      <c r="D87" s="4" t="s">
        <v>21</v>
      </c>
    </row>
    <row r="88" ht="15.75" customHeight="1">
      <c r="A88" s="4" t="s">
        <v>1543</v>
      </c>
      <c r="B88" s="4" t="s">
        <v>1507</v>
      </c>
      <c r="C88" s="5">
        <v>44000.0</v>
      </c>
      <c r="D88" s="4" t="s">
        <v>21</v>
      </c>
      <c r="E88" s="17"/>
    </row>
    <row r="89" ht="15.75" customHeight="1">
      <c r="A89" s="4" t="s">
        <v>1543</v>
      </c>
      <c r="B89" s="4" t="s">
        <v>1503</v>
      </c>
      <c r="C89" s="5">
        <v>44000.0</v>
      </c>
      <c r="D89" s="4" t="s">
        <v>15</v>
      </c>
      <c r="E89" s="17"/>
    </row>
    <row r="90" ht="15.75" customHeight="1">
      <c r="A90" s="4" t="s">
        <v>1543</v>
      </c>
      <c r="B90" s="4" t="s">
        <v>856</v>
      </c>
      <c r="C90" s="5">
        <v>44000.0</v>
      </c>
      <c r="D90" s="4" t="s">
        <v>4</v>
      </c>
    </row>
    <row r="91" ht="15.75" customHeight="1">
      <c r="A91" s="4" t="s">
        <v>1543</v>
      </c>
      <c r="B91" s="4" t="s">
        <v>1510</v>
      </c>
      <c r="C91" s="5">
        <v>44000.0</v>
      </c>
      <c r="D91" s="4" t="s">
        <v>4</v>
      </c>
    </row>
    <row r="92" ht="15.75" customHeight="1">
      <c r="A92" s="4" t="s">
        <v>1543</v>
      </c>
      <c r="B92" s="4" t="s">
        <v>1869</v>
      </c>
      <c r="C92" s="5">
        <v>44000.0</v>
      </c>
      <c r="D92" s="4" t="s">
        <v>6</v>
      </c>
    </row>
    <row r="93" ht="15.75" customHeight="1">
      <c r="A93" s="4" t="s">
        <v>1543</v>
      </c>
      <c r="B93" s="4" t="s">
        <v>1513</v>
      </c>
      <c r="C93" s="5">
        <v>43999.0</v>
      </c>
      <c r="D93" s="4" t="s">
        <v>6</v>
      </c>
    </row>
    <row r="94" ht="15.75" customHeight="1">
      <c r="A94" s="4" t="s">
        <v>1543</v>
      </c>
      <c r="B94" s="4" t="s">
        <v>1502</v>
      </c>
      <c r="C94" s="5">
        <v>43997.0</v>
      </c>
      <c r="D94" s="4" t="s">
        <v>6</v>
      </c>
    </row>
    <row r="95" ht="15.75" customHeight="1">
      <c r="A95" s="4" t="s">
        <v>1543</v>
      </c>
      <c r="B95" s="4" t="s">
        <v>1505</v>
      </c>
      <c r="C95" s="5">
        <v>43997.0</v>
      </c>
      <c r="D95" s="4" t="s">
        <v>6</v>
      </c>
      <c r="E95" s="17"/>
    </row>
    <row r="96" ht="15.75" customHeight="1">
      <c r="A96" s="4" t="s">
        <v>1543</v>
      </c>
      <c r="B96" s="4" t="s">
        <v>1508</v>
      </c>
      <c r="C96" s="5">
        <v>43997.0</v>
      </c>
      <c r="D96" s="4" t="s">
        <v>6</v>
      </c>
    </row>
    <row r="97" ht="15.75" customHeight="1">
      <c r="A97" s="4" t="s">
        <v>1543</v>
      </c>
      <c r="B97" s="12" t="s">
        <v>1461</v>
      </c>
      <c r="C97" s="13">
        <v>43997.0</v>
      </c>
      <c r="D97" s="12" t="s">
        <v>4</v>
      </c>
    </row>
    <row r="98" ht="15.75" customHeight="1">
      <c r="A98" s="4" t="s">
        <v>1543</v>
      </c>
      <c r="B98" s="4" t="s">
        <v>1515</v>
      </c>
      <c r="C98" s="5">
        <v>43990.0</v>
      </c>
      <c r="D98" s="4" t="s">
        <v>6</v>
      </c>
    </row>
    <row r="99" ht="15.75" customHeight="1">
      <c r="A99" s="4" t="s">
        <v>1543</v>
      </c>
      <c r="B99" s="4" t="s">
        <v>1520</v>
      </c>
      <c r="C99" s="5">
        <v>43986.0</v>
      </c>
      <c r="D99" s="4" t="s">
        <v>6</v>
      </c>
      <c r="E99" s="17"/>
    </row>
    <row r="100" ht="15.75" customHeight="1">
      <c r="A100" s="4" t="s">
        <v>1543</v>
      </c>
      <c r="B100" s="4" t="s">
        <v>1538</v>
      </c>
      <c r="C100" s="5">
        <v>43986.0</v>
      </c>
      <c r="D100" s="4" t="s">
        <v>6</v>
      </c>
    </row>
    <row r="101" ht="15.75" customHeight="1">
      <c r="A101" s="4" t="s">
        <v>1543</v>
      </c>
      <c r="B101" s="4" t="s">
        <v>1761</v>
      </c>
      <c r="C101" s="5">
        <v>43985.0</v>
      </c>
      <c r="D101" s="4" t="s">
        <v>21</v>
      </c>
    </row>
    <row r="102" ht="15.75" customHeight="1">
      <c r="A102" s="4" t="s">
        <v>1543</v>
      </c>
      <c r="B102" s="4" t="s">
        <v>1972</v>
      </c>
      <c r="C102" s="5">
        <v>43985.0</v>
      </c>
      <c r="D102" s="4" t="s">
        <v>6</v>
      </c>
    </row>
    <row r="103" ht="15.75" customHeight="1">
      <c r="A103" s="4" t="s">
        <v>1543</v>
      </c>
      <c r="B103" s="4" t="s">
        <v>1970</v>
      </c>
      <c r="C103" s="5">
        <v>43985.0</v>
      </c>
      <c r="D103" s="4" t="s">
        <v>6</v>
      </c>
    </row>
    <row r="104" ht="15.75" customHeight="1">
      <c r="A104" s="4" t="s">
        <v>1543</v>
      </c>
      <c r="B104" s="4" t="s">
        <v>1523</v>
      </c>
      <c r="C104" s="5">
        <v>43985.0</v>
      </c>
      <c r="D104" s="4" t="s">
        <v>21</v>
      </c>
    </row>
    <row r="105" ht="15.75" customHeight="1">
      <c r="A105" s="4" t="s">
        <v>1543</v>
      </c>
      <c r="B105" s="4" t="s">
        <v>1329</v>
      </c>
      <c r="C105" s="5">
        <v>43983.0</v>
      </c>
      <c r="D105" s="4" t="s">
        <v>21</v>
      </c>
      <c r="E105" s="17"/>
    </row>
    <row r="106" ht="15.75" customHeight="1">
      <c r="A106" s="4" t="s">
        <v>1543</v>
      </c>
      <c r="B106" s="4" t="s">
        <v>840</v>
      </c>
      <c r="C106" s="5">
        <v>43983.0</v>
      </c>
      <c r="D106" s="4" t="s">
        <v>4</v>
      </c>
      <c r="E106" s="17"/>
    </row>
    <row r="107" ht="15.75" customHeight="1">
      <c r="A107" s="4" t="s">
        <v>1543</v>
      </c>
      <c r="B107" s="4" t="s">
        <v>944</v>
      </c>
      <c r="C107" s="5">
        <v>43976.0</v>
      </c>
      <c r="D107" s="4" t="s">
        <v>6</v>
      </c>
    </row>
    <row r="108" ht="15.75" customHeight="1">
      <c r="A108" s="4" t="s">
        <v>1543</v>
      </c>
      <c r="B108" s="4" t="s">
        <v>1347</v>
      </c>
      <c r="C108" s="5">
        <v>43976.0</v>
      </c>
      <c r="D108" s="4" t="s">
        <v>6</v>
      </c>
    </row>
    <row r="109" ht="15.75" customHeight="1">
      <c r="A109" s="4" t="s">
        <v>1543</v>
      </c>
      <c r="B109" s="4" t="s">
        <v>1346</v>
      </c>
      <c r="C109" s="5">
        <v>43975.0</v>
      </c>
      <c r="D109" s="4" t="s">
        <v>6</v>
      </c>
      <c r="E109" s="17"/>
    </row>
    <row r="110" ht="15.75" customHeight="1">
      <c r="A110" s="4" t="s">
        <v>1543</v>
      </c>
      <c r="B110" s="4" t="s">
        <v>71</v>
      </c>
      <c r="C110" s="5">
        <v>43975.0</v>
      </c>
      <c r="D110" s="4" t="s">
        <v>6</v>
      </c>
      <c r="E110" s="17"/>
    </row>
    <row r="111" ht="15.75" customHeight="1">
      <c r="A111" s="4" t="s">
        <v>1543</v>
      </c>
      <c r="B111" s="4" t="s">
        <v>926</v>
      </c>
      <c r="C111" s="5">
        <v>43974.0</v>
      </c>
      <c r="D111" s="4" t="s">
        <v>6</v>
      </c>
    </row>
    <row r="112" ht="15.75" customHeight="1">
      <c r="A112" s="4" t="s">
        <v>1543</v>
      </c>
      <c r="B112" s="4" t="s">
        <v>1334</v>
      </c>
      <c r="C112" s="5">
        <v>43974.0</v>
      </c>
      <c r="D112" s="4" t="s">
        <v>6</v>
      </c>
    </row>
    <row r="113" ht="15.75" customHeight="1">
      <c r="A113" s="4" t="s">
        <v>1543</v>
      </c>
      <c r="B113" s="4" t="s">
        <v>920</v>
      </c>
      <c r="C113" s="5">
        <v>43973.0</v>
      </c>
      <c r="D113" s="4" t="s">
        <v>6</v>
      </c>
      <c r="E113" s="17"/>
    </row>
    <row r="114" ht="15.75" customHeight="1">
      <c r="A114" s="4" t="s">
        <v>1543</v>
      </c>
      <c r="B114" s="4" t="s">
        <v>917</v>
      </c>
      <c r="C114" s="5">
        <v>43973.0</v>
      </c>
      <c r="D114" s="4" t="s">
        <v>6</v>
      </c>
      <c r="E114" s="17"/>
    </row>
    <row r="115" ht="15.75" customHeight="1">
      <c r="A115" s="4" t="s">
        <v>1543</v>
      </c>
      <c r="B115" s="4" t="s">
        <v>1458</v>
      </c>
      <c r="C115" s="5">
        <v>43972.0</v>
      </c>
      <c r="D115" s="4" t="s">
        <v>6</v>
      </c>
    </row>
    <row r="116" ht="15.75" customHeight="1">
      <c r="A116" s="4" t="s">
        <v>1543</v>
      </c>
      <c r="B116" s="4" t="s">
        <v>1444</v>
      </c>
      <c r="C116" s="5">
        <v>43972.0</v>
      </c>
      <c r="D116" s="4" t="s">
        <v>4</v>
      </c>
      <c r="E116" s="17"/>
    </row>
    <row r="117" ht="15.75" customHeight="1">
      <c r="A117" s="4" t="s">
        <v>1543</v>
      </c>
      <c r="B117" s="4" t="s">
        <v>1499</v>
      </c>
      <c r="C117" s="5">
        <v>43972.0</v>
      </c>
      <c r="D117" s="4" t="s">
        <v>6</v>
      </c>
      <c r="E117" s="17"/>
    </row>
    <row r="118" ht="15.75" customHeight="1">
      <c r="A118" s="4" t="s">
        <v>1543</v>
      </c>
      <c r="B118" s="4" t="s">
        <v>1443</v>
      </c>
      <c r="C118" s="5">
        <v>43972.0</v>
      </c>
      <c r="D118" s="4" t="s">
        <v>4</v>
      </c>
    </row>
    <row r="119" ht="15.75" customHeight="1">
      <c r="A119" s="4" t="s">
        <v>1543</v>
      </c>
      <c r="B119" s="4" t="s">
        <v>1331</v>
      </c>
      <c r="C119" s="5">
        <v>43971.0</v>
      </c>
      <c r="D119" s="4" t="s">
        <v>21</v>
      </c>
    </row>
    <row r="120" ht="15.75" customHeight="1">
      <c r="A120" s="4" t="s">
        <v>1543</v>
      </c>
      <c r="B120" s="4" t="s">
        <v>241</v>
      </c>
      <c r="C120" s="5">
        <v>43971.0</v>
      </c>
      <c r="D120" s="4" t="s">
        <v>6</v>
      </c>
      <c r="E120" s="17"/>
    </row>
    <row r="121" ht="15.75" customHeight="1">
      <c r="A121" s="4" t="s">
        <v>1543</v>
      </c>
      <c r="B121" s="4" t="s">
        <v>41</v>
      </c>
      <c r="C121" s="5">
        <v>43971.0</v>
      </c>
      <c r="D121" s="4" t="s">
        <v>6</v>
      </c>
      <c r="E121" s="17"/>
    </row>
    <row r="122" ht="15.75" customHeight="1">
      <c r="A122" s="4" t="s">
        <v>1543</v>
      </c>
      <c r="B122" s="4" t="s">
        <v>42</v>
      </c>
      <c r="C122" s="5">
        <v>43971.0</v>
      </c>
      <c r="D122" s="4" t="s">
        <v>6</v>
      </c>
      <c r="E122" s="17"/>
    </row>
    <row r="123" ht="15.75" customHeight="1">
      <c r="A123" s="4" t="s">
        <v>1543</v>
      </c>
      <c r="B123" s="4" t="s">
        <v>1939</v>
      </c>
      <c r="C123" s="5">
        <v>43971.0</v>
      </c>
      <c r="D123" s="4" t="s">
        <v>6</v>
      </c>
      <c r="E123" s="17"/>
    </row>
    <row r="124" ht="15.75" customHeight="1">
      <c r="A124" s="4" t="s">
        <v>1543</v>
      </c>
      <c r="B124" s="4" t="s">
        <v>1977</v>
      </c>
      <c r="C124" s="5">
        <v>43970.0</v>
      </c>
      <c r="D124" s="4" t="s">
        <v>6</v>
      </c>
    </row>
    <row r="125" ht="15.75" customHeight="1">
      <c r="A125" s="4" t="s">
        <v>1543</v>
      </c>
      <c r="B125" s="4" t="s">
        <v>1975</v>
      </c>
      <c r="C125" s="5">
        <v>43969.0</v>
      </c>
      <c r="D125" s="4" t="s">
        <v>6</v>
      </c>
    </row>
    <row r="126" ht="15.75" customHeight="1">
      <c r="A126" s="4" t="s">
        <v>1543</v>
      </c>
      <c r="B126" s="4" t="s">
        <v>43</v>
      </c>
      <c r="C126" s="5">
        <v>43969.0</v>
      </c>
      <c r="D126" s="4" t="s">
        <v>4</v>
      </c>
    </row>
    <row r="127" ht="15.75" customHeight="1">
      <c r="A127" s="4" t="s">
        <v>1543</v>
      </c>
      <c r="B127" s="4" t="s">
        <v>1799</v>
      </c>
      <c r="C127" s="5">
        <v>43969.0</v>
      </c>
      <c r="D127" s="4" t="s">
        <v>6</v>
      </c>
    </row>
    <row r="128" ht="15.75" customHeight="1">
      <c r="A128" s="4" t="s">
        <v>1543</v>
      </c>
      <c r="B128" s="4" t="s">
        <v>40</v>
      </c>
      <c r="C128" s="5">
        <v>43969.0</v>
      </c>
      <c r="D128" s="4" t="s">
        <v>6</v>
      </c>
      <c r="E128" s="17"/>
    </row>
    <row r="129" ht="15.75" customHeight="1">
      <c r="A129" s="4" t="s">
        <v>1543</v>
      </c>
      <c r="B129" s="4" t="s">
        <v>1945</v>
      </c>
      <c r="C129" s="5">
        <v>43967.0</v>
      </c>
      <c r="D129" s="4" t="s">
        <v>21</v>
      </c>
    </row>
    <row r="130" ht="15.75" customHeight="1">
      <c r="A130" s="4" t="s">
        <v>1543</v>
      </c>
      <c r="B130" s="4" t="s">
        <v>1471</v>
      </c>
      <c r="C130" s="5">
        <v>43965.0</v>
      </c>
      <c r="D130" s="4" t="s">
        <v>6</v>
      </c>
    </row>
    <row r="131" ht="15.75" customHeight="1">
      <c r="A131" s="4" t="s">
        <v>1543</v>
      </c>
      <c r="B131" s="4" t="s">
        <v>1474</v>
      </c>
      <c r="C131" s="5">
        <v>43962.0</v>
      </c>
      <c r="D131" s="4" t="s">
        <v>6</v>
      </c>
    </row>
    <row r="132" ht="15.75" customHeight="1">
      <c r="A132" s="4" t="s">
        <v>1543</v>
      </c>
      <c r="B132" s="4" t="s">
        <v>1942</v>
      </c>
      <c r="C132" s="5">
        <v>43962.0</v>
      </c>
      <c r="D132" s="4" t="s">
        <v>6</v>
      </c>
    </row>
    <row r="133" ht="15.75" customHeight="1">
      <c r="A133" s="4" t="s">
        <v>1543</v>
      </c>
      <c r="B133" s="4" t="s">
        <v>1517</v>
      </c>
      <c r="C133" s="5">
        <v>43961.0</v>
      </c>
      <c r="D133" s="4" t="s">
        <v>6</v>
      </c>
    </row>
    <row r="134" ht="15.75" customHeight="1">
      <c r="A134" s="4" t="s">
        <v>1543</v>
      </c>
      <c r="B134" s="4" t="s">
        <v>38</v>
      </c>
      <c r="C134" s="5">
        <v>43961.0</v>
      </c>
      <c r="D134" s="4" t="s">
        <v>6</v>
      </c>
      <c r="E134" s="17"/>
    </row>
    <row r="135" ht="15.75" customHeight="1">
      <c r="A135" s="4" t="s">
        <v>1543</v>
      </c>
      <c r="B135" s="4" t="s">
        <v>675</v>
      </c>
      <c r="C135" s="5">
        <v>43957.0</v>
      </c>
      <c r="D135" s="4" t="s">
        <v>6</v>
      </c>
      <c r="E135" s="17"/>
    </row>
    <row r="136" ht="15.75" customHeight="1">
      <c r="A136" s="4" t="s">
        <v>1543</v>
      </c>
      <c r="B136" s="4" t="s">
        <v>1494</v>
      </c>
      <c r="C136" s="5">
        <v>43954.0</v>
      </c>
      <c r="D136" s="4" t="s">
        <v>4</v>
      </c>
    </row>
    <row r="137" ht="15.75" customHeight="1">
      <c r="A137" s="4" t="s">
        <v>1543</v>
      </c>
      <c r="B137" s="4" t="s">
        <v>1531</v>
      </c>
      <c r="C137" s="5">
        <v>43952.0</v>
      </c>
      <c r="D137" s="4" t="s">
        <v>4</v>
      </c>
    </row>
    <row r="138" ht="15.75" customHeight="1">
      <c r="A138" s="4" t="s">
        <v>1543</v>
      </c>
      <c r="B138" s="4" t="s">
        <v>1492</v>
      </c>
      <c r="C138" s="5">
        <v>43952.0</v>
      </c>
      <c r="D138" s="4" t="s">
        <v>6</v>
      </c>
    </row>
    <row r="139" ht="15.75" customHeight="1">
      <c r="A139" s="4" t="s">
        <v>1543</v>
      </c>
      <c r="B139" s="4" t="s">
        <v>1496</v>
      </c>
      <c r="C139" s="5">
        <v>43951.0</v>
      </c>
      <c r="D139" s="4" t="s">
        <v>6</v>
      </c>
    </row>
    <row r="140" ht="15.75" customHeight="1">
      <c r="A140" s="4" t="s">
        <v>1543</v>
      </c>
      <c r="B140" s="4" t="s">
        <v>1497</v>
      </c>
      <c r="C140" s="5">
        <v>43951.0</v>
      </c>
      <c r="D140" s="4" t="s">
        <v>6</v>
      </c>
      <c r="E140" s="17"/>
    </row>
    <row r="141" ht="15.75" customHeight="1">
      <c r="A141" s="4" t="s">
        <v>1543</v>
      </c>
      <c r="B141" s="4" t="s">
        <v>1498</v>
      </c>
      <c r="C141" s="5">
        <v>43951.0</v>
      </c>
      <c r="D141" s="4" t="s">
        <v>6</v>
      </c>
      <c r="E141" s="17"/>
    </row>
    <row r="142" ht="15.75" customHeight="1">
      <c r="A142" s="4" t="s">
        <v>1543</v>
      </c>
      <c r="B142" s="4" t="s">
        <v>1504</v>
      </c>
      <c r="C142" s="5">
        <v>43950.0</v>
      </c>
      <c r="D142" s="4" t="s">
        <v>4</v>
      </c>
    </row>
    <row r="143" ht="15.75" customHeight="1">
      <c r="A143" s="4" t="s">
        <v>1543</v>
      </c>
      <c r="B143" s="4" t="s">
        <v>586</v>
      </c>
      <c r="C143" s="5">
        <v>43950.0</v>
      </c>
      <c r="D143" s="4" t="s">
        <v>4</v>
      </c>
    </row>
    <row r="144" ht="15.75" customHeight="1">
      <c r="A144" s="4" t="s">
        <v>1543</v>
      </c>
      <c r="B144" s="4" t="s">
        <v>32</v>
      </c>
      <c r="C144" s="5">
        <v>43950.0</v>
      </c>
      <c r="D144" s="4" t="s">
        <v>6</v>
      </c>
    </row>
    <row r="145" ht="15.75" customHeight="1">
      <c r="A145" s="4" t="s">
        <v>1543</v>
      </c>
      <c r="B145" s="4" t="s">
        <v>1414</v>
      </c>
      <c r="C145" s="5">
        <v>43950.0</v>
      </c>
      <c r="D145" s="4" t="s">
        <v>6</v>
      </c>
    </row>
    <row r="146" ht="15.75" customHeight="1">
      <c r="A146" s="4" t="s">
        <v>1543</v>
      </c>
      <c r="B146" s="4" t="s">
        <v>1509</v>
      </c>
      <c r="C146" s="5">
        <v>43950.0</v>
      </c>
      <c r="D146" s="4" t="s">
        <v>6</v>
      </c>
    </row>
    <row r="147" ht="15.75" customHeight="1">
      <c r="A147" s="4" t="s">
        <v>1543</v>
      </c>
      <c r="B147" s="4" t="s">
        <v>1807</v>
      </c>
      <c r="C147" s="5">
        <v>43950.0</v>
      </c>
      <c r="D147" s="4" t="s">
        <v>21</v>
      </c>
    </row>
    <row r="148" ht="15.75" customHeight="1">
      <c r="A148" s="4" t="s">
        <v>1543</v>
      </c>
      <c r="B148" s="4" t="s">
        <v>28</v>
      </c>
      <c r="C148" s="5">
        <v>43950.0</v>
      </c>
      <c r="D148" s="4" t="s">
        <v>4</v>
      </c>
    </row>
    <row r="149" ht="15.75" customHeight="1">
      <c r="A149" s="4" t="s">
        <v>1543</v>
      </c>
      <c r="B149" s="4" t="s">
        <v>31</v>
      </c>
      <c r="C149" s="5">
        <v>43950.0</v>
      </c>
      <c r="D149" s="4" t="s">
        <v>4</v>
      </c>
      <c r="E149" s="17"/>
    </row>
    <row r="150" ht="15.75" customHeight="1">
      <c r="A150" s="4" t="s">
        <v>1543</v>
      </c>
      <c r="B150" s="4" t="s">
        <v>1427</v>
      </c>
      <c r="C150" s="5">
        <v>43950.0</v>
      </c>
      <c r="D150" s="4" t="s">
        <v>4</v>
      </c>
    </row>
    <row r="151" ht="15.75" customHeight="1">
      <c r="A151" s="4" t="s">
        <v>1543</v>
      </c>
      <c r="B151" s="4" t="s">
        <v>1902</v>
      </c>
      <c r="C151" s="5">
        <v>43950.0</v>
      </c>
      <c r="D151" s="4" t="s">
        <v>6</v>
      </c>
      <c r="E151" s="17"/>
    </row>
    <row r="152" ht="15.75" customHeight="1">
      <c r="A152" s="4" t="s">
        <v>1543</v>
      </c>
      <c r="B152" s="4" t="s">
        <v>1446</v>
      </c>
      <c r="C152" s="5">
        <v>43950.0</v>
      </c>
      <c r="D152" s="4" t="s">
        <v>4</v>
      </c>
      <c r="E152" s="17"/>
    </row>
    <row r="153" ht="15.75" customHeight="1">
      <c r="A153" s="4" t="s">
        <v>1543</v>
      </c>
      <c r="B153" s="4" t="s">
        <v>1335</v>
      </c>
      <c r="C153" s="5">
        <v>43950.0</v>
      </c>
      <c r="D153" s="4" t="s">
        <v>6</v>
      </c>
      <c r="E153" s="17"/>
    </row>
    <row r="154" ht="15.75" customHeight="1">
      <c r="A154" s="4" t="s">
        <v>1543</v>
      </c>
      <c r="B154" s="12" t="s">
        <v>1523</v>
      </c>
      <c r="C154" s="13">
        <v>43950.0</v>
      </c>
      <c r="D154" s="12" t="s">
        <v>21</v>
      </c>
    </row>
    <row r="155" ht="15.75" customHeight="1">
      <c r="A155" s="4" t="s">
        <v>1543</v>
      </c>
      <c r="B155" s="4" t="s">
        <v>19</v>
      </c>
      <c r="C155" s="5">
        <v>43947.0</v>
      </c>
      <c r="D155" s="4" t="s">
        <v>6</v>
      </c>
    </row>
    <row r="156" ht="15.75" customHeight="1">
      <c r="A156" s="4" t="s">
        <v>1543</v>
      </c>
      <c r="B156" s="4" t="s">
        <v>33</v>
      </c>
      <c r="C156" s="5">
        <v>43944.0</v>
      </c>
      <c r="D156" s="4" t="s">
        <v>6</v>
      </c>
      <c r="E156" s="17"/>
    </row>
    <row r="157" ht="15.75" customHeight="1">
      <c r="A157" s="4" t="s">
        <v>1543</v>
      </c>
      <c r="B157" s="4" t="s">
        <v>1489</v>
      </c>
      <c r="C157" s="5">
        <v>43944.0</v>
      </c>
      <c r="D157" s="4" t="s">
        <v>6</v>
      </c>
    </row>
    <row r="158" ht="15.75" customHeight="1">
      <c r="A158" s="4" t="s">
        <v>1543</v>
      </c>
      <c r="B158" s="4" t="s">
        <v>27</v>
      </c>
      <c r="C158" s="5">
        <v>43944.0</v>
      </c>
      <c r="D158" s="4" t="s">
        <v>6</v>
      </c>
    </row>
    <row r="159" ht="15.75" customHeight="1">
      <c r="A159" s="4" t="s">
        <v>1543</v>
      </c>
      <c r="B159" s="4" t="s">
        <v>22</v>
      </c>
      <c r="C159" s="5">
        <v>43944.0</v>
      </c>
      <c r="D159" s="4" t="s">
        <v>6</v>
      </c>
      <c r="E159" s="17"/>
    </row>
    <row r="160" ht="15.75" customHeight="1">
      <c r="A160" s="4" t="s">
        <v>1543</v>
      </c>
      <c r="B160" s="4" t="s">
        <v>1490</v>
      </c>
      <c r="C160" s="5">
        <v>43944.0</v>
      </c>
      <c r="D160" s="4" t="s">
        <v>4</v>
      </c>
      <c r="E160" s="17"/>
    </row>
    <row r="161" ht="15.75" customHeight="1">
      <c r="A161" s="4" t="s">
        <v>1543</v>
      </c>
      <c r="B161" s="4" t="s">
        <v>1907</v>
      </c>
      <c r="C161" s="5">
        <v>43944.0</v>
      </c>
      <c r="D161" s="4" t="s">
        <v>6</v>
      </c>
      <c r="E161" s="17"/>
    </row>
    <row r="162" ht="15.75" customHeight="1">
      <c r="A162" s="4" t="s">
        <v>1543</v>
      </c>
      <c r="B162" s="4" t="s">
        <v>1905</v>
      </c>
      <c r="C162" s="5">
        <v>43943.0</v>
      </c>
      <c r="D162" s="4" t="s">
        <v>6</v>
      </c>
    </row>
    <row r="163" ht="15.75" customHeight="1">
      <c r="A163" s="4" t="s">
        <v>1543</v>
      </c>
      <c r="B163" s="4" t="s">
        <v>1997</v>
      </c>
      <c r="C163" s="5">
        <v>43942.0</v>
      </c>
      <c r="D163" s="4" t="s">
        <v>6</v>
      </c>
      <c r="E163" s="17"/>
    </row>
    <row r="164" ht="15.75" customHeight="1">
      <c r="A164" s="4" t="s">
        <v>1543</v>
      </c>
      <c r="B164" s="4" t="s">
        <v>639</v>
      </c>
      <c r="C164" s="5">
        <v>43941.0</v>
      </c>
      <c r="D164" s="4" t="s">
        <v>21</v>
      </c>
      <c r="E164" s="17"/>
    </row>
    <row r="165" ht="15.75" customHeight="1">
      <c r="A165" s="4" t="s">
        <v>1543</v>
      </c>
      <c r="B165" s="4" t="s">
        <v>907</v>
      </c>
      <c r="C165" s="5">
        <v>43941.0</v>
      </c>
      <c r="D165" s="4" t="s">
        <v>21</v>
      </c>
      <c r="E165" s="17"/>
    </row>
    <row r="166" ht="15.75" customHeight="1">
      <c r="A166" s="4" t="s">
        <v>1543</v>
      </c>
      <c r="B166" s="4" t="s">
        <v>1932</v>
      </c>
      <c r="C166" s="5">
        <v>43941.0</v>
      </c>
      <c r="D166" s="4" t="s">
        <v>6</v>
      </c>
      <c r="E166" s="17"/>
    </row>
    <row r="167" ht="15.75" customHeight="1">
      <c r="A167" s="4" t="s">
        <v>1543</v>
      </c>
      <c r="B167" s="4" t="s">
        <v>1532</v>
      </c>
      <c r="C167" s="5">
        <v>43940.0</v>
      </c>
      <c r="D167" s="4" t="s">
        <v>4</v>
      </c>
    </row>
    <row r="168" ht="15.75" customHeight="1">
      <c r="A168" s="4" t="s">
        <v>1543</v>
      </c>
      <c r="B168" s="4" t="s">
        <v>1512</v>
      </c>
      <c r="C168" s="5">
        <v>43938.0</v>
      </c>
      <c r="D168" s="4" t="s">
        <v>6</v>
      </c>
      <c r="E168" s="17"/>
    </row>
    <row r="169" ht="15.75" customHeight="1">
      <c r="A169" s="4" t="s">
        <v>1543</v>
      </c>
      <c r="B169" s="4" t="s">
        <v>1519</v>
      </c>
      <c r="C169" s="5">
        <v>43937.0</v>
      </c>
      <c r="D169" s="4" t="s">
        <v>6</v>
      </c>
      <c r="E169" s="17"/>
    </row>
    <row r="170" ht="15.75" customHeight="1">
      <c r="A170" s="4" t="s">
        <v>1543</v>
      </c>
      <c r="B170" s="4" t="s">
        <v>18</v>
      </c>
      <c r="C170" s="5">
        <v>43937.0</v>
      </c>
      <c r="D170" s="4" t="s">
        <v>6</v>
      </c>
    </row>
    <row r="171" ht="15.75" customHeight="1">
      <c r="A171" s="4" t="s">
        <v>1543</v>
      </c>
      <c r="B171" s="4" t="s">
        <v>1488</v>
      </c>
      <c r="C171" s="5">
        <v>43937.0</v>
      </c>
      <c r="D171" s="4" t="s">
        <v>6</v>
      </c>
      <c r="E171" s="17"/>
    </row>
    <row r="172" ht="15.75" customHeight="1">
      <c r="A172" s="4" t="s">
        <v>1543</v>
      </c>
      <c r="B172" s="4" t="s">
        <v>1482</v>
      </c>
      <c r="C172" s="5">
        <v>43936.0</v>
      </c>
      <c r="D172" s="4" t="s">
        <v>4</v>
      </c>
    </row>
    <row r="173" ht="15.75" customHeight="1">
      <c r="A173" s="4" t="s">
        <v>1543</v>
      </c>
      <c r="B173" s="4" t="s">
        <v>1468</v>
      </c>
      <c r="C173" s="5">
        <v>43936.0</v>
      </c>
      <c r="D173" s="4" t="s">
        <v>6</v>
      </c>
      <c r="E173" s="17"/>
    </row>
    <row r="174" ht="15.75" customHeight="1">
      <c r="A174" s="4" t="s">
        <v>1543</v>
      </c>
      <c r="B174" s="4" t="s">
        <v>1470</v>
      </c>
      <c r="C174" s="5">
        <v>43935.0</v>
      </c>
      <c r="D174" s="4" t="s">
        <v>6</v>
      </c>
    </row>
    <row r="175" ht="15.75" customHeight="1">
      <c r="A175" s="4" t="s">
        <v>1543</v>
      </c>
      <c r="B175" s="4" t="s">
        <v>1484</v>
      </c>
      <c r="C175" s="5">
        <v>43934.0</v>
      </c>
      <c r="D175" s="4" t="s">
        <v>6</v>
      </c>
    </row>
    <row r="176" ht="15.75" customHeight="1">
      <c r="A176" s="4" t="s">
        <v>1543</v>
      </c>
      <c r="B176" s="4" t="s">
        <v>1495</v>
      </c>
      <c r="C176" s="5">
        <v>43933.0</v>
      </c>
      <c r="D176" s="4" t="s">
        <v>6</v>
      </c>
    </row>
    <row r="177" ht="15.75" customHeight="1">
      <c r="A177" s="4" t="s">
        <v>1543</v>
      </c>
      <c r="B177" s="4" t="s">
        <v>1501</v>
      </c>
      <c r="C177" s="5">
        <v>43932.0</v>
      </c>
      <c r="D177" s="4" t="s">
        <v>6</v>
      </c>
    </row>
    <row r="178" ht="15.75" customHeight="1">
      <c r="A178" s="4" t="s">
        <v>1543</v>
      </c>
      <c r="B178" s="4" t="s">
        <v>564</v>
      </c>
      <c r="C178" s="5">
        <v>43930.0</v>
      </c>
      <c r="D178" s="4" t="s">
        <v>6</v>
      </c>
      <c r="E178" s="17"/>
    </row>
    <row r="179" ht="15.75" customHeight="1">
      <c r="A179" s="4" t="s">
        <v>1543</v>
      </c>
      <c r="B179" s="4" t="s">
        <v>9</v>
      </c>
      <c r="C179" s="5">
        <v>43926.0</v>
      </c>
      <c r="D179" s="4" t="s">
        <v>6</v>
      </c>
    </row>
    <row r="180" ht="15.75" customHeight="1">
      <c r="A180" s="4" t="s">
        <v>1543</v>
      </c>
      <c r="B180" s="4" t="s">
        <v>17</v>
      </c>
      <c r="C180" s="5">
        <v>43924.0</v>
      </c>
      <c r="D180" s="4" t="s">
        <v>6</v>
      </c>
      <c r="E180" s="17"/>
    </row>
    <row r="181" ht="15.75" customHeight="1">
      <c r="A181" s="4" t="s">
        <v>1543</v>
      </c>
      <c r="B181" s="4" t="s">
        <v>35</v>
      </c>
      <c r="C181" s="5">
        <v>43924.0</v>
      </c>
      <c r="D181" s="4" t="s">
        <v>6</v>
      </c>
      <c r="E181" s="17"/>
    </row>
    <row r="182" ht="15.75" customHeight="1">
      <c r="A182" s="4" t="s">
        <v>1543</v>
      </c>
      <c r="B182" s="4" t="s">
        <v>647</v>
      </c>
      <c r="C182" s="5">
        <v>43923.0</v>
      </c>
      <c r="D182" s="4" t="s">
        <v>6</v>
      </c>
    </row>
    <row r="183" ht="15.75" customHeight="1">
      <c r="A183" s="4" t="s">
        <v>1543</v>
      </c>
      <c r="B183" s="4" t="s">
        <v>1466</v>
      </c>
      <c r="C183" s="5">
        <v>43922.0</v>
      </c>
      <c r="D183" s="4" t="s">
        <v>6</v>
      </c>
    </row>
    <row r="184" ht="15.75" customHeight="1">
      <c r="A184" s="4" t="s">
        <v>1543</v>
      </c>
      <c r="B184" s="4" t="s">
        <v>1910</v>
      </c>
      <c r="C184" s="5">
        <v>43922.0</v>
      </c>
      <c r="D184" s="4" t="s">
        <v>6</v>
      </c>
    </row>
    <row r="185" ht="15.75" customHeight="1">
      <c r="A185" s="4" t="s">
        <v>1543</v>
      </c>
      <c r="B185" s="4" t="s">
        <v>1521</v>
      </c>
      <c r="C185" s="5">
        <v>43915.0</v>
      </c>
      <c r="D185" s="4" t="s">
        <v>15</v>
      </c>
      <c r="E185" s="17"/>
    </row>
    <row r="186" ht="15.75" customHeight="1">
      <c r="A186" s="4" t="s">
        <v>1543</v>
      </c>
      <c r="B186" s="4" t="s">
        <v>846</v>
      </c>
      <c r="C186" s="5">
        <v>43914.0</v>
      </c>
      <c r="D186" s="4" t="s">
        <v>4</v>
      </c>
      <c r="E186" s="17"/>
    </row>
    <row r="187" ht="15.75" customHeight="1">
      <c r="A187" s="4" t="s">
        <v>1543</v>
      </c>
      <c r="B187" s="4" t="s">
        <v>1430</v>
      </c>
      <c r="C187" s="5">
        <v>43914.0</v>
      </c>
      <c r="D187" s="4" t="s">
        <v>4</v>
      </c>
    </row>
    <row r="188" ht="15.75" customHeight="1">
      <c r="A188" s="4" t="s">
        <v>1543</v>
      </c>
      <c r="B188" s="4" t="s">
        <v>16</v>
      </c>
      <c r="C188" s="5">
        <v>43914.0</v>
      </c>
      <c r="D188" s="4" t="s">
        <v>6</v>
      </c>
      <c r="E188" s="17"/>
    </row>
    <row r="189" ht="15.75" customHeight="1">
      <c r="A189" s="4" t="s">
        <v>1543</v>
      </c>
      <c r="B189" s="4" t="s">
        <v>1486</v>
      </c>
      <c r="C189" s="5">
        <v>43914.0</v>
      </c>
      <c r="D189" s="4" t="s">
        <v>4</v>
      </c>
      <c r="E189" s="17"/>
    </row>
    <row r="190" ht="15.75" customHeight="1">
      <c r="A190" s="4" t="s">
        <v>1543</v>
      </c>
      <c r="B190" s="4" t="s">
        <v>1487</v>
      </c>
      <c r="C190" s="5">
        <v>43914.0</v>
      </c>
      <c r="D190" s="4" t="s">
        <v>4</v>
      </c>
    </row>
    <row r="191" ht="15.75" customHeight="1">
      <c r="A191" s="4" t="s">
        <v>1543</v>
      </c>
      <c r="B191" s="4" t="s">
        <v>1914</v>
      </c>
      <c r="C191" s="5">
        <v>43913.0</v>
      </c>
      <c r="D191" s="4" t="s">
        <v>6</v>
      </c>
    </row>
    <row r="192" ht="15.75" customHeight="1">
      <c r="A192" s="4" t="s">
        <v>1543</v>
      </c>
      <c r="B192" s="4" t="s">
        <v>1454</v>
      </c>
      <c r="C192" s="5">
        <v>43901.0</v>
      </c>
      <c r="D192" s="4" t="s">
        <v>6</v>
      </c>
    </row>
    <row r="193" ht="15.75" customHeight="1">
      <c r="A193" s="4" t="s">
        <v>1543</v>
      </c>
      <c r="B193" s="4" t="s">
        <v>1435</v>
      </c>
      <c r="C193" s="5">
        <v>43901.0</v>
      </c>
      <c r="D193" s="4" t="s">
        <v>6</v>
      </c>
    </row>
    <row r="194" ht="15.75" customHeight="1">
      <c r="A194" s="4" t="s">
        <v>1543</v>
      </c>
      <c r="B194" s="4" t="s">
        <v>1452</v>
      </c>
      <c r="C194" s="5">
        <v>43900.0</v>
      </c>
      <c r="D194" s="4" t="s">
        <v>6</v>
      </c>
      <c r="E194" s="17"/>
    </row>
    <row r="195" ht="15.75" customHeight="1">
      <c r="A195" s="4" t="s">
        <v>1543</v>
      </c>
      <c r="B195" s="4" t="s">
        <v>1457</v>
      </c>
      <c r="C195" s="5">
        <v>43895.0</v>
      </c>
      <c r="D195" s="4" t="s">
        <v>6</v>
      </c>
    </row>
    <row r="196" ht="15.75" customHeight="1">
      <c r="A196" s="4" t="s">
        <v>1543</v>
      </c>
      <c r="B196" s="4" t="s">
        <v>1422</v>
      </c>
      <c r="C196" s="5">
        <v>43895.0</v>
      </c>
      <c r="D196" s="4" t="s">
        <v>4</v>
      </c>
    </row>
    <row r="197" ht="15.75" customHeight="1">
      <c r="A197" s="4" t="s">
        <v>1543</v>
      </c>
      <c r="B197" s="4" t="s">
        <v>1916</v>
      </c>
      <c r="C197" s="5">
        <v>43895.0</v>
      </c>
      <c r="D197" s="4" t="s">
        <v>6</v>
      </c>
    </row>
    <row r="198" ht="15.75" customHeight="1">
      <c r="A198" s="4" t="s">
        <v>1543</v>
      </c>
      <c r="B198" s="4" t="s">
        <v>7</v>
      </c>
      <c r="C198" s="5">
        <v>43895.0</v>
      </c>
      <c r="D198" s="4" t="s">
        <v>6</v>
      </c>
    </row>
    <row r="199" ht="15.75" customHeight="1">
      <c r="A199" s="4" t="s">
        <v>1543</v>
      </c>
      <c r="B199" s="4" t="s">
        <v>1485</v>
      </c>
      <c r="C199" s="5">
        <v>43893.0</v>
      </c>
      <c r="D199" s="4" t="s">
        <v>6</v>
      </c>
    </row>
    <row r="200" ht="15.75" customHeight="1">
      <c r="A200" s="4" t="s">
        <v>1543</v>
      </c>
      <c r="B200" s="4" t="s">
        <v>1441</v>
      </c>
      <c r="C200" s="5">
        <v>43893.0</v>
      </c>
      <c r="D200" s="4" t="s">
        <v>6</v>
      </c>
    </row>
    <row r="201" ht="15.75" customHeight="1">
      <c r="A201" s="4" t="s">
        <v>1543</v>
      </c>
      <c r="B201" s="4" t="s">
        <v>1473</v>
      </c>
      <c r="C201" s="5">
        <v>43893.0</v>
      </c>
      <c r="D201" s="4" t="s">
        <v>4</v>
      </c>
    </row>
    <row r="202" ht="15.75" customHeight="1">
      <c r="A202" s="4" t="s">
        <v>1543</v>
      </c>
      <c r="B202" s="4" t="s">
        <v>1451</v>
      </c>
      <c r="C202" s="5">
        <v>43892.0</v>
      </c>
      <c r="D202" s="4" t="s">
        <v>4</v>
      </c>
    </row>
    <row r="203" ht="15.75" customHeight="1">
      <c r="A203" s="4" t="s">
        <v>1543</v>
      </c>
      <c r="B203" s="4" t="s">
        <v>1442</v>
      </c>
      <c r="C203" s="5">
        <v>43889.0</v>
      </c>
      <c r="D203" s="4" t="s">
        <v>4</v>
      </c>
    </row>
    <row r="204" ht="15.75" customHeight="1">
      <c r="A204" s="4" t="s">
        <v>1543</v>
      </c>
      <c r="B204" s="4" t="s">
        <v>1921</v>
      </c>
      <c r="C204" s="5">
        <v>43889.0</v>
      </c>
      <c r="D204" s="4" t="s">
        <v>6</v>
      </c>
    </row>
    <row r="205" ht="15.75" customHeight="1">
      <c r="A205" s="4" t="s">
        <v>1543</v>
      </c>
      <c r="B205" s="4" t="s">
        <v>1450</v>
      </c>
      <c r="C205" s="5">
        <v>43888.0</v>
      </c>
      <c r="D205" s="4" t="s">
        <v>6</v>
      </c>
    </row>
    <row r="206" ht="15.75" customHeight="1">
      <c r="A206" s="4" t="s">
        <v>1543</v>
      </c>
      <c r="B206" s="4" t="s">
        <v>1426</v>
      </c>
      <c r="C206" s="5">
        <v>43886.0</v>
      </c>
      <c r="D206" s="4" t="s">
        <v>6</v>
      </c>
    </row>
    <row r="207" ht="15.75" customHeight="1">
      <c r="A207" s="4" t="s">
        <v>1543</v>
      </c>
      <c r="B207" s="4" t="s">
        <v>13</v>
      </c>
      <c r="C207" s="5">
        <v>43886.0</v>
      </c>
      <c r="D207" s="4" t="s">
        <v>6</v>
      </c>
    </row>
    <row r="208" ht="15.75" customHeight="1">
      <c r="A208" s="4" t="s">
        <v>1543</v>
      </c>
      <c r="B208" s="4" t="s">
        <v>1481</v>
      </c>
      <c r="C208" s="5">
        <v>43878.0</v>
      </c>
      <c r="D208" s="4" t="s">
        <v>4</v>
      </c>
    </row>
    <row r="209" ht="15.75" customHeight="1">
      <c r="A209" s="4" t="s">
        <v>1543</v>
      </c>
      <c r="B209" s="4" t="s">
        <v>1952</v>
      </c>
      <c r="C209" s="5">
        <v>43877.0</v>
      </c>
      <c r="D209" s="4" t="s">
        <v>6</v>
      </c>
    </row>
    <row r="210" ht="15.75" customHeight="1">
      <c r="A210" s="4" t="s">
        <v>1543</v>
      </c>
      <c r="B210" s="4" t="s">
        <v>30</v>
      </c>
      <c r="C210" s="5">
        <v>43874.0</v>
      </c>
      <c r="D210" s="4" t="s">
        <v>6</v>
      </c>
    </row>
    <row r="211" ht="15.75" customHeight="1">
      <c r="A211" s="4" t="s">
        <v>1543</v>
      </c>
      <c r="B211" s="4" t="s">
        <v>1985</v>
      </c>
      <c r="C211" s="5">
        <v>43873.0</v>
      </c>
      <c r="D211" s="4" t="s">
        <v>6</v>
      </c>
    </row>
    <row r="212" ht="15.75" customHeight="1">
      <c r="A212" s="4" t="s">
        <v>1543</v>
      </c>
      <c r="B212" s="4" t="s">
        <v>1407</v>
      </c>
      <c r="C212" s="5">
        <v>43872.0</v>
      </c>
      <c r="D212" s="4" t="s">
        <v>6</v>
      </c>
    </row>
    <row r="213" ht="15.75" customHeight="1">
      <c r="A213" s="4" t="s">
        <v>1543</v>
      </c>
      <c r="B213" s="4" t="s">
        <v>11</v>
      </c>
      <c r="C213" s="5">
        <v>43871.0</v>
      </c>
      <c r="D213" s="4" t="s">
        <v>4</v>
      </c>
    </row>
    <row r="214" ht="15.75" customHeight="1">
      <c r="A214" s="4" t="s">
        <v>1543</v>
      </c>
      <c r="B214" s="4" t="s">
        <v>10</v>
      </c>
      <c r="C214" s="5">
        <v>43867.0</v>
      </c>
      <c r="D214" s="4" t="s">
        <v>6</v>
      </c>
    </row>
    <row r="215" ht="15.75" customHeight="1">
      <c r="A215" s="4" t="s">
        <v>1543</v>
      </c>
      <c r="B215" s="4" t="s">
        <v>1467</v>
      </c>
      <c r="C215" s="5">
        <v>43865.0</v>
      </c>
      <c r="D215" s="4" t="s">
        <v>6</v>
      </c>
    </row>
    <row r="216" ht="15.75" customHeight="1">
      <c r="A216" s="4" t="s">
        <v>1543</v>
      </c>
      <c r="B216" s="4" t="s">
        <v>1534</v>
      </c>
      <c r="C216" s="5">
        <v>43859.0</v>
      </c>
      <c r="D216" s="4" t="s">
        <v>6</v>
      </c>
    </row>
    <row r="217" ht="15.75" customHeight="1">
      <c r="A217" s="4" t="s">
        <v>1543</v>
      </c>
      <c r="B217" s="4" t="s">
        <v>160</v>
      </c>
      <c r="C217" s="5">
        <v>43857.0</v>
      </c>
      <c r="D217" s="4" t="s">
        <v>4</v>
      </c>
    </row>
    <row r="218" ht="15.75" customHeight="1">
      <c r="A218" s="4" t="s">
        <v>1543</v>
      </c>
      <c r="B218" s="4" t="s">
        <v>2005</v>
      </c>
      <c r="C218" s="5">
        <v>43856.0</v>
      </c>
      <c r="D218" s="4" t="s">
        <v>6</v>
      </c>
    </row>
    <row r="219" ht="15.75" customHeight="1">
      <c r="A219" s="4" t="s">
        <v>1543</v>
      </c>
      <c r="B219" s="4" t="s">
        <v>1256</v>
      </c>
      <c r="C219" s="5">
        <v>43851.0</v>
      </c>
      <c r="D219" s="4" t="s">
        <v>4</v>
      </c>
    </row>
    <row r="220" ht="15.75" customHeight="1">
      <c r="A220" s="4" t="s">
        <v>1543</v>
      </c>
      <c r="B220" s="4" t="s">
        <v>44</v>
      </c>
      <c r="C220" s="5">
        <v>43850.0</v>
      </c>
      <c r="D220" s="4" t="s">
        <v>6</v>
      </c>
    </row>
    <row r="221" ht="15.75" customHeight="1">
      <c r="A221" s="4" t="s">
        <v>1543</v>
      </c>
      <c r="B221" s="4" t="s">
        <v>59</v>
      </c>
      <c r="C221" s="5">
        <v>43844.0</v>
      </c>
      <c r="D221" s="4" t="s">
        <v>6</v>
      </c>
    </row>
    <row r="222" ht="15.75" customHeight="1">
      <c r="A222" s="4" t="s">
        <v>1543</v>
      </c>
      <c r="B222" s="4" t="s">
        <v>1535</v>
      </c>
      <c r="C222" s="5">
        <v>43843.0</v>
      </c>
      <c r="D222" s="4" t="s">
        <v>4</v>
      </c>
    </row>
    <row r="223" ht="15.75" customHeight="1">
      <c r="A223" s="4" t="s">
        <v>1543</v>
      </c>
      <c r="B223" s="4" t="s">
        <v>1536</v>
      </c>
      <c r="C223" s="5">
        <v>43841.0</v>
      </c>
      <c r="D223" s="4" t="s">
        <v>6</v>
      </c>
    </row>
    <row r="224" ht="15.75" customHeight="1">
      <c r="A224" s="4" t="s">
        <v>1543</v>
      </c>
      <c r="B224" s="4" t="s">
        <v>1477</v>
      </c>
      <c r="C224" s="5">
        <v>43840.0</v>
      </c>
      <c r="D224" s="4" t="s">
        <v>4</v>
      </c>
    </row>
    <row r="225" ht="15.75" customHeight="1">
      <c r="A225" s="4" t="s">
        <v>1543</v>
      </c>
      <c r="B225" s="4" t="s">
        <v>37</v>
      </c>
      <c r="C225" s="5">
        <v>43840.0</v>
      </c>
      <c r="D225" s="4" t="s">
        <v>4</v>
      </c>
    </row>
    <row r="226" ht="15.75" customHeight="1">
      <c r="C226" s="15"/>
    </row>
    <row r="227" ht="15.75" customHeight="1">
      <c r="C227" s="15"/>
    </row>
    <row r="228" ht="15.75" customHeight="1">
      <c r="C228" s="15"/>
    </row>
    <row r="229" ht="15.75" customHeight="1">
      <c r="C229" s="15"/>
    </row>
    <row r="230" ht="15.75" customHeight="1">
      <c r="C230" s="15"/>
    </row>
    <row r="231" ht="15.75" customHeight="1">
      <c r="C231" s="15"/>
    </row>
    <row r="232" ht="15.75" customHeight="1">
      <c r="C232" s="15"/>
    </row>
    <row r="233" ht="15.75" customHeight="1">
      <c r="C233" s="15"/>
    </row>
    <row r="234" ht="15.75" customHeight="1">
      <c r="C234" s="15"/>
    </row>
    <row r="235" ht="15.75" customHeight="1">
      <c r="C235" s="15"/>
    </row>
    <row r="236" ht="15.75" customHeight="1">
      <c r="C236" s="15"/>
    </row>
    <row r="237" ht="15.75" customHeight="1">
      <c r="C237" s="15"/>
    </row>
    <row r="238" ht="15.75" customHeight="1">
      <c r="C238" s="15"/>
    </row>
    <row r="239" ht="15.75" customHeight="1">
      <c r="C239" s="15"/>
    </row>
    <row r="240" ht="15.75" customHeight="1">
      <c r="C240" s="15"/>
    </row>
    <row r="241" ht="15.75" customHeight="1">
      <c r="C241" s="15"/>
    </row>
    <row r="242" ht="15.75" customHeight="1">
      <c r="C242" s="15"/>
    </row>
    <row r="243" ht="15.75" customHeight="1">
      <c r="C243" s="15"/>
    </row>
    <row r="244" ht="15.75" customHeight="1">
      <c r="C244" s="15"/>
    </row>
    <row r="245" ht="15.75" customHeight="1">
      <c r="C245" s="15"/>
    </row>
    <row r="246" ht="15.75" customHeight="1">
      <c r="C246" s="15"/>
    </row>
    <row r="247" ht="15.75" customHeight="1">
      <c r="C247" s="15"/>
    </row>
    <row r="248" ht="15.75" customHeight="1">
      <c r="C248" s="15"/>
    </row>
    <row r="249" ht="15.75" customHeight="1">
      <c r="C249" s="15"/>
    </row>
    <row r="250" ht="15.75" customHeight="1">
      <c r="C250" s="15"/>
    </row>
    <row r="251" ht="15.75" customHeight="1">
      <c r="C251" s="15"/>
    </row>
    <row r="252" ht="15.75" customHeight="1">
      <c r="C252" s="15"/>
    </row>
    <row r="253" ht="15.75" customHeight="1">
      <c r="C253" s="15"/>
    </row>
    <row r="254" ht="15.75" customHeight="1">
      <c r="C254" s="15"/>
    </row>
    <row r="255" ht="15.75" customHeight="1">
      <c r="C255" s="15"/>
    </row>
    <row r="256" ht="15.75" customHeight="1">
      <c r="C256" s="15"/>
    </row>
    <row r="257" ht="15.75" customHeight="1">
      <c r="C257" s="15"/>
    </row>
    <row r="258" ht="15.75" customHeight="1">
      <c r="C258" s="15"/>
    </row>
    <row r="259" ht="15.75" customHeight="1">
      <c r="C259" s="15"/>
    </row>
    <row r="260" ht="15.75" customHeight="1">
      <c r="C260" s="15"/>
    </row>
    <row r="261" ht="15.75" customHeight="1">
      <c r="C261" s="15"/>
    </row>
    <row r="262" ht="15.75" customHeight="1">
      <c r="C262" s="15"/>
    </row>
    <row r="263" ht="15.75" customHeight="1">
      <c r="C263" s="15"/>
    </row>
    <row r="264" ht="15.75" customHeight="1">
      <c r="C264" s="15"/>
    </row>
    <row r="265" ht="15.75" customHeight="1">
      <c r="C265" s="15"/>
    </row>
    <row r="266" ht="15.75" customHeight="1">
      <c r="C266" s="15"/>
    </row>
    <row r="267" ht="15.75" customHeight="1">
      <c r="C267" s="15"/>
    </row>
    <row r="268" ht="15.75" customHeight="1">
      <c r="C268" s="15"/>
    </row>
    <row r="269" ht="15.75" customHeight="1">
      <c r="C269" s="15"/>
    </row>
    <row r="270" ht="15.75" customHeight="1">
      <c r="C270" s="15"/>
    </row>
    <row r="271" ht="15.75" customHeight="1">
      <c r="C271" s="15"/>
    </row>
    <row r="272" ht="15.75" customHeight="1">
      <c r="C272" s="15"/>
    </row>
    <row r="273" ht="15.75" customHeight="1">
      <c r="C273" s="15"/>
    </row>
    <row r="274" ht="15.75" customHeight="1">
      <c r="C274" s="15"/>
    </row>
    <row r="275" ht="15.75" customHeight="1">
      <c r="C275" s="15"/>
    </row>
    <row r="276" ht="15.75" customHeight="1">
      <c r="C276" s="15"/>
    </row>
    <row r="277" ht="15.75" customHeight="1">
      <c r="C277" s="15"/>
    </row>
    <row r="278" ht="15.75" customHeight="1">
      <c r="C278" s="15"/>
    </row>
    <row r="279" ht="15.75" customHeight="1">
      <c r="C279" s="15"/>
    </row>
    <row r="280" ht="15.75" customHeight="1">
      <c r="C280" s="15"/>
    </row>
    <row r="281" ht="15.75" customHeight="1">
      <c r="C281" s="15"/>
    </row>
    <row r="282" ht="15.75" customHeight="1">
      <c r="C282" s="15"/>
    </row>
    <row r="283" ht="15.75" customHeight="1">
      <c r="C283" s="15"/>
    </row>
    <row r="284" ht="15.75" customHeight="1">
      <c r="C284" s="15"/>
    </row>
    <row r="285" ht="15.75" customHeight="1">
      <c r="C285" s="15"/>
    </row>
    <row r="286" ht="15.75" customHeight="1">
      <c r="C286" s="15"/>
    </row>
    <row r="287" ht="15.75" customHeight="1">
      <c r="C287" s="15"/>
    </row>
    <row r="288" ht="15.75" customHeight="1">
      <c r="C288" s="15"/>
    </row>
    <row r="289" ht="15.75" customHeight="1">
      <c r="C289" s="15"/>
    </row>
    <row r="290" ht="15.75" customHeight="1">
      <c r="C290" s="15"/>
    </row>
    <row r="291" ht="15.75" customHeight="1">
      <c r="C291" s="15"/>
    </row>
    <row r="292" ht="15.75" customHeight="1">
      <c r="C292" s="15"/>
    </row>
    <row r="293" ht="15.75" customHeight="1">
      <c r="C293" s="15"/>
    </row>
    <row r="294" ht="15.75" customHeight="1">
      <c r="C294" s="15"/>
    </row>
    <row r="295" ht="15.75" customHeight="1">
      <c r="C295" s="15"/>
    </row>
    <row r="296" ht="15.75" customHeight="1">
      <c r="C296" s="15"/>
    </row>
    <row r="297" ht="15.75" customHeight="1">
      <c r="C297" s="15"/>
    </row>
    <row r="298" ht="15.75" customHeight="1">
      <c r="C298" s="15"/>
    </row>
    <row r="299" ht="15.75" customHeight="1">
      <c r="C299" s="15"/>
    </row>
    <row r="300" ht="15.75" customHeight="1">
      <c r="C300" s="15"/>
    </row>
    <row r="301" ht="15.75" customHeight="1">
      <c r="C301" s="15"/>
    </row>
    <row r="302" ht="15.75" customHeight="1">
      <c r="C302" s="15"/>
    </row>
    <row r="303" ht="15.75" customHeight="1">
      <c r="C303" s="15"/>
    </row>
    <row r="304" ht="15.75" customHeight="1">
      <c r="C304" s="15"/>
    </row>
    <row r="305" ht="15.75" customHeight="1">
      <c r="C305" s="15"/>
    </row>
    <row r="306" ht="15.75" customHeight="1">
      <c r="C306" s="15"/>
    </row>
    <row r="307" ht="15.75" customHeight="1">
      <c r="C307" s="15"/>
    </row>
    <row r="308" ht="15.75" customHeight="1">
      <c r="C308" s="15"/>
    </row>
    <row r="309" ht="15.75" customHeight="1">
      <c r="C309" s="15"/>
    </row>
    <row r="310" ht="15.75" customHeight="1">
      <c r="C310" s="15"/>
    </row>
    <row r="311" ht="15.75" customHeight="1">
      <c r="C311" s="15"/>
    </row>
    <row r="312" ht="15.75" customHeight="1">
      <c r="C312" s="15"/>
    </row>
    <row r="313" ht="15.75" customHeight="1">
      <c r="C313" s="15"/>
    </row>
    <row r="314" ht="15.75" customHeight="1">
      <c r="C314" s="15"/>
    </row>
    <row r="315" ht="15.75" customHeight="1">
      <c r="C315" s="15"/>
    </row>
    <row r="316" ht="15.75" customHeight="1">
      <c r="C316" s="15"/>
    </row>
    <row r="317" ht="15.75" customHeight="1">
      <c r="C317" s="15"/>
    </row>
    <row r="318" ht="15.75" customHeight="1">
      <c r="C318" s="15"/>
    </row>
    <row r="319" ht="15.75" customHeight="1">
      <c r="C319" s="15"/>
    </row>
    <row r="320" ht="15.75" customHeight="1">
      <c r="C320" s="15"/>
    </row>
    <row r="321" ht="15.75" customHeight="1">
      <c r="C321" s="15"/>
    </row>
    <row r="322" ht="15.75" customHeight="1">
      <c r="C322" s="15"/>
    </row>
    <row r="323" ht="15.75" customHeight="1">
      <c r="C323" s="15"/>
    </row>
    <row r="324" ht="15.75" customHeight="1">
      <c r="C324" s="15"/>
    </row>
    <row r="325" ht="15.75" customHeight="1">
      <c r="C325" s="15"/>
    </row>
    <row r="326" ht="15.75" customHeight="1">
      <c r="C326" s="15"/>
    </row>
    <row r="327" ht="15.75" customHeight="1">
      <c r="C327" s="15"/>
    </row>
    <row r="328" ht="15.75" customHeight="1">
      <c r="C328" s="15"/>
    </row>
    <row r="329" ht="15.75" customHeight="1">
      <c r="C329" s="15"/>
    </row>
    <row r="330" ht="15.75" customHeight="1">
      <c r="C330" s="15"/>
    </row>
    <row r="331" ht="15.75" customHeight="1">
      <c r="C331" s="15"/>
    </row>
    <row r="332" ht="15.75" customHeight="1">
      <c r="C332" s="15"/>
    </row>
    <row r="333" ht="15.75" customHeight="1">
      <c r="C333" s="15"/>
    </row>
    <row r="334" ht="15.75" customHeight="1">
      <c r="C334" s="15"/>
    </row>
    <row r="335" ht="15.75" customHeight="1">
      <c r="C335" s="15"/>
    </row>
    <row r="336" ht="15.75" customHeight="1">
      <c r="C336" s="15"/>
    </row>
    <row r="337" ht="15.75" customHeight="1">
      <c r="C337" s="15"/>
    </row>
    <row r="338" ht="15.75" customHeight="1">
      <c r="C338" s="15"/>
    </row>
    <row r="339" ht="15.75" customHeight="1">
      <c r="C339" s="15"/>
    </row>
    <row r="340" ht="15.75" customHeight="1">
      <c r="C340" s="15"/>
    </row>
    <row r="341" ht="15.75" customHeight="1">
      <c r="C341" s="15"/>
    </row>
    <row r="342" ht="15.75" customHeight="1">
      <c r="C342" s="15"/>
    </row>
    <row r="343" ht="15.75" customHeight="1">
      <c r="C343" s="15"/>
    </row>
    <row r="344" ht="15.75" customHeight="1">
      <c r="C344" s="15"/>
    </row>
    <row r="345" ht="15.75" customHeight="1">
      <c r="C345" s="15"/>
    </row>
    <row r="346" ht="15.75" customHeight="1">
      <c r="C346" s="15"/>
    </row>
    <row r="347" ht="15.75" customHeight="1">
      <c r="C347" s="15"/>
    </row>
    <row r="348" ht="15.75" customHeight="1">
      <c r="C348" s="15"/>
    </row>
    <row r="349" ht="15.75" customHeight="1">
      <c r="C349" s="15"/>
    </row>
    <row r="350" ht="15.75" customHeight="1">
      <c r="C350" s="15"/>
    </row>
    <row r="351" ht="15.75" customHeight="1">
      <c r="C351" s="15"/>
    </row>
    <row r="352" ht="15.75" customHeight="1">
      <c r="C352" s="15"/>
    </row>
    <row r="353" ht="15.75" customHeight="1">
      <c r="C353" s="15"/>
    </row>
    <row r="354" ht="15.75" customHeight="1">
      <c r="C354" s="15"/>
    </row>
    <row r="355" ht="15.75" customHeight="1">
      <c r="C355" s="15"/>
    </row>
    <row r="356" ht="15.75" customHeight="1">
      <c r="C356" s="15"/>
    </row>
    <row r="357" ht="15.75" customHeight="1">
      <c r="C357" s="15"/>
    </row>
    <row r="358" ht="15.75" customHeight="1">
      <c r="C358" s="15"/>
    </row>
    <row r="359" ht="15.75" customHeight="1">
      <c r="C359" s="15"/>
    </row>
    <row r="360" ht="15.75" customHeight="1">
      <c r="C360" s="15"/>
    </row>
    <row r="361" ht="15.75" customHeight="1">
      <c r="C361" s="15"/>
    </row>
    <row r="362" ht="15.75" customHeight="1">
      <c r="C362" s="15"/>
    </row>
    <row r="363" ht="15.75" customHeight="1">
      <c r="C363" s="15"/>
    </row>
    <row r="364" ht="15.75" customHeight="1">
      <c r="C364" s="15"/>
    </row>
    <row r="365" ht="15.75" customHeight="1">
      <c r="C365" s="15"/>
    </row>
    <row r="366" ht="15.75" customHeight="1">
      <c r="C366" s="15"/>
    </row>
    <row r="367" ht="15.75" customHeight="1">
      <c r="C367" s="15"/>
    </row>
    <row r="368" ht="15.75" customHeight="1">
      <c r="C368" s="15"/>
    </row>
    <row r="369" ht="15.75" customHeight="1">
      <c r="C369" s="15"/>
    </row>
    <row r="370" ht="15.75" customHeight="1">
      <c r="C370" s="15"/>
    </row>
    <row r="371" ht="15.75" customHeight="1">
      <c r="C371" s="15"/>
    </row>
    <row r="372" ht="15.75" customHeight="1">
      <c r="C372" s="15"/>
    </row>
    <row r="373" ht="15.75" customHeight="1">
      <c r="C373" s="15"/>
    </row>
    <row r="374" ht="15.75" customHeight="1">
      <c r="C374" s="15"/>
    </row>
    <row r="375" ht="15.75" customHeight="1">
      <c r="C375" s="15"/>
    </row>
    <row r="376" ht="15.75" customHeight="1">
      <c r="C376" s="15"/>
    </row>
    <row r="377" ht="15.75" customHeight="1">
      <c r="C377" s="15"/>
    </row>
    <row r="378" ht="15.75" customHeight="1">
      <c r="C378" s="15"/>
    </row>
    <row r="379" ht="15.75" customHeight="1">
      <c r="C379" s="15"/>
    </row>
    <row r="380" ht="15.75" customHeight="1">
      <c r="C380" s="15"/>
    </row>
    <row r="381" ht="15.75" customHeight="1">
      <c r="C381" s="15"/>
    </row>
    <row r="382" ht="15.75" customHeight="1">
      <c r="C382" s="15"/>
    </row>
    <row r="383" ht="15.75" customHeight="1">
      <c r="C383" s="15"/>
    </row>
    <row r="384" ht="15.75" customHeight="1">
      <c r="C384" s="15"/>
    </row>
    <row r="385" ht="15.75" customHeight="1">
      <c r="C385" s="15"/>
    </row>
    <row r="386" ht="15.75" customHeight="1">
      <c r="C386" s="15"/>
    </row>
    <row r="387" ht="15.75" customHeight="1">
      <c r="C387" s="15"/>
    </row>
    <row r="388" ht="15.75" customHeight="1">
      <c r="C388" s="15"/>
    </row>
    <row r="389" ht="15.75" customHeight="1">
      <c r="C389" s="15"/>
    </row>
    <row r="390" ht="15.75" customHeight="1">
      <c r="C390" s="15"/>
    </row>
    <row r="391" ht="15.75" customHeight="1">
      <c r="C391" s="15"/>
    </row>
    <row r="392" ht="15.75" customHeight="1">
      <c r="C392" s="15"/>
    </row>
    <row r="393" ht="15.75" customHeight="1">
      <c r="C393" s="15"/>
    </row>
    <row r="394" ht="15.75" customHeight="1">
      <c r="C394" s="15"/>
    </row>
    <row r="395" ht="15.75" customHeight="1">
      <c r="C395" s="15"/>
    </row>
    <row r="396" ht="15.75" customHeight="1">
      <c r="C396" s="15"/>
    </row>
    <row r="397" ht="15.75" customHeight="1">
      <c r="C397" s="15"/>
    </row>
    <row r="398" ht="15.75" customHeight="1">
      <c r="C398" s="15"/>
    </row>
    <row r="399" ht="15.75" customHeight="1">
      <c r="C399" s="15"/>
    </row>
    <row r="400" ht="15.75" customHeight="1">
      <c r="C400" s="15"/>
    </row>
    <row r="401" ht="15.75" customHeight="1">
      <c r="C401" s="15"/>
    </row>
    <row r="402" ht="15.75" customHeight="1">
      <c r="C402" s="15"/>
    </row>
    <row r="403" ht="15.75" customHeight="1">
      <c r="C403" s="15"/>
    </row>
    <row r="404" ht="15.75" customHeight="1">
      <c r="C404" s="15"/>
    </row>
    <row r="405" ht="15.75" customHeight="1">
      <c r="C405" s="15"/>
    </row>
    <row r="406" ht="15.75" customHeight="1">
      <c r="C406" s="15"/>
    </row>
    <row r="407" ht="15.75" customHeight="1">
      <c r="C407" s="15"/>
    </row>
    <row r="408" ht="15.75" customHeight="1">
      <c r="C408" s="15"/>
    </row>
    <row r="409" ht="15.75" customHeight="1">
      <c r="C409" s="15"/>
    </row>
    <row r="410" ht="15.75" customHeight="1">
      <c r="C410" s="15"/>
    </row>
    <row r="411" ht="15.75" customHeight="1">
      <c r="C411" s="15"/>
    </row>
    <row r="412" ht="15.75" customHeight="1">
      <c r="C412" s="15"/>
    </row>
    <row r="413" ht="15.75" customHeight="1">
      <c r="C413" s="15"/>
    </row>
    <row r="414" ht="15.75" customHeight="1">
      <c r="C414" s="15"/>
    </row>
    <row r="415" ht="15.75" customHeight="1">
      <c r="C415" s="15"/>
    </row>
    <row r="416" ht="15.75" customHeight="1">
      <c r="C416" s="15"/>
    </row>
    <row r="417" ht="15.75" customHeight="1">
      <c r="C417" s="15"/>
    </row>
    <row r="418" ht="15.75" customHeight="1">
      <c r="C418" s="15"/>
    </row>
    <row r="419" ht="15.75" customHeight="1">
      <c r="C419" s="15"/>
    </row>
    <row r="420" ht="15.75" customHeight="1">
      <c r="C420" s="15"/>
    </row>
    <row r="421" ht="15.75" customHeight="1">
      <c r="C421" s="15"/>
    </row>
    <row r="422" ht="15.75" customHeight="1">
      <c r="C422" s="15"/>
    </row>
    <row r="423" ht="15.75" customHeight="1">
      <c r="C423" s="15"/>
    </row>
    <row r="424" ht="15.75" customHeight="1">
      <c r="C424" s="16"/>
    </row>
    <row r="425" ht="15.75" customHeight="1">
      <c r="C425" s="16"/>
    </row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22.88"/>
    <col customWidth="1" min="4" max="5" width="12.63"/>
    <col customWidth="1" min="6" max="6" width="34.13"/>
  </cols>
  <sheetData>
    <row r="1">
      <c r="A1" s="18" t="s">
        <v>2007</v>
      </c>
      <c r="B1" s="19" t="s">
        <v>2008</v>
      </c>
      <c r="C1" s="20" t="s">
        <v>2009</v>
      </c>
    </row>
    <row r="2" ht="15.75" customHeight="1">
      <c r="A2" s="22" t="s">
        <v>1528</v>
      </c>
      <c r="B2" s="23" t="str">
        <f>IFERROR(__xludf.DUMMYFUNCTION("IF(OR(regexmatch(A2,"".*@simon.es$""),REGEXMATCH(A2,"".*@simon.pt$""),REGEXMATCH(A2,"".*@simonelectrica.com$""),REGEXMATCH(A2,"".*@hiberus.com$""),REGEXMATCH(A2,"".*@simonbrico.es$""),regexmatch(A2,"".*@simonelectric.com$"")),""null"",A2)"),"12@gmail.com")</f>
        <v>12@gmail.com</v>
      </c>
      <c r="C2" s="24">
        <v>44012.0</v>
      </c>
    </row>
    <row r="3" ht="15.75" customHeight="1">
      <c r="A3" s="22" t="s">
        <v>1761</v>
      </c>
      <c r="B3" s="23" t="str">
        <f>IFERROR(__xludf.DUMMYFUNCTION("IF(OR(regexmatch(A3,"".*@simon.es$""),REGEXMATCH(A3,"".*@simon.pt$""),REGEXMATCH(A3,"".*@simonelectrica.com$""),REGEXMATCH(A3,"".*@hiberus.com$""),REGEXMATCH(A3,"".*@simonbrico.es$""),regexmatch(A3,"".*@simonelectric.com$"")),""null"",A3)"),"24@gmail.com")</f>
        <v>24@gmail.com</v>
      </c>
      <c r="C3" s="24">
        <v>44010.0</v>
      </c>
    </row>
    <row r="4" ht="15.75" customHeight="1">
      <c r="A4" s="22" t="s">
        <v>241</v>
      </c>
      <c r="B4" s="23" t="str">
        <f>IFERROR(__xludf.DUMMYFUNCTION("IF(OR(regexmatch(A4,"".*@simon.es$""),REGEXMATCH(A4,"".*@simon.pt$""),REGEXMATCH(A4,"".*@simonelectrica.com$""),REGEXMATCH(A4,"".*@hiberus.com$""),REGEXMATCH(A4,"".*@simonbrico.es$""),regexmatch(A4,"".*@simonelectric.com$"")),""null"",A4)"),"45@acotech.es")</f>
        <v>45@acotech.es</v>
      </c>
      <c r="C4" s="24">
        <v>44007.0</v>
      </c>
    </row>
    <row r="5" ht="15.75" customHeight="1">
      <c r="A5" s="22" t="s">
        <v>43</v>
      </c>
      <c r="B5" s="23" t="str">
        <f>IFERROR(__xludf.DUMMYFUNCTION("IF(OR(regexmatch(A5,"".*@simon.es$""),REGEXMATCH(A5,"".*@simon.pt$""),REGEXMATCH(A5,"".*@simonelectrica.com$""),REGEXMATCH(A5,"".*@hiberus.com$""),REGEXMATCH(A5,"".*@simonbrico.es$""),regexmatch(A5,"".*@simonelectric.com$"")),""null"",A5)"),"51@yahoo.es")</f>
        <v>51@yahoo.es</v>
      </c>
      <c r="C5" s="24">
        <v>44006.0</v>
      </c>
    </row>
    <row r="6" ht="15.75" customHeight="1">
      <c r="A6" s="22" t="s">
        <v>2016</v>
      </c>
      <c r="B6" s="23" t="str">
        <f>IFERROR(__xludf.DUMMYFUNCTION("IF(OR(regexmatch(A6,"".*@simon.es$""),REGEXMATCH(A6,"".*@simon.pt$""),REGEXMATCH(A6,"".*@simonelectrica.com$""),REGEXMATCH(A6,"".*@hiberus.com$""),REGEXMATCH(A6,"".*@simonbrico.es$""),regexmatch(A6,"".*@simonelectric.com$"")),""null"",A6)"),"69@gmail.com")</f>
        <v>69@gmail.com</v>
      </c>
      <c r="C6" s="24">
        <v>44005.0</v>
      </c>
    </row>
    <row r="7" ht="15.75" customHeight="1">
      <c r="A7" s="22" t="s">
        <v>1519</v>
      </c>
      <c r="B7" s="23" t="str">
        <f>IFERROR(__xludf.DUMMYFUNCTION("IF(OR(regexmatch(A7,"".*@simon.es$""),REGEXMATCH(A7,"".*@simon.pt$""),REGEXMATCH(A7,"".*@simonelectrica.com$""),REGEXMATCH(A7,"".*@hiberus.com$""),REGEXMATCH(A7,"".*@simonbrico.es$""),regexmatch(A7,"".*@simonelectric.com$"")),""null"",A7)"),"140@yahoo.es")</f>
        <v>140@yahoo.es</v>
      </c>
      <c r="C7" s="24">
        <v>44001.0</v>
      </c>
    </row>
    <row r="8" ht="15.75" customHeight="1">
      <c r="A8" s="22" t="s">
        <v>1512</v>
      </c>
      <c r="B8" s="23" t="str">
        <f>IFERROR(__xludf.DUMMYFUNCTION("IF(OR(regexmatch(A8,"".*@simon.es$""),REGEXMATCH(A8,"".*@simon.pt$""),REGEXMATCH(A8,"".*@simonelectrica.com$""),REGEXMATCH(A8,"".*@hiberus.com$""),REGEXMATCH(A8,"".*@simonbrico.es$""),regexmatch(A8,"".*@simonelectric.com$"")),""null"",A8)"),"151@gmail.com")</f>
        <v>151@gmail.com</v>
      </c>
      <c r="C8" s="24">
        <v>44001.0</v>
      </c>
    </row>
    <row r="9" ht="15.75" customHeight="1">
      <c r="A9" s="22" t="s">
        <v>2019</v>
      </c>
      <c r="B9" s="23" t="str">
        <f>IFERROR(__xludf.DUMMYFUNCTION("IF(OR(regexmatch(A9,"".*@simon.es$""),REGEXMATCH(A9,"".*@simon.pt$""),REGEXMATCH(A9,"".*@simonelectrica.com$""),REGEXMATCH(A9,"".*@hiberus.com$""),REGEXMATCH(A9,"".*@simonbrico.es$""),regexmatch(A9,"".*@simonelectric.com$"")),""null"",A9)"),"243@homcrea.fr")</f>
        <v>243@homcrea.fr</v>
      </c>
      <c r="C9" s="24">
        <v>44000.0</v>
      </c>
    </row>
    <row r="10" ht="15.75" customHeight="1">
      <c r="A10" s="22" t="s">
        <v>1482</v>
      </c>
      <c r="B10" s="23" t="str">
        <f>IFERROR(__xludf.DUMMYFUNCTION("IF(OR(regexmatch(A10,"".*@simon.es$""),REGEXMATCH(A10,"".*@simon.pt$""),REGEXMATCH(A10,"".*@simonelectrica.com$""),REGEXMATCH(A10,"".*@hiberus.com$""),REGEXMATCH(A10,"".*@simonbrico.es$""),regexmatch(A10,"".*@simonelectric.com$"")),""null"",A10)"),"213@guidogroup.com")</f>
        <v>213@guidogroup.com</v>
      </c>
      <c r="C10" s="24">
        <v>44000.0</v>
      </c>
    </row>
    <row r="11" ht="15.75" customHeight="1">
      <c r="A11" s="22" t="s">
        <v>1484</v>
      </c>
      <c r="B11" s="23" t="str">
        <f>IFERROR(__xludf.DUMMYFUNCTION("IF(OR(regexmatch(A11,"".*@simon.es$""),REGEXMATCH(A11,"".*@simon.pt$""),REGEXMATCH(A11,"".*@simonelectrica.com$""),REGEXMATCH(A11,"".*@hiberus.com$""),REGEXMATCH(A11,"".*@simonbrico.es$""),regexmatch(A11,"".*@simonelectric.com$"")),""null"",A11)"),"212@gmail.com")</f>
        <v>212@gmail.com</v>
      </c>
      <c r="C11" s="24">
        <v>44000.0</v>
      </c>
    </row>
    <row r="12" ht="15.75" customHeight="1">
      <c r="A12" s="22" t="s">
        <v>1501</v>
      </c>
      <c r="B12" s="23" t="str">
        <f>IFERROR(__xludf.DUMMYFUNCTION("IF(OR(regexmatch(A12,"".*@simon.es$""),REGEXMATCH(A12,"".*@simon.pt$""),REGEXMATCH(A12,"".*@simonelectrica.com$""),REGEXMATCH(A12,"".*@hiberus.com$""),REGEXMATCH(A12,"".*@simonbrico.es$""),regexmatch(A12,"".*@simonelectric.com$"")),""null"",A12)"),"185@asintec.info")</f>
        <v>185@asintec.info</v>
      </c>
      <c r="C12" s="24">
        <v>44000.0</v>
      </c>
    </row>
    <row r="13" ht="15.75" customHeight="1">
      <c r="A13" s="22" t="s">
        <v>1468</v>
      </c>
      <c r="B13" s="23" t="str">
        <f>IFERROR(__xludf.DUMMYFUNCTION("IF(OR(regexmatch(A13,"".*@simon.es$""),REGEXMATCH(A13,"".*@simon.pt$""),REGEXMATCH(A13,"".*@simonelectrica.com$""),REGEXMATCH(A13,"".*@hiberus.com$""),REGEXMATCH(A13,"".*@simonbrico.es$""),regexmatch(A13,"".*@simonelectric.com$"")),""null"",A13)"),"245@gmail.com")</f>
        <v>245@gmail.com</v>
      </c>
      <c r="C13" s="24">
        <v>44000.0</v>
      </c>
    </row>
    <row r="14" ht="15.75" customHeight="1">
      <c r="A14" s="22" t="s">
        <v>1495</v>
      </c>
      <c r="B14" s="23" t="str">
        <f>IFERROR(__xludf.DUMMYFUNCTION("IF(OR(regexmatch(A14,"".*@simon.es$""),REGEXMATCH(A14,"".*@simon.pt$""),REGEXMATCH(A14,"".*@simonelectrica.com$""),REGEXMATCH(A14,"".*@hiberus.com$""),REGEXMATCH(A14,"".*@simonbrico.es$""),regexmatch(A14,"".*@simonelectric.com$"")),""null"",A14)"),"201@gmail.com")</f>
        <v>201@gmail.com</v>
      </c>
      <c r="C14" s="24">
        <v>44000.0</v>
      </c>
    </row>
    <row r="15" ht="15.75" customHeight="1">
      <c r="A15" s="22" t="s">
        <v>1470</v>
      </c>
      <c r="B15" s="23" t="str">
        <f>IFERROR(__xludf.DUMMYFUNCTION("IF(OR(regexmatch(A15,"".*@simon.es$""),REGEXMATCH(A15,"".*@simon.pt$""),REGEXMATCH(A15,"".*@simonelectrica.com$""),REGEXMATCH(A15,"".*@hiberus.com$""),REGEXMATCH(A15,"".*@simonbrico.es$""),regexmatch(A15,"".*@simonelectric.com$"")),""null"",A15)"),"242@outlook.es")</f>
        <v>242@outlook.es</v>
      </c>
      <c r="C15" s="24">
        <v>44000.0</v>
      </c>
    </row>
    <row r="16" ht="15.75" customHeight="1">
      <c r="A16" s="22" t="s">
        <v>1466</v>
      </c>
      <c r="B16" s="23" t="str">
        <f>IFERROR(__xludf.DUMMYFUNCTION("IF(OR(regexmatch(A16,"".*@simon.es$""),REGEXMATCH(A16,"".*@simon.pt$""),REGEXMATCH(A16,"".*@simonelectrica.com$""),REGEXMATCH(A16,"".*@hiberus.com$""),REGEXMATCH(A16,"".*@simonbrico.es$""),regexmatch(A16,"".*@simonelectric.com$"")),""null"",A16)"),"250@inacces.com")</f>
        <v>250@inacces.com</v>
      </c>
      <c r="C16" s="24">
        <v>43999.0</v>
      </c>
    </row>
    <row r="17" ht="15.75" customHeight="1">
      <c r="A17" s="22" t="s">
        <v>1773</v>
      </c>
      <c r="B17" s="23" t="str">
        <f>IFERROR(__xludf.DUMMYFUNCTION("IF(OR(regexmatch(A17,"".*@simon.es$""),REGEXMATCH(A17,"".*@simon.pt$""),REGEXMATCH(A17,"".*@simonelectrica.com$""),REGEXMATCH(A17,"".*@hiberus.com$""),REGEXMATCH(A17,"".*@simonbrico.es$""),regexmatch(A17,"".*@simonelectric.com$"")),""null"",A17)"),"249@herreroingenieros.com")</f>
        <v>249@herreroingenieros.com</v>
      </c>
      <c r="C17" s="24">
        <v>43999.0</v>
      </c>
    </row>
    <row r="18" ht="15.75" customHeight="1">
      <c r="A18" s="22" t="s">
        <v>1776</v>
      </c>
      <c r="B18" s="23" t="str">
        <f>IFERROR(__xludf.DUMMYFUNCTION("IF(OR(regexmatch(A18,"".*@simon.es$""),REGEXMATCH(A18,"".*@simon.pt$""),REGEXMATCH(A18,"".*@simonelectrica.com$""),REGEXMATCH(A18,"".*@hiberus.com$""),REGEXMATCH(A18,"".*@simonbrico.es$""),regexmatch(A18,"".*@simonelectric.com$"")),""null"",A18)"),"985@jesnar2011.es")</f>
        <v>985@jesnar2011.es</v>
      </c>
      <c r="C18" s="24">
        <v>43998.0</v>
      </c>
    </row>
    <row r="19" ht="15.75" customHeight="1">
      <c r="A19" s="22" t="s">
        <v>1435</v>
      </c>
      <c r="B19" s="23" t="str">
        <f>IFERROR(__xludf.DUMMYFUNCTION("IF(OR(regexmatch(A19,"".*@simon.es$""),REGEXMATCH(A19,"".*@simon.pt$""),REGEXMATCH(A19,"".*@simonelectrica.com$""),REGEXMATCH(A19,"".*@hiberus.com$""),REGEXMATCH(A19,"".*@simonbrico.es$""),regexmatch(A19,"".*@simonelectric.com$"")),""null"",A19)"),"296@gmail.com")</f>
        <v>296@gmail.com</v>
      </c>
      <c r="C19" s="24">
        <v>43997.0</v>
      </c>
    </row>
    <row r="20" ht="15.75" customHeight="1">
      <c r="A20" s="22" t="s">
        <v>1461</v>
      </c>
      <c r="B20" s="23" t="str">
        <f>IFERROR(__xludf.DUMMYFUNCTION("IF(OR(regexmatch(A20,"".*@simon.es$""),REGEXMATCH(A20,"".*@simon.pt$""),REGEXMATCH(A20,"".*@simonelectrica.com$""),REGEXMATCH(A20,"".*@hiberus.com$""),REGEXMATCH(A20,"".*@simonbrico.es$""),regexmatch(A20,"".*@simonelectric.com$"")),""null"",A20)"),"267@fiberlec.com")</f>
        <v>267@fiberlec.com</v>
      </c>
      <c r="C20" s="24">
        <v>43997.0</v>
      </c>
    </row>
    <row r="21" ht="15.75" customHeight="1">
      <c r="A21" s="22" t="s">
        <v>1452</v>
      </c>
      <c r="B21" s="23" t="str">
        <f>IFERROR(__xludf.DUMMYFUNCTION("IF(OR(regexmatch(A21,"".*@simon.es$""),REGEXMATCH(A21,"".*@simon.pt$""),REGEXMATCH(A21,"".*@simonelectrica.com$""),REGEXMATCH(A21,"".*@hiberus.com$""),REGEXMATCH(A21,"".*@simonbrico.es$""),regexmatch(A21,"".*@simonelectric.com$"")),""null"",A21)"),"278@urbaser.com")</f>
        <v>278@urbaser.com</v>
      </c>
      <c r="C21" s="24">
        <v>43997.0</v>
      </c>
    </row>
    <row r="22" ht="15.75" customHeight="1">
      <c r="A22" s="22" t="s">
        <v>1457</v>
      </c>
      <c r="B22" s="23" t="str">
        <f>IFERROR(__xludf.DUMMYFUNCTION("IF(OR(regexmatch(A22,"".*@simon.es$""),REGEXMATCH(A22,"".*@simon.pt$""),REGEXMATCH(A22,"".*@simonelectrica.com$""),REGEXMATCH(A22,"".*@hiberus.com$""),REGEXMATCH(A22,"".*@simonbrico.es$""),regexmatch(A22,"".*@simonelectric.com$"")),""null"",A22)"),"273@gmail.com")</f>
        <v>273@gmail.com</v>
      </c>
      <c r="C22" s="24">
        <v>43997.0</v>
      </c>
    </row>
    <row r="23" ht="15.75" customHeight="1">
      <c r="A23" s="22" t="s">
        <v>1782</v>
      </c>
      <c r="B23" s="23" t="str">
        <f>IFERROR(__xludf.DUMMYFUNCTION("IF(OR(regexmatch(A23,"".*@simon.es$""),REGEXMATCH(A23,"".*@simon.pt$""),REGEXMATCH(A23,"".*@simonelectrica.com$""),REGEXMATCH(A23,"".*@hiberus.com$""),REGEXMATCH(A23,"".*@simonbrico.es$""),regexmatch(A23,"".*@simonelectric.com$"")),""null"",A23)"),"3032@gmail.com")</f>
        <v>3032@gmail.com</v>
      </c>
      <c r="C23" s="24">
        <v>43993.0</v>
      </c>
    </row>
    <row r="24" ht="15.75" customHeight="1">
      <c r="A24" s="22" t="s">
        <v>1411</v>
      </c>
      <c r="B24" s="23" t="str">
        <f>IFERROR(__xludf.DUMMYFUNCTION("IF(OR(regexmatch(A24,"".*@simon.es$""),REGEXMATCH(A24,"".*@simon.pt$""),REGEXMATCH(A24,"".*@simonelectrica.com$""),REGEXMATCH(A24,"".*@hiberus.com$""),REGEXMATCH(A24,"".*@simonbrico.es$""),regexmatch(A24,"".*@simonelectric.com$"")),""null"",A24)"),"324@onsaze.es")</f>
        <v>324@onsaze.es</v>
      </c>
      <c r="C24" s="24">
        <v>43990.0</v>
      </c>
    </row>
    <row r="25" ht="15.75" customHeight="1">
      <c r="A25" s="22" t="s">
        <v>1017</v>
      </c>
      <c r="B25" s="23" t="str">
        <f>IFERROR(__xludf.DUMMYFUNCTION("IF(OR(regexmatch(A25,"".*@simon.es$""),REGEXMATCH(A25,"".*@simon.pt$""),REGEXMATCH(A25,"".*@simonelectrica.com$""),REGEXMATCH(A25,"".*@hiberus.com$""),REGEXMATCH(A25,"".*@simonbrico.es$""),regexmatch(A25,"".*@simonelectric.com$"")),""null"",A25)"),"373@eling.es")</f>
        <v>373@eling.es</v>
      </c>
      <c r="C25" s="24">
        <v>43986.0</v>
      </c>
    </row>
    <row r="26" ht="15.75" customHeight="1">
      <c r="A26" s="22" t="s">
        <v>1138</v>
      </c>
      <c r="B26" s="23" t="str">
        <f>IFERROR(__xludf.DUMMYFUNCTION("IF(OR(regexmatch(A26,"".*@simon.es$""),REGEXMATCH(A26,"".*@simon.pt$""),REGEXMATCH(A26,"".*@simonelectrica.com$""),REGEXMATCH(A26,"".*@hiberus.com$""),REGEXMATCH(A26,"".*@simonbrico.es$""),regexmatch(A26,"".*@simonelectric.com$"")),""null"",A26)"),"361@trabajosadomicilio.es")</f>
        <v>361@trabajosadomicilio.es</v>
      </c>
      <c r="C26" s="24">
        <v>43986.0</v>
      </c>
    </row>
    <row r="27" ht="15.75" customHeight="1">
      <c r="A27" s="22" t="s">
        <v>240</v>
      </c>
      <c r="B27" s="23" t="str">
        <f>IFERROR(__xludf.DUMMYFUNCTION("IF(OR(regexmatch(A27,"".*@simon.es$""),REGEXMATCH(A27,"".*@simon.pt$""),REGEXMATCH(A27,"".*@simonelectrica.com$""),REGEXMATCH(A27,"".*@hiberus.com$""),REGEXMATCH(A27,"".*@simonbrico.es$""),regexmatch(A27,"".*@simonelectric.com$"")),""null"",A27)"),"450@gmail.com")</f>
        <v>450@gmail.com</v>
      </c>
      <c r="C27" s="24">
        <v>43985.0</v>
      </c>
    </row>
    <row r="28" ht="15.75" customHeight="1">
      <c r="A28" s="22" t="s">
        <v>473</v>
      </c>
      <c r="B28" s="23" t="str">
        <f>IFERROR(__xludf.DUMMYFUNCTION("IF(OR(regexmatch(A28,"".*@simon.es$""),REGEXMATCH(A28,"".*@simon.pt$""),REGEXMATCH(A28,"".*@simonelectrica.com$""),REGEXMATCH(A28,"".*@hiberus.com$""),REGEXMATCH(A28,"".*@simonbrico.es$""),regexmatch(A28,"".*@simonelectric.com$"")),""null"",A28)"),"427@gmail.com")</f>
        <v>427@gmail.com</v>
      </c>
      <c r="C28" s="24">
        <v>43985.0</v>
      </c>
    </row>
    <row r="29" ht="15.75" customHeight="1">
      <c r="A29" s="22" t="s">
        <v>2021</v>
      </c>
      <c r="B29" s="23" t="str">
        <f>IFERROR(__xludf.DUMMYFUNCTION("IF(OR(regexmatch(A29,"".*@simon.es$""),REGEXMATCH(A29,"".*@simon.pt$""),REGEXMATCH(A29,"".*@simonelectrica.com$""),REGEXMATCH(A29,"".*@hiberus.com$""),REGEXMATCH(A29,"".*@simonbrico.es$""),regexmatch(A29,"".*@simonelectric.com$"")),""null"",A29)"),"451@ingelux.com")</f>
        <v>451@ingelux.com</v>
      </c>
      <c r="C29" s="24">
        <v>43985.0</v>
      </c>
    </row>
    <row r="30" ht="15.75" customHeight="1">
      <c r="A30" s="22" t="s">
        <v>262</v>
      </c>
      <c r="B30" s="23" t="str">
        <f>IFERROR(__xludf.DUMMYFUNCTION("IF(OR(regexmatch(A30,"".*@simon.es$""),REGEXMATCH(A30,"".*@simon.pt$""),REGEXMATCH(A30,"".*@simonelectrica.com$""),REGEXMATCH(A30,"".*@hiberus.com$""),REGEXMATCH(A30,"".*@simonbrico.es$""),regexmatch(A30,"".*@simonelectric.com$"")),""null"",A30)"),"448@gmail.com")</f>
        <v>448@gmail.com</v>
      </c>
      <c r="C30" s="24">
        <v>43985.0</v>
      </c>
    </row>
    <row r="31" ht="15.75" customHeight="1">
      <c r="A31" s="22" t="s">
        <v>1464</v>
      </c>
      <c r="B31" s="23" t="str">
        <f>IFERROR(__xludf.DUMMYFUNCTION("IF(OR(regexmatch(A31,"".*@simon.es$""),REGEXMATCH(A31,"".*@simon.pt$""),REGEXMATCH(A31,"".*@simonelectrica.com$""),REGEXMATCH(A31,"".*@hiberus.com$""),REGEXMATCH(A31,"".*@simonbrico.es$""),regexmatch(A31,"".*@simonelectric.com$"")),""null"",A31)"),"260@hotmail.com")</f>
        <v>260@hotmail.com</v>
      </c>
      <c r="C31" s="24">
        <v>43985.0</v>
      </c>
    </row>
    <row r="32" ht="15.75" customHeight="1">
      <c r="A32" s="22" t="s">
        <v>1790</v>
      </c>
      <c r="B32" s="23" t="str">
        <f>IFERROR(__xludf.DUMMYFUNCTION("IF(OR(regexmatch(A32,"".*@simon.es$""),REGEXMATCH(A32,"".*@simon.pt$""),REGEXMATCH(A32,"".*@simonelectrica.com$""),REGEXMATCH(A32,"".*@hiberus.com$""),REGEXMATCH(A32,"".*@simonbrico.es$""),regexmatch(A32,"".*@simonelectric.com$"")),""null"",A32)"),"454@gmail.com")</f>
        <v>454@gmail.com</v>
      </c>
      <c r="C32" s="24">
        <v>43985.0</v>
      </c>
    </row>
    <row r="33" ht="15.75" customHeight="1">
      <c r="A33" s="22" t="s">
        <v>44</v>
      </c>
      <c r="B33" s="23" t="str">
        <f>IFERROR(__xludf.DUMMYFUNCTION("IF(OR(regexmatch(A33,"".*@simon.es$""),REGEXMATCH(A33,"".*@simon.pt$""),REGEXMATCH(A33,"".*@simonelectrica.com$""),REGEXMATCH(A33,"".*@hiberus.com$""),REGEXMATCH(A33,"".*@simonbrico.es$""),regexmatch(A33,"".*@simonelectric.com$"")),""null"",A33)"),"470@gmail.com")</f>
        <v>470@gmail.com</v>
      </c>
      <c r="C33" s="24">
        <v>43983.0</v>
      </c>
    </row>
    <row r="34" ht="15.75" customHeight="1">
      <c r="A34" s="22" t="s">
        <v>59</v>
      </c>
      <c r="B34" s="23" t="str">
        <f>IFERROR(__xludf.DUMMYFUNCTION("IF(OR(regexmatch(A34,"".*@simon.es$""),REGEXMATCH(A34,"".*@simon.pt$""),REGEXMATCH(A34,"".*@simonelectrica.com$""),REGEXMATCH(A34,"".*@hiberus.com$""),REGEXMATCH(A34,"".*@simonbrico.es$""),regexmatch(A34,"".*@simonelectric.com$"")),""null"",A34)"),"468@yahoo.es")</f>
        <v>468@yahoo.es</v>
      </c>
      <c r="C34" s="24">
        <v>43983.0</v>
      </c>
    </row>
    <row r="35" ht="15.75" customHeight="1">
      <c r="A35" s="22" t="s">
        <v>1794</v>
      </c>
      <c r="B35" s="23" t="str">
        <f>IFERROR(__xludf.DUMMYFUNCTION("IF(OR(regexmatch(A35,"".*@simon.es$""),REGEXMATCH(A35,"".*@simon.pt$""),REGEXMATCH(A35,"".*@simonelectrica.com$""),REGEXMATCH(A35,"".*@hiberus.com$""),REGEXMATCH(A35,"".*@simonbrico.es$""),regexmatch(A35,"".*@simonelectric.com$"")),""null"",A35)"),"481@gmail.com")</f>
        <v>481@gmail.com</v>
      </c>
      <c r="C35" s="24">
        <v>43981.0</v>
      </c>
    </row>
    <row r="36" ht="15.75" customHeight="1">
      <c r="A36" s="22" t="s">
        <v>42</v>
      </c>
      <c r="B36" s="23" t="str">
        <f>IFERROR(__xludf.DUMMYFUNCTION("IF(OR(regexmatch(A36,"".*@simon.es$""),REGEXMATCH(A36,"".*@simon.pt$""),REGEXMATCH(A36,"".*@simonelectrica.com$""),REGEXMATCH(A36,"".*@hiberus.com$""),REGEXMATCH(A36,"".*@simonbrico.es$""),regexmatch(A36,"".*@simonelectric.com$"")),""null"",A36)"),"521@gmail.com")</f>
        <v>521@gmail.com</v>
      </c>
      <c r="C36" s="24">
        <v>43976.0</v>
      </c>
    </row>
    <row r="37" ht="15.75" customHeight="1">
      <c r="A37" s="22" t="s">
        <v>41</v>
      </c>
      <c r="B37" s="23" t="str">
        <f>IFERROR(__xludf.DUMMYFUNCTION("IF(OR(regexmatch(A37,"".*@simon.es$""),REGEXMATCH(A37,"".*@simon.pt$""),REGEXMATCH(A37,"".*@simonelectrica.com$""),REGEXMATCH(A37,"".*@hiberus.com$""),REGEXMATCH(A37,"".*@simonbrico.es$""),regexmatch(A37,"".*@simonelectric.com$"")),""null"",A37)"),"526@gmail.com")</f>
        <v>526@gmail.com</v>
      </c>
      <c r="C37" s="24">
        <v>43976.0</v>
      </c>
    </row>
    <row r="38" ht="15.75" customHeight="1">
      <c r="A38" s="22" t="s">
        <v>1799</v>
      </c>
      <c r="B38" s="23" t="str">
        <f>IFERROR(__xludf.DUMMYFUNCTION("IF(OR(regexmatch(A38,"".*@simon.es$""),REGEXMATCH(A38,"".*@simon.pt$""),REGEXMATCH(A38,"".*@simonelectrica.com$""),REGEXMATCH(A38,"".*@hiberus.com$""),REGEXMATCH(A38,"".*@simonbrico.es$""),regexmatch(A38,"".*@simonelectric.com$"")),""null"",A38)"),"569@hotmail.com")</f>
        <v>569@hotmail.com</v>
      </c>
      <c r="C38" s="24">
        <v>43975.0</v>
      </c>
    </row>
    <row r="39" ht="15.75" customHeight="1">
      <c r="A39" s="22" t="s">
        <v>40</v>
      </c>
      <c r="B39" s="23" t="str">
        <f>IFERROR(__xludf.DUMMYFUNCTION("IF(OR(regexmatch(A39,"".*@simon.es$""),REGEXMATCH(A39,"".*@simon.pt$""),REGEXMATCH(A39,"".*@simonelectrica.com$""),REGEXMATCH(A39,"".*@hiberus.com$""),REGEXMATCH(A39,"".*@simonbrico.es$""),regexmatch(A39,"".*@simonelectric.com$"")),""null"",A39)"),"565@gmail.com")</f>
        <v>565@gmail.com</v>
      </c>
      <c r="C39" s="24">
        <v>43975.0</v>
      </c>
    </row>
    <row r="40" ht="15.75" customHeight="1">
      <c r="A40" s="22" t="s">
        <v>675</v>
      </c>
      <c r="B40" s="23" t="str">
        <f>IFERROR(__xludf.DUMMYFUNCTION("IF(OR(regexmatch(A40,"".*@simon.es$""),REGEXMATCH(A40,"".*@simon.pt$""),REGEXMATCH(A40,"".*@simonelectrica.com$""),REGEXMATCH(A40,"".*@hiberus.com$""),REGEXMATCH(A40,"".*@simonbrico.es$""),regexmatch(A40,"".*@simonelectric.com$"")),""null"",A40)"),"4070@hotmail.com")</f>
        <v>4070@hotmail.com</v>
      </c>
      <c r="C40" s="24">
        <v>43974.0</v>
      </c>
    </row>
    <row r="41" ht="15.75" customHeight="1">
      <c r="A41" s="22" t="s">
        <v>38</v>
      </c>
      <c r="B41" s="23" t="str">
        <f>IFERROR(__xludf.DUMMYFUNCTION("IF(OR(regexmatch(A41,"".*@simon.es$""),REGEXMATCH(A41,"".*@simon.pt$""),REGEXMATCH(A41,"".*@simonelectrica.com$""),REGEXMATCH(A41,"".*@hiberus.com$""),REGEXMATCH(A41,"".*@simonbrico.es$""),regexmatch(A41,"".*@simonelectric.com$"")),""null"",A41)"),"583@iesmontsia.org")</f>
        <v>583@iesmontsia.org</v>
      </c>
      <c r="C41" s="24">
        <v>43974.0</v>
      </c>
    </row>
    <row r="42" ht="15.75" customHeight="1">
      <c r="A42" s="22" t="s">
        <v>29</v>
      </c>
      <c r="B42" s="23" t="str">
        <f>IFERROR(__xludf.DUMMYFUNCTION("IF(OR(regexmatch(A42,"".*@simon.es$""),REGEXMATCH(A42,"".*@simon.pt$""),REGEXMATCH(A42,"".*@simonelectrica.com$""),REGEXMATCH(A42,"".*@hiberus.com$""),REGEXMATCH(A42,"".*@simonbrico.es$""),regexmatch(A42,"".*@simonelectric.com$"")),""null"",A42)"),"667@ces2010.es")</f>
        <v>667@ces2010.es</v>
      </c>
      <c r="C42" s="24">
        <v>43973.0</v>
      </c>
    </row>
    <row r="43" ht="15.75" customHeight="1">
      <c r="A43" s="22" t="s">
        <v>32</v>
      </c>
      <c r="B43" s="23" t="str">
        <f>IFERROR(__xludf.DUMMYFUNCTION("IF(OR(regexmatch(A43,"".*@simon.es$""),REGEXMATCH(A43,"".*@simon.pt$""),REGEXMATCH(A43,"".*@simonelectrica.com$""),REGEXMATCH(A43,"".*@hiberus.com$""),REGEXMATCH(A43,"".*@simonbrico.es$""),regexmatch(A43,"".*@simonelectric.com$"")),""null"",A43)"),"635@coneq.es")</f>
        <v>635@coneq.es</v>
      </c>
      <c r="C43" s="24">
        <v>43973.0</v>
      </c>
    </row>
    <row r="44" ht="15.75" customHeight="1">
      <c r="A44" s="22" t="s">
        <v>1414</v>
      </c>
      <c r="B44" s="23" t="str">
        <f>IFERROR(__xludf.DUMMYFUNCTION("IF(OR(regexmatch(A44,"".*@simon.es$""),REGEXMATCH(A44,"".*@simon.pt$""),REGEXMATCH(A44,"".*@simonelectrica.com$""),REGEXMATCH(A44,"".*@hiberus.com$""),REGEXMATCH(A44,"".*@simonbrico.es$""),regexmatch(A44,"".*@simonelectric.com$"")),""null"",A44)"),"3190@aprenergia.es")</f>
        <v>3190@aprenergia.es</v>
      </c>
      <c r="C44" s="24">
        <v>43973.0</v>
      </c>
    </row>
    <row r="45" ht="15.75" customHeight="1">
      <c r="A45" s="22" t="s">
        <v>2022</v>
      </c>
      <c r="B45" s="23" t="str">
        <f>IFERROR(__xludf.DUMMYFUNCTION("IF(OR(regexmatch(A45,"".*@simon.es$""),REGEXMATCH(A45,"".*@simon.pt$""),REGEXMATCH(A45,"".*@simonelectrica.com$""),REGEXMATCH(A45,"".*@hiberus.com$""),REGEXMATCH(A45,"".*@simonbrico.es$""),regexmatch(A45,"".*@simonelectric.com$"")),""null"",A45)"),"726@gmail.com")</f>
        <v>726@gmail.com</v>
      </c>
      <c r="C45" s="24">
        <v>43972.0</v>
      </c>
    </row>
    <row r="46" ht="15.75" customHeight="1">
      <c r="A46" s="22" t="s">
        <v>980</v>
      </c>
      <c r="B46" s="23" t="str">
        <f>IFERROR(__xludf.DUMMYFUNCTION("IF(OR(regexmatch(A46,"".*@simon.es$""),REGEXMATCH(A46,"".*@simon.pt$""),REGEXMATCH(A46,"".*@simonelectrica.com$""),REGEXMATCH(A46,"".*@hiberus.com$""),REGEXMATCH(A46,"".*@simonbrico.es$""),regexmatch(A46,"".*@simonelectric.com$"")),""null"",A46)"),"3766@outlook.com")</f>
        <v>3766@outlook.com</v>
      </c>
      <c r="C46" s="24">
        <v>43972.0</v>
      </c>
    </row>
    <row r="47" ht="15.75" customHeight="1">
      <c r="A47" s="22" t="s">
        <v>36</v>
      </c>
      <c r="B47" s="23" t="str">
        <f>IFERROR(__xludf.DUMMYFUNCTION("IF(OR(regexmatch(A47,"".*@simon.es$""),REGEXMATCH(A47,"".*@simon.pt$""),REGEXMATCH(A47,"".*@simonelectrica.com$""),REGEXMATCH(A47,"".*@hiberus.com$""),REGEXMATCH(A47,"".*@simonbrico.es$""),regexmatch(A47,"".*@simonelectric.com$"")),""null"",A47)"),"608@sgingenieros.es")</f>
        <v>608@sgingenieros.es</v>
      </c>
      <c r="C47" s="24">
        <v>43972.0</v>
      </c>
    </row>
    <row r="48" ht="15.75" customHeight="1">
      <c r="A48" s="22" t="s">
        <v>1428</v>
      </c>
      <c r="B48" s="23" t="str">
        <f>IFERROR(__xludf.DUMMYFUNCTION("IF(OR(regexmatch(A48,"".*@simon.es$""),REGEXMATCH(A48,"".*@simon.pt$""),REGEXMATCH(A48,"".*@simonelectrica.com$""),REGEXMATCH(A48,"".*@hiberus.com$""),REGEXMATCH(A48,"".*@simonbrico.es$""),regexmatch(A48,"".*@simonelectric.com$"")),""null"",A48)"),"3026@gmail.com")</f>
        <v>3026@gmail.com</v>
      </c>
      <c r="C48" s="24">
        <v>43972.0</v>
      </c>
    </row>
    <row r="49" ht="15.75" customHeight="1">
      <c r="A49" s="22" t="s">
        <v>1378</v>
      </c>
      <c r="B49" s="23" t="str">
        <f>IFERROR(__xludf.DUMMYFUNCTION("IF(OR(regexmatch(A49,"".*@simon.es$""),REGEXMATCH(A49,"".*@simon.pt$""),REGEXMATCH(A49,"".*@simonelectrica.com$""),REGEXMATCH(A49,"".*@hiberus.com$""),REGEXMATCH(A49,"".*@simonbrico.es$""),regexmatch(A49,"".*@simonelectric.com$"")),""null"",A49)"),"3370@hotmail.com")</f>
        <v>3370@hotmail.com</v>
      </c>
      <c r="C49" s="24">
        <v>43972.0</v>
      </c>
    </row>
    <row r="50" ht="15.75" customHeight="1">
      <c r="A50" s="22" t="s">
        <v>28</v>
      </c>
      <c r="B50" s="23" t="str">
        <f>IFERROR(__xludf.DUMMYFUNCTION("IF(OR(regexmatch(A50,"".*@simon.es$""),REGEXMATCH(A50,"".*@simon.pt$""),REGEXMATCH(A50,"".*@simonelectrica.com$""),REGEXMATCH(A50,"".*@hiberus.com$""),REGEXMATCH(A50,"".*@simonbrico.es$""),regexmatch(A50,"".*@simonelectric.com$"")),""null"",A50)"),"668@dipucordoba.es")</f>
        <v>668@dipucordoba.es</v>
      </c>
      <c r="C50" s="24">
        <v>43972.0</v>
      </c>
    </row>
    <row r="51" ht="15.75" customHeight="1">
      <c r="A51" s="22" t="s">
        <v>1558</v>
      </c>
      <c r="B51" s="23" t="str">
        <f>IFERROR(__xludf.DUMMYFUNCTION("IF(OR(regexmatch(A51,"".*@simon.es$""),REGEXMATCH(A51,"".*@simon.pt$""),REGEXMATCH(A51,"".*@simonelectrica.com$""),REGEXMATCH(A51,"".*@hiberus.com$""),REGEXMATCH(A51,"".*@simonbrico.es$""),regexmatch(A51,"".*@simonelectric.com$"")),""null"",A51)"),"352@live.com.mx")</f>
        <v>352@live.com.mx</v>
      </c>
      <c r="C51" s="24">
        <v>43972.0</v>
      </c>
    </row>
    <row r="52" ht="15.75" customHeight="1">
      <c r="A52" s="22" t="s">
        <v>1811</v>
      </c>
      <c r="B52" s="23" t="str">
        <f>IFERROR(__xludf.DUMMYFUNCTION("IF(OR(regexmatch(A52,"".*@simon.es$""),REGEXMATCH(A52,"".*@simon.pt$""),REGEXMATCH(A52,"".*@simonelectrica.com$""),REGEXMATCH(A52,"".*@hiberus.com$""),REGEXMATCH(A52,"".*@simonbrico.es$""),regexmatch(A52,"".*@simonelectric.com$"")),""null"",A52)"),"733@gmail.com")</f>
        <v>733@gmail.com</v>
      </c>
      <c r="C52" s="24">
        <v>43972.0</v>
      </c>
    </row>
    <row r="53" ht="15.75" customHeight="1">
      <c r="A53" s="22" t="s">
        <v>1807</v>
      </c>
      <c r="B53" s="23" t="str">
        <f>IFERROR(__xludf.DUMMYFUNCTION("IF(OR(regexmatch(A53,"".*@simon.es$""),REGEXMATCH(A53,"".*@simon.pt$""),REGEXMATCH(A53,"".*@simonelectrica.com$""),REGEXMATCH(A53,"".*@hiberus.com$""),REGEXMATCH(A53,"".*@simonbrico.es$""),regexmatch(A53,"".*@simonelectric.com$"")),""null"",A53)"),"701@gmail.com")</f>
        <v>701@gmail.com</v>
      </c>
      <c r="C53" s="24">
        <v>43972.0</v>
      </c>
    </row>
    <row r="54" ht="15.75" customHeight="1">
      <c r="A54" s="22" t="s">
        <v>23</v>
      </c>
      <c r="B54" s="23" t="str">
        <f>IFERROR(__xludf.DUMMYFUNCTION("IF(OR(regexmatch(A54,"".*@simon.es$""),REGEXMATCH(A54,"".*@simon.pt$""),REGEXMATCH(A54,"".*@simonelectrica.com$""),REGEXMATCH(A54,"".*@hiberus.com$""),REGEXMATCH(A54,"".*@simonbrico.es$""),regexmatch(A54,"".*@simonelectric.com$"")),""null"",A54)"),"735@serveiskronier55.com")</f>
        <v>735@serveiskronier55.com</v>
      </c>
      <c r="C54" s="24">
        <v>43972.0</v>
      </c>
    </row>
    <row r="55" ht="15.75" customHeight="1">
      <c r="A55" s="22" t="s">
        <v>1814</v>
      </c>
      <c r="B55" s="23" t="str">
        <f>IFERROR(__xludf.DUMMYFUNCTION("IF(OR(regexmatch(A55,"".*@simon.es$""),REGEXMATCH(A55,"".*@simon.pt$""),REGEXMATCH(A55,"".*@simonelectrica.com$""),REGEXMATCH(A55,"".*@hiberus.com$""),REGEXMATCH(A55,"".*@simonbrico.es$""),regexmatch(A55,"".*@simonelectric.com$"")),""null"",A55)"),"3028@gmail.com")</f>
        <v>3028@gmail.com</v>
      </c>
      <c r="C55" s="24">
        <v>43972.0</v>
      </c>
    </row>
    <row r="56" ht="15.75" customHeight="1">
      <c r="A56" s="22" t="s">
        <v>1427</v>
      </c>
      <c r="B56" s="23" t="str">
        <f>IFERROR(__xludf.DUMMYFUNCTION("IF(OR(regexmatch(A56,"".*@simon.es$""),REGEXMATCH(A56,"".*@simon.pt$""),REGEXMATCH(A56,"".*@simonelectrica.com$""),REGEXMATCH(A56,"".*@hiberus.com$""),REGEXMATCH(A56,"".*@simonbrico.es$""),regexmatch(A56,"".*@simonelectric.com$"")),""null"",A56)"),"3037@gmail.com")</f>
        <v>3037@gmail.com</v>
      </c>
      <c r="C56" s="24">
        <v>43972.0</v>
      </c>
    </row>
    <row r="57" ht="15.75" customHeight="1">
      <c r="A57" s="22" t="s">
        <v>31</v>
      </c>
      <c r="B57" s="23" t="str">
        <f>IFERROR(__xludf.DUMMYFUNCTION("IF(OR(regexmatch(A57,"".*@simon.es$""),REGEXMATCH(A57,"".*@simon.pt$""),REGEXMATCH(A57,"".*@simonelectrica.com$""),REGEXMATCH(A57,"".*@hiberus.com$""),REGEXMATCH(A57,"".*@simonbrico.es$""),regexmatch(A57,"".*@simonelectric.com$"")),""null"",A57)"),"642@ecoviv.eu")</f>
        <v>642@ecoviv.eu</v>
      </c>
      <c r="C57" s="24">
        <v>43972.0</v>
      </c>
    </row>
    <row r="58" ht="15.75" customHeight="1">
      <c r="A58" s="22" t="s">
        <v>1429</v>
      </c>
      <c r="B58" s="23" t="str">
        <f>IFERROR(__xludf.DUMMYFUNCTION("IF(OR(regexmatch(A58,"".*@simon.es$""),REGEXMATCH(A58,"".*@simon.pt$""),REGEXMATCH(A58,"".*@simonelectrica.com$""),REGEXMATCH(A58,"".*@hiberus.com$""),REGEXMATCH(A58,"".*@simonbrico.es$""),regexmatch(A58,"".*@simonelectric.com$"")),""null"",A58)"),"3025@ingenierosvigo.com")</f>
        <v>3025@ingenierosvigo.com</v>
      </c>
      <c r="C58" s="24">
        <v>43972.0</v>
      </c>
    </row>
    <row r="59" ht="15.75" customHeight="1">
      <c r="A59" s="22" t="s">
        <v>1803</v>
      </c>
      <c r="B59" s="23" t="str">
        <f>IFERROR(__xludf.DUMMYFUNCTION("IF(OR(regexmatch(A59,"".*@simon.es$""),REGEXMATCH(A59,"".*@simon.pt$""),REGEXMATCH(A59,"".*@simonelectrica.com$""),REGEXMATCH(A59,"".*@hiberus.com$""),REGEXMATCH(A59,"".*@simonbrico.es$""),regexmatch(A59,"".*@simonelectric.com$"")),""null"",A59)"),"615@iealcazar.com")</f>
        <v>615@iealcazar.com</v>
      </c>
      <c r="C59" s="24">
        <v>43971.0</v>
      </c>
    </row>
    <row r="60" ht="15.75" customHeight="1">
      <c r="A60" s="22" t="s">
        <v>1229</v>
      </c>
      <c r="B60" s="23" t="str">
        <f>IFERROR(__xludf.DUMMYFUNCTION("IF(OR(regexmatch(A60,"".*@simon.es$""),REGEXMATCH(A60,"".*@simon.pt$""),REGEXMATCH(A60,"".*@simonelectrica.com$""),REGEXMATCH(A60,"".*@hiberus.com$""),REGEXMATCH(A60,"".*@simonbrico.es$""),regexmatch(A60,"".*@simonelectric.com$"")),""null"",A60)"),"3519@gmail.com")</f>
        <v>3519@gmail.com</v>
      </c>
      <c r="C60" s="24">
        <v>43971.0</v>
      </c>
    </row>
    <row r="61" ht="15.75" customHeight="1">
      <c r="A61" s="22" t="s">
        <v>39</v>
      </c>
      <c r="B61" s="23" t="str">
        <f>IFERROR(__xludf.DUMMYFUNCTION("IF(OR(regexmatch(A61,"".*@simon.es$""),REGEXMATCH(A61,"".*@simon.pt$""),REGEXMATCH(A61,"".*@simonelectrica.com$""),REGEXMATCH(A61,"".*@hiberus.com$""),REGEXMATCH(A61,"".*@simonbrico.es$""),regexmatch(A61,"".*@simonelectric.com$"")),""null"",A61)"),"567@sonovatec.com")</f>
        <v>567@sonovatec.com</v>
      </c>
      <c r="C61" s="24">
        <v>43971.0</v>
      </c>
    </row>
    <row r="62" ht="15.75" customHeight="1">
      <c r="A62" s="22" t="s">
        <v>1381</v>
      </c>
      <c r="B62" s="23" t="str">
        <f>IFERROR(__xludf.DUMMYFUNCTION("IF(OR(regexmatch(A62,"".*@simon.es$""),REGEXMATCH(A62,"".*@simon.pt$""),REGEXMATCH(A62,"".*@simonelectrica.com$""),REGEXMATCH(A62,"".*@hiberus.com$""),REGEXMATCH(A62,"".*@simonbrico.es$""),regexmatch(A62,"".*@simonelectric.com$"")),""null"",A62)"),"3367@gmail.com")</f>
        <v>3367@gmail.com</v>
      </c>
      <c r="C62" s="24">
        <v>43971.0</v>
      </c>
    </row>
    <row r="63" ht="15.75" customHeight="1">
      <c r="A63" s="22" t="s">
        <v>2023</v>
      </c>
      <c r="B63" s="23" t="str">
        <f>IFERROR(__xludf.DUMMYFUNCTION("IF(OR(regexmatch(A63,"".*@simon.es$""),REGEXMATCH(A63,"".*@simon.pt$""),REGEXMATCH(A63,"".*@simonelectrica.com$""),REGEXMATCH(A63,"".*@hiberus.com$""),REGEXMATCH(A63,"".*@simonbrico.es$""),regexmatch(A63,"".*@simonelectric.com$"")),""null"",A63)"),"601@gmail.com")</f>
        <v>601@gmail.com</v>
      </c>
      <c r="C63" s="24">
        <v>43971.0</v>
      </c>
    </row>
    <row r="64" ht="15.75" customHeight="1">
      <c r="A64" s="22" t="s">
        <v>1671</v>
      </c>
      <c r="B64" s="23" t="str">
        <f>IFERROR(__xludf.DUMMYFUNCTION("IF(OR(regexmatch(A64,"".*@simon.es$""),REGEXMATCH(A64,"".*@simon.pt$""),REGEXMATCH(A64,"".*@simonelectrica.com$""),REGEXMATCH(A64,"".*@hiberus.com$""),REGEXMATCH(A64,"".*@simonbrico.es$""),regexmatch(A64,"".*@simonelectric.com$"")),""null"",A64)"),"623@gmail.com")</f>
        <v>623@gmail.com</v>
      </c>
      <c r="C64" s="24">
        <v>43971.0</v>
      </c>
    </row>
    <row r="65" ht="15.75" customHeight="1">
      <c r="A65" s="22" t="s">
        <v>25</v>
      </c>
      <c r="B65" s="23" t="str">
        <f>IFERROR(__xludf.DUMMYFUNCTION("IF(OR(regexmatch(A65,"".*@simon.es$""),REGEXMATCH(A65,"".*@simon.pt$""),REGEXMATCH(A65,"".*@simonelectrica.com$""),REGEXMATCH(A65,"".*@hiberus.com$""),REGEXMATCH(A65,"".*@simonbrico.es$""),regexmatch(A65,"".*@simonelectric.com$"")),""null"",A65)"),"713@gmail.com")</f>
        <v>713@gmail.com</v>
      </c>
      <c r="C65" s="24">
        <v>43971.0</v>
      </c>
    </row>
    <row r="66" ht="15.75" customHeight="1">
      <c r="A66" s="22" t="s">
        <v>22</v>
      </c>
      <c r="B66" s="23" t="str">
        <f>IFERROR(__xludf.DUMMYFUNCTION("IF(OR(regexmatch(A66,"".*@simon.es$""),REGEXMATCH(A66,"".*@simon.pt$""),REGEXMATCH(A66,"".*@simonelectrica.com$""),REGEXMATCH(A66,"".*@hiberus.com$""),REGEXMATCH(A66,"".*@simonbrico.es$""),regexmatch(A66,"".*@simonelectric.com$"")),""null"",A66)"),"749@gmail.com")</f>
        <v>749@gmail.com</v>
      </c>
      <c r="C66" s="24">
        <v>43971.0</v>
      </c>
    </row>
    <row r="67" ht="15.75" customHeight="1">
      <c r="A67" s="22" t="s">
        <v>1822</v>
      </c>
      <c r="B67" s="23" t="str">
        <f>IFERROR(__xludf.DUMMYFUNCTION("IF(OR(regexmatch(A67,"".*@simon.es$""),REGEXMATCH(A67,"".*@simon.pt$""),REGEXMATCH(A67,"".*@simonelectrica.com$""),REGEXMATCH(A67,"".*@hiberus.com$""),REGEXMATCH(A67,"".*@simonbrico.es$""),regexmatch(A67,"".*@simonelectric.com$"")),""null"",A67)"),"3030@a6ingenieria.es")</f>
        <v>3030@a6ingenieria.es</v>
      </c>
      <c r="C67" s="24">
        <v>43971.0</v>
      </c>
    </row>
    <row r="68" ht="15.75" customHeight="1">
      <c r="A68" s="22" t="s">
        <v>1491</v>
      </c>
      <c r="B68" s="23" t="str">
        <f>IFERROR(__xludf.DUMMYFUNCTION("IF(OR(regexmatch(A68,"".*@simon.es$""),REGEXMATCH(A68,"".*@simon.pt$""),REGEXMATCH(A68,"".*@simonelectrica.com$""),REGEXMATCH(A68,"".*@hiberus.com$""),REGEXMATCH(A68,"".*@simonbrico.es$""),regexmatch(A68,"".*@simonelectric.com$"")),""null"",A68)"),"207@tecnicasyrecursos.com")</f>
        <v>207@tecnicasyrecursos.com</v>
      </c>
      <c r="C68" s="24">
        <v>43971.0</v>
      </c>
    </row>
    <row r="69" ht="15.75" customHeight="1">
      <c r="A69" s="22" t="s">
        <v>1568</v>
      </c>
      <c r="B69" s="23" t="str">
        <f>IFERROR(__xludf.DUMMYFUNCTION("IF(OR(regexmatch(A69,"".*@simon.es$""),REGEXMATCH(A69,"".*@simon.pt$""),REGEXMATCH(A69,"".*@simonelectrica.com$""),REGEXMATCH(A69,"".*@hiberus.com$""),REGEXMATCH(A69,"".*@simonbrico.es$""),regexmatch(A69,"".*@simonelectric.com$"")),""null"",A69)"),"770@inmotiza.com")</f>
        <v>770@inmotiza.com</v>
      </c>
      <c r="C69" s="24">
        <v>43971.0</v>
      </c>
    </row>
    <row r="70" ht="15.75" customHeight="1">
      <c r="A70" s="22" t="s">
        <v>1425</v>
      </c>
      <c r="B70" s="23" t="str">
        <f>IFERROR(__xludf.DUMMYFUNCTION("IF(OR(regexmatch(A70,"".*@simon.es$""),REGEXMATCH(A70,"".*@simon.pt$""),REGEXMATCH(A70,"".*@simonelectrica.com$""),REGEXMATCH(A70,"".*@hiberus.com$""),REGEXMATCH(A70,"".*@simonbrico.es$""),regexmatch(A70,"".*@simonelectric.com$"")),""null"",A70)"),"3046@gmail.com")</f>
        <v>3046@gmail.com</v>
      </c>
      <c r="C70" s="24">
        <v>43971.0</v>
      </c>
    </row>
    <row r="71" ht="15.75" customHeight="1">
      <c r="A71" s="22" t="s">
        <v>33</v>
      </c>
      <c r="B71" s="23" t="str">
        <f>IFERROR(__xludf.DUMMYFUNCTION("IF(OR(regexmatch(A71,"".*@simon.es$""),REGEXMATCH(A71,"".*@simon.pt$""),REGEXMATCH(A71,"".*@simonelectrica.com$""),REGEXMATCH(A71,"".*@hiberus.com$""),REGEXMATCH(A71,"".*@simonbrico.es$""),regexmatch(A71,"".*@simonelectric.com$"")),""null"",A71)"),"634@easycharger.es")</f>
        <v>634@easycharger.es</v>
      </c>
      <c r="C71" s="24">
        <v>43971.0</v>
      </c>
    </row>
    <row r="72" ht="15.75" customHeight="1">
      <c r="A72" s="22" t="s">
        <v>1489</v>
      </c>
      <c r="B72" s="23" t="str">
        <f>IFERROR(__xludf.DUMMYFUNCTION("IF(OR(regexmatch(A72,"".*@simon.es$""),REGEXMATCH(A72,"".*@simon.pt$""),REGEXMATCH(A72,"".*@simonelectrica.com$""),REGEXMATCH(A72,"".*@hiberus.com$""),REGEXMATCH(A72,"".*@simonbrico.es$""),regexmatch(A72,"".*@simonelectric.com$"")),""null"",A72)"),"2082@hotmail.com")</f>
        <v>2082@hotmail.com</v>
      </c>
      <c r="C72" s="24">
        <v>43971.0</v>
      </c>
    </row>
    <row r="73" ht="15.75" customHeight="1">
      <c r="A73" s="22" t="s">
        <v>19</v>
      </c>
      <c r="B73" s="23" t="str">
        <f>IFERROR(__xludf.DUMMYFUNCTION("IF(OR(regexmatch(A73,"".*@simon.es$""),REGEXMATCH(A73,"".*@simon.pt$""),REGEXMATCH(A73,"".*@simonelectrica.com$""),REGEXMATCH(A73,"".*@hiberus.com$""),REGEXMATCH(A73,"".*@simonbrico.es$""),regexmatch(A73,"".*@simonelectric.com$"")),""null"",A73)"),"773@perequart.com")</f>
        <v>773@perequart.com</v>
      </c>
      <c r="C73" s="24">
        <v>43971.0</v>
      </c>
    </row>
    <row r="74" ht="15.75" customHeight="1">
      <c r="A74" s="22" t="s">
        <v>27</v>
      </c>
      <c r="B74" s="23" t="str">
        <f>IFERROR(__xludf.DUMMYFUNCTION("IF(OR(regexmatch(A74,"".*@simon.es$""),REGEXMATCH(A74,"".*@simon.pt$""),REGEXMATCH(A74,"".*@simonelectrica.com$""),REGEXMATCH(A74,"".*@hiberus.com$""),REGEXMATCH(A74,"".*@simonbrico.es$""),regexmatch(A74,"".*@simonelectric.com$"")),""null"",A74)"),"684@gmail.com")</f>
        <v>684@gmail.com</v>
      </c>
      <c r="C74" s="24">
        <v>43971.0</v>
      </c>
    </row>
    <row r="75" ht="15.75" customHeight="1">
      <c r="A75" s="22" t="s">
        <v>1817</v>
      </c>
      <c r="B75" s="23" t="str">
        <f>IFERROR(__xludf.DUMMYFUNCTION("IF(OR(regexmatch(A75,"".*@simon.es$""),REGEXMATCH(A75,"".*@simon.pt$""),REGEXMATCH(A75,"".*@simonelectrica.com$""),REGEXMATCH(A75,"".*@hiberus.com$""),REGEXMATCH(A75,"".*@simonbrico.es$""),regexmatch(A75,"".*@simonelectric.com$"")),""null"",A75)"),"957@germaniaweb.com")</f>
        <v>957@germaniaweb.com</v>
      </c>
      <c r="C75" s="24">
        <v>43971.0</v>
      </c>
    </row>
    <row r="76" ht="15.75" customHeight="1">
      <c r="A76" s="22" t="s">
        <v>1827</v>
      </c>
      <c r="B76" s="23" t="str">
        <f>IFERROR(__xludf.DUMMYFUNCTION("IF(OR(regexmatch(A76,"".*@simon.es$""),REGEXMATCH(A76,"".*@simon.pt$""),REGEXMATCH(A76,"".*@simonelectrica.com$""),REGEXMATCH(A76,"".*@hiberus.com$""),REGEXMATCH(A76,"".*@simonbrico.es$""),regexmatch(A76,"".*@simonelectric.com$"")),""null"",A76)"),"789@simsabdn.cat")</f>
        <v>789@simsabdn.cat</v>
      </c>
      <c r="C76" s="24">
        <v>43970.0</v>
      </c>
    </row>
    <row r="77" ht="15.75" customHeight="1">
      <c r="A77" s="22" t="s">
        <v>2024</v>
      </c>
      <c r="B77" s="23" t="str">
        <f>IFERROR(__xludf.DUMMYFUNCTION("IF(OR(regexmatch(A77,"".*@simon.es$""),REGEXMATCH(A77,"".*@simon.pt$""),REGEXMATCH(A77,"".*@simonelectrica.com$""),REGEXMATCH(A77,"".*@hiberus.com$""),REGEXMATCH(A77,"".*@simonbrico.es$""),regexmatch(A77,"".*@simonelectric.com$"")),""null"",A77)"),"597@svingenieria.com.co")</f>
        <v>597@svingenieria.com.co</v>
      </c>
      <c r="C77" s="24">
        <v>43970.0</v>
      </c>
    </row>
    <row r="78" ht="15.75" customHeight="1">
      <c r="A78" s="22" t="s">
        <v>18</v>
      </c>
      <c r="B78" s="23" t="str">
        <f>IFERROR(__xludf.DUMMYFUNCTION("IF(OR(regexmatch(A78,"".*@simon.es$""),REGEXMATCH(A78,"".*@simon.pt$""),REGEXMATCH(A78,"".*@simonelectrica.com$""),REGEXMATCH(A78,"".*@hiberus.com$""),REGEXMATCH(A78,"".*@simonbrico.es$""),regexmatch(A78,"".*@simonelectric.com$"")),""null"",A78)"),"781@gmail.com")</f>
        <v>781@gmail.com</v>
      </c>
      <c r="C78" s="24">
        <v>43970.0</v>
      </c>
    </row>
    <row r="79" ht="15.75" customHeight="1">
      <c r="A79" s="22" t="s">
        <v>1624</v>
      </c>
      <c r="B79" s="23" t="str">
        <f>IFERROR(__xludf.DUMMYFUNCTION("IF(OR(regexmatch(A79,"".*@simon.es$""),REGEXMATCH(A79,"".*@simon.pt$""),REGEXMATCH(A79,"".*@simonelectrica.com$""),REGEXMATCH(A79,"".*@hiberus.com$""),REGEXMATCH(A79,"".*@simonbrico.es$""),regexmatch(A79,"".*@simonelectric.com$"")),""null"",A79)"),"802@hotmail.com")</f>
        <v>802@hotmail.com</v>
      </c>
      <c r="C79" s="24">
        <v>43969.0</v>
      </c>
    </row>
    <row r="80" ht="15.75" customHeight="1">
      <c r="A80" s="22" t="s">
        <v>2025</v>
      </c>
      <c r="B80" s="23" t="str">
        <f>IFERROR(__xludf.DUMMYFUNCTION("IF(OR(regexmatch(A80,"".*@simon.es$""),REGEXMATCH(A80,"".*@simon.pt$""),REGEXMATCH(A80,"".*@simonelectrica.com$""),REGEXMATCH(A80,"".*@hiberus.com$""),REGEXMATCH(A80,"".*@simonbrico.es$""),regexmatch(A80,"".*@simonelectric.com$"")),""null"",A80)"),"4730@yahoo.com")</f>
        <v>4730@yahoo.com</v>
      </c>
      <c r="C80" s="24">
        <v>43969.0</v>
      </c>
    </row>
    <row r="81" ht="15.75" customHeight="1">
      <c r="A81" s="22" t="s">
        <v>17</v>
      </c>
      <c r="B81" s="23" t="str">
        <f>IFERROR(__xludf.DUMMYFUNCTION("IF(OR(regexmatch(A81,"".*@simon.es$""),REGEXMATCH(A81,"".*@simon.pt$""),REGEXMATCH(A81,"".*@simonelectrica.com$""),REGEXMATCH(A81,"".*@hiberus.com$""),REGEXMATCH(A81,"".*@simonbrico.es$""),regexmatch(A81,"".*@simonelectric.com$"")),""null"",A81)"),"800@taubertek.com")</f>
        <v>800@taubertek.com</v>
      </c>
      <c r="C81" s="24">
        <v>43969.0</v>
      </c>
    </row>
    <row r="82" ht="15.75" customHeight="1">
      <c r="A82" s="22" t="s">
        <v>35</v>
      </c>
      <c r="B82" s="23" t="str">
        <f>IFERROR(__xludf.DUMMYFUNCTION("IF(OR(regexmatch(A82,"".*@simon.es$""),REGEXMATCH(A82,"".*@simon.pt$""),REGEXMATCH(A82,"".*@simonelectrica.com$""),REGEXMATCH(A82,"".*@hiberus.com$""),REGEXMATCH(A82,"".*@simonbrico.es$""),regexmatch(A82,"".*@simonelectric.com$"")),""null"",A82)"),"609@ritelecenergia.es")</f>
        <v>609@ritelecenergia.es</v>
      </c>
      <c r="C82" s="24">
        <v>43969.0</v>
      </c>
    </row>
    <row r="83" ht="15.75" customHeight="1">
      <c r="A83" s="22" t="s">
        <v>2026</v>
      </c>
      <c r="B83" s="23" t="str">
        <f>IFERROR(__xludf.DUMMYFUNCTION("IF(OR(regexmatch(A83,"".*@simon.es$""),REGEXMATCH(A83,"".*@simon.pt$""),REGEXMATCH(A83,"".*@simonelectrica.com$""),REGEXMATCH(A83,"".*@hiberus.com$""),REGEXMATCH(A83,"".*@simonbrico.es$""),regexmatch(A83,"".*@simonelectric.com$"")),""null"",A83)"),"801@hotmail.es")</f>
        <v>801@hotmail.es</v>
      </c>
      <c r="C83" s="24">
        <v>43969.0</v>
      </c>
    </row>
    <row r="84" ht="15.75" customHeight="1">
      <c r="A84" s="22" t="s">
        <v>564</v>
      </c>
      <c r="B84" s="23" t="str">
        <f>IFERROR(__xludf.DUMMYFUNCTION("IF(OR(regexmatch(A84,"".*@simon.es$""),REGEXMATCH(A84,"".*@simon.pt$""),REGEXMATCH(A84,"".*@simonelectrica.com$""),REGEXMATCH(A84,"".*@hiberus.com$""),REGEXMATCH(A84,"".*@simonbrico.es$""),regexmatch(A84,"".*@simonelectric.com$"")),""null"",A84)"),"418@proyectosict.net")</f>
        <v>418@proyectosict.net</v>
      </c>
      <c r="C84" s="24">
        <v>43969.0</v>
      </c>
    </row>
    <row r="85" ht="15.75" customHeight="1">
      <c r="A85" s="22" t="s">
        <v>1577</v>
      </c>
      <c r="B85" s="23" t="str">
        <f>IFERROR(__xludf.DUMMYFUNCTION("IF(OR(regexmatch(A85,"".*@simon.es$""),REGEXMATCH(A85,"".*@simon.pt$""),REGEXMATCH(A85,"".*@simonelectrica.com$""),REGEXMATCH(A85,"".*@hiberus.com$""),REGEXMATCH(A85,"".*@simonbrico.es$""),regexmatch(A85,"".*@simonelectric.com$"")),""null"",A85)"),"3036@romeroycantalejo.com")</f>
        <v>3036@romeroycantalejo.com</v>
      </c>
      <c r="C85" s="24">
        <v>43969.0</v>
      </c>
    </row>
    <row r="86" ht="15.75" customHeight="1">
      <c r="A86" s="22" t="s">
        <v>9</v>
      </c>
      <c r="B86" s="23" t="str">
        <f>IFERROR(__xludf.DUMMYFUNCTION("IF(OR(regexmatch(A86,"".*@simon.es$""),REGEXMATCH(A86,"".*@simon.pt$""),REGEXMATCH(A86,"".*@simonelectrica.com$""),REGEXMATCH(A86,"".*@hiberus.com$""),REGEXMATCH(A86,"".*@simonbrico.es$""),regexmatch(A86,"".*@simonelectric.com$"")),""null"",A86)"),"904@inboundcycle.com")</f>
        <v>904@inboundcycle.com</v>
      </c>
      <c r="C86" s="24">
        <v>43969.0</v>
      </c>
    </row>
    <row r="87" ht="15.75" customHeight="1">
      <c r="A87" s="22" t="s">
        <v>1661</v>
      </c>
      <c r="B87" s="23" t="str">
        <f>IFERROR(__xludf.DUMMYFUNCTION("IF(OR(regexmatch(A87,"".*@simon.es$""),REGEXMATCH(A87,"".*@simon.pt$""),REGEXMATCH(A87,"".*@simonelectrica.com$""),REGEXMATCH(A87,"".*@hiberus.com$""),REGEXMATCH(A87,"".*@simonbrico.es$""),regexmatch(A87,"".*@simonelectric.com$"")),""null"",A87)"),"3033@gmail.com")</f>
        <v>3033@gmail.com</v>
      </c>
      <c r="C87" s="24">
        <v>43969.0</v>
      </c>
    </row>
    <row r="88" ht="15.75" customHeight="1">
      <c r="A88" s="22" t="s">
        <v>16</v>
      </c>
      <c r="B88" s="23" t="str">
        <f>IFERROR(__xludf.DUMMYFUNCTION("IF(OR(regexmatch(A88,"".*@simon.es$""),REGEXMATCH(A88,"".*@simon.pt$""),REGEXMATCH(A88,"".*@simonelectrica.com$""),REGEXMATCH(A88,"".*@hiberus.com$""),REGEXMATCH(A88,"".*@simonbrico.es$""),regexmatch(A88,"".*@simonelectric.com$"")),""null"",A88)"),"823@gmail.com")</f>
        <v>823@gmail.com</v>
      </c>
      <c r="C88" s="24">
        <v>43967.0</v>
      </c>
    </row>
    <row r="89" ht="15.75" customHeight="1">
      <c r="A89" s="22" t="s">
        <v>1834</v>
      </c>
      <c r="B89" s="23" t="str">
        <f>IFERROR(__xludf.DUMMYFUNCTION("IF(OR(regexmatch(A89,"".*@simon.es$""),REGEXMATCH(A89,"".*@simon.pt$""),REGEXMATCH(A89,"".*@simonelectrica.com$""),REGEXMATCH(A89,"".*@hiberus.com$""),REGEXMATCH(A89,"".*@simonbrico.es$""),regexmatch(A89,"".*@simonelectric.com$"")),""null"",A89)"),"217@esypro.net")</f>
        <v>217@esypro.net</v>
      </c>
      <c r="C89" s="24">
        <v>43966.0</v>
      </c>
    </row>
    <row r="90" ht="15.75" customHeight="1">
      <c r="A90" s="22" t="s">
        <v>1714</v>
      </c>
      <c r="B90" s="23" t="str">
        <f>IFERROR(__xludf.DUMMYFUNCTION("IF(OR(regexmatch(A90,"".*@simon.es$""),REGEXMATCH(A90,"".*@simon.pt$""),REGEXMATCH(A90,"".*@simonelectrica.com$""),REGEXMATCH(A90,"".*@hiberus.com$""),REGEXMATCH(A90,"".*@simonbrico.es$""),regexmatch(A90,"".*@simonelectric.com$"")),""null"",A90)"),"847@lodeal.es")</f>
        <v>847@lodeal.es</v>
      </c>
      <c r="C90" s="24">
        <v>43965.0</v>
      </c>
    </row>
    <row r="91" ht="15.75" customHeight="1">
      <c r="A91" s="22" t="s">
        <v>1836</v>
      </c>
      <c r="B91" s="23" t="str">
        <f>IFERROR(__xludf.DUMMYFUNCTION("IF(OR(regexmatch(A91,"".*@simon.es$""),REGEXMATCH(A91,"".*@simon.pt$""),REGEXMATCH(A91,"".*@simonelectrica.com$""),REGEXMATCH(A91,"".*@hiberus.com$""),REGEXMATCH(A91,"".*@simonbrico.es$""),regexmatch(A91,"".*@simonelectric.com$"")),""null"",A91)"),"3038@hotmail.com")</f>
        <v>3038@hotmail.com</v>
      </c>
      <c r="C91" s="24">
        <v>43965.0</v>
      </c>
    </row>
    <row r="92" ht="15.75" customHeight="1">
      <c r="A92" s="22" t="s">
        <v>7</v>
      </c>
      <c r="B92" s="23" t="str">
        <f>IFERROR(__xludf.DUMMYFUNCTION("IF(OR(regexmatch(A92,"".*@simon.es$""),REGEXMATCH(A92,"".*@simon.pt$""),REGEXMATCH(A92,"".*@simonelectrica.com$""),REGEXMATCH(A92,"".*@hiberus.com$""),REGEXMATCH(A92,"".*@simonbrico.es$""),regexmatch(A92,"".*@simonelectric.com$"")),""null"",A92)"),"933@orsei.es")</f>
        <v>933@orsei.es</v>
      </c>
      <c r="C92" s="24">
        <v>43965.0</v>
      </c>
    </row>
    <row r="93" ht="15.75" customHeight="1">
      <c r="A93" s="22" t="s">
        <v>13</v>
      </c>
      <c r="B93" s="23" t="str">
        <f>IFERROR(__xludf.DUMMYFUNCTION("IF(OR(regexmatch(A93,"".*@simon.es$""),REGEXMATCH(A93,"".*@simon.pt$""),REGEXMATCH(A93,"".*@simonelectrica.com$""),REGEXMATCH(A93,"".*@hiberus.com$""),REGEXMATCH(A93,"".*@simonbrico.es$""),regexmatch(A93,"".*@simonelectric.com$"")),""null"",A93)"),"868@gmail.com")</f>
        <v>868@gmail.com</v>
      </c>
      <c r="C93" s="24">
        <v>43962.0</v>
      </c>
    </row>
    <row r="94" ht="15.75" customHeight="1">
      <c r="A94" s="22" t="s">
        <v>1426</v>
      </c>
      <c r="B94" s="23" t="str">
        <f>IFERROR(__xludf.DUMMYFUNCTION("IF(OR(regexmatch(A94,"".*@simon.es$""),REGEXMATCH(A94,"".*@simon.pt$""),REGEXMATCH(A94,"".*@simonelectrica.com$""),REGEXMATCH(A94,"".*@hiberus.com$""),REGEXMATCH(A94,"".*@simonbrico.es$""),regexmatch(A94,"".*@simonelectric.com$"")),""null"",A94)"),"3040@icloud.com")</f>
        <v>3040@icloud.com</v>
      </c>
      <c r="C94" s="24">
        <v>43962.0</v>
      </c>
    </row>
    <row r="95" ht="15.75" customHeight="1">
      <c r="A95" s="22" t="s">
        <v>11</v>
      </c>
      <c r="B95" s="23" t="str">
        <f>IFERROR(__xludf.DUMMYFUNCTION("IF(OR(regexmatch(A95,"".*@simon.es$""),REGEXMATCH(A95,"".*@simon.pt$""),REGEXMATCH(A95,"".*@simonelectrica.com$""),REGEXMATCH(A95,"".*@hiberus.com$""),REGEXMATCH(A95,"".*@simonbrico.es$""),regexmatch(A95,"".*@simonelectric.com$"")),""null"",A95)"),"884@enersos.es")</f>
        <v>884@enersos.es</v>
      </c>
      <c r="C95" s="24">
        <v>43961.0</v>
      </c>
    </row>
    <row r="96" ht="15.75" customHeight="1">
      <c r="A96" s="22" t="s">
        <v>10</v>
      </c>
      <c r="B96" s="23" t="str">
        <f>IFERROR(__xludf.DUMMYFUNCTION("IF(OR(regexmatch(A96,"".*@simon.es$""),REGEXMATCH(A96,"".*@simon.pt$""),REGEXMATCH(A96,"".*@simonelectrica.com$""),REGEXMATCH(A96,"".*@hiberus.com$""),REGEXMATCH(A96,"".*@simonbrico.es$""),regexmatch(A96,"".*@simonelectric.com$"")),""null"",A96)"),"886@gmail.com")</f>
        <v>886@gmail.com</v>
      </c>
      <c r="C96" s="24">
        <v>43961.0</v>
      </c>
    </row>
    <row r="97" ht="15.75" customHeight="1">
      <c r="A97" s="22" t="s">
        <v>3</v>
      </c>
      <c r="B97" s="23" t="str">
        <f>IFERROR(__xludf.DUMMYFUNCTION("IF(OR(regexmatch(A97,"".*@simon.es$""),REGEXMATCH(A97,"".*@simon.pt$""),REGEXMATCH(A97,"".*@simonelectrica.com$""),REGEXMATCH(A97,"".*@hiberus.com$""),REGEXMATCH(A97,"".*@simonbrico.es$""),regexmatch(A97,"".*@simonelectric.com$"")),""null"",A97)"),"946@gmail.com")</f>
        <v>946@gmail.com</v>
      </c>
      <c r="C97" s="24">
        <v>43957.0</v>
      </c>
    </row>
    <row r="98" ht="15.75" customHeight="1">
      <c r="A98" s="22" t="s">
        <v>2027</v>
      </c>
      <c r="B98" s="23" t="str">
        <f>IFERROR(__xludf.DUMMYFUNCTION("IF(OR(regexmatch(A98,"".*@simon.es$""),REGEXMATCH(A98,"".*@simon.pt$""),REGEXMATCH(A98,"".*@simonelectrica.com$""),REGEXMATCH(A98,"".*@hiberus.com$""),REGEXMATCH(A98,"".*@simonbrico.es$""),regexmatch(A98,"".*@simonelectric.com$"")),""null"",A98)"),"936@gmail.com")</f>
        <v>936@gmail.com</v>
      </c>
      <c r="C98" s="24">
        <v>43957.0</v>
      </c>
    </row>
    <row r="99" ht="15.75" customHeight="1">
      <c r="A99" s="22" t="s">
        <v>5</v>
      </c>
      <c r="B99" s="23" t="str">
        <f>IFERROR(__xludf.DUMMYFUNCTION("IF(OR(regexmatch(A99,"".*@simon.es$""),REGEXMATCH(A99,"".*@simon.pt$""),REGEXMATCH(A99,"".*@simonelectrica.com$""),REGEXMATCH(A99,"".*@hiberus.com$""),REGEXMATCH(A99,"".*@simonbrico.es$""),regexmatch(A99,"".*@simonelectric.com$"")),""null"",A99)"),"935@gmail.com")</f>
        <v>935@gmail.com</v>
      </c>
      <c r="C99" s="24">
        <v>43957.0</v>
      </c>
    </row>
    <row r="100" ht="15.75" customHeight="1">
      <c r="A100" s="22" t="s">
        <v>1844</v>
      </c>
      <c r="B100" s="23" t="str">
        <f>IFERROR(__xludf.DUMMYFUNCTION("IF(OR(regexmatch(A100,"".*@simon.es$""),REGEXMATCH(A100,"".*@simon.pt$""),REGEXMATCH(A100,"".*@simonelectrica.com$""),REGEXMATCH(A100,"".*@hiberus.com$""),REGEXMATCH(A100,"".*@simonbrico.es$""),regexmatch(A100,"".*@simonelectric.com$"")),""null"",A100)"),"1004@telefonica.net")</f>
        <v>1004@telefonica.net</v>
      </c>
      <c r="C100" s="24">
        <v>43955.0</v>
      </c>
    </row>
    <row r="101" ht="15.75" customHeight="1">
      <c r="A101" s="22" t="s">
        <v>1537</v>
      </c>
      <c r="B101" s="23" t="str">
        <f>IFERROR(__xludf.DUMMYFUNCTION("IF(OR(regexmatch(A101,"".*@simon.es$""),REGEXMATCH(A101,"".*@simon.pt$""),REGEXMATCH(A101,"".*@simonelectrica.com$""),REGEXMATCH(A101,"".*@hiberus.com$""),REGEXMATCH(A101,"".*@simonbrico.es$""),regexmatch(A101,"".*@simonelectric.com$"")),""null"",A101)"),"1039@yahoo.es")</f>
        <v>1039@yahoo.es</v>
      </c>
      <c r="C101" s="24">
        <v>43954.0</v>
      </c>
    </row>
    <row r="102" ht="15.75" customHeight="1">
      <c r="A102" s="22" t="s">
        <v>2028</v>
      </c>
      <c r="B102" s="23" t="str">
        <f>IFERROR(__xludf.DUMMYFUNCTION("IF(OR(regexmatch(A102,"".*@simon.es$""),REGEXMATCH(A102,"".*@simon.pt$""),REGEXMATCH(A102,"".*@simonelectrica.com$""),REGEXMATCH(A102,"".*@hiberus.com$""),REGEXMATCH(A102,"".*@simonbrico.es$""),regexmatch(A102,"".*@simonelectric.com$"")),""null"",A102)"),"1063@gmail.com")</f>
        <v>1063@gmail.com</v>
      </c>
      <c r="C102" s="24">
        <v>43952.0</v>
      </c>
    </row>
    <row r="103" ht="15.75" customHeight="1">
      <c r="A103" s="22" t="s">
        <v>1535</v>
      </c>
      <c r="B103" s="23" t="str">
        <f>IFERROR(__xludf.DUMMYFUNCTION("IF(OR(regexmatch(A103,"".*@simon.es$""),REGEXMATCH(A103,"".*@simon.pt$""),REGEXMATCH(A103,"".*@simonelectrica.com$""),REGEXMATCH(A103,"".*@hiberus.com$""),REGEXMATCH(A103,"".*@simonbrico.es$""),regexmatch(A103,"".*@simonelectric.com$"")),""null"",A103)"),"1075@gmail.com")</f>
        <v>1075@gmail.com</v>
      </c>
      <c r="C103" s="24">
        <v>43952.0</v>
      </c>
    </row>
    <row r="104" ht="15.75" customHeight="1">
      <c r="A104" s="22" t="s">
        <v>1536</v>
      </c>
      <c r="B104" s="23" t="str">
        <f>IFERROR(__xludf.DUMMYFUNCTION("IF(OR(regexmatch(A104,"".*@simon.es$""),REGEXMATCH(A104,"".*@simon.pt$""),REGEXMATCH(A104,"".*@simonelectrica.com$""),REGEXMATCH(A104,"".*@hiberus.com$""),REGEXMATCH(A104,"".*@simonbrico.es$""),regexmatch(A104,"".*@simonelectric.com$"")),""null"",A104)"),"1064@abxat.com")</f>
        <v>1064@abxat.com</v>
      </c>
      <c r="C104" s="24">
        <v>43952.0</v>
      </c>
    </row>
    <row r="105" ht="15.75" customHeight="1">
      <c r="A105" s="22" t="s">
        <v>1530</v>
      </c>
      <c r="B105" s="23" t="str">
        <f>IFERROR(__xludf.DUMMYFUNCTION("IF(OR(regexmatch(A105,"".*@simon.es$""),REGEXMATCH(A105,"".*@simon.pt$""),REGEXMATCH(A105,"".*@simonelectrica.com$""),REGEXMATCH(A105,"".*@hiberus.com$""),REGEXMATCH(A105,"".*@simonbrico.es$""),regexmatch(A105,"".*@simonelectric.com$"")),""null"",A105)"),"1111@hotmail.com")</f>
        <v>1111@hotmail.com</v>
      </c>
      <c r="C105" s="24">
        <v>43951.0</v>
      </c>
    </row>
    <row r="106" ht="15.75" customHeight="1">
      <c r="A106" s="22" t="s">
        <v>2029</v>
      </c>
      <c r="B106" s="23" t="str">
        <f>IFERROR(__xludf.DUMMYFUNCTION("IF(OR(regexmatch(A106,"".*@simon.es$""),REGEXMATCH(A106,"".*@simon.pt$""),REGEXMATCH(A106,"".*@simonelectrica.com$""),REGEXMATCH(A106,"".*@hiberus.com$""),REGEXMATCH(A106,"".*@simonbrico.es$""),regexmatch(A106,"".*@simonelectric.com$"")),""null"",A106)"),"1154@gmail.com")</f>
        <v>1154@gmail.com</v>
      </c>
      <c r="C106" s="24">
        <v>43951.0</v>
      </c>
    </row>
    <row r="107" ht="15.75" customHeight="1">
      <c r="A107" s="22" t="s">
        <v>1529</v>
      </c>
      <c r="B107" s="23" t="str">
        <f>IFERROR(__xludf.DUMMYFUNCTION("IF(OR(regexmatch(A107,"".*@simon.es$""),REGEXMATCH(A107,"".*@simon.pt$""),REGEXMATCH(A107,"".*@simonelectrica.com$""),REGEXMATCH(A107,"".*@hiberus.com$""),REGEXMATCH(A107,"".*@simonbrico.es$""),regexmatch(A107,"".*@simonelectric.com$"")),""null"",A107)"),"1117@hotmail.com")</f>
        <v>1117@hotmail.com</v>
      </c>
      <c r="C107" s="24">
        <v>43951.0</v>
      </c>
    </row>
    <row r="108" ht="15.75" customHeight="1">
      <c r="A108" s="22" t="s">
        <v>1508</v>
      </c>
      <c r="B108" s="23" t="str">
        <f>IFERROR(__xludf.DUMMYFUNCTION("IF(OR(regexmatch(A108,"".*@simon.es$""),REGEXMATCH(A108,"".*@simon.pt$""),REGEXMATCH(A108,"".*@simonelectrica.com$""),REGEXMATCH(A108,"".*@hiberus.com$""),REGEXMATCH(A108,"".*@simonbrico.es$""),regexmatch(A108,"".*@simonelectric.com$"")),""null"",A108)"),"1559@strong.es")</f>
        <v>1559@strong.es</v>
      </c>
      <c r="C108" s="24">
        <v>43950.0</v>
      </c>
    </row>
    <row r="109" ht="15.75" customHeight="1">
      <c r="A109" s="22" t="s">
        <v>1877</v>
      </c>
      <c r="B109" s="23" t="str">
        <f>IFERROR(__xludf.DUMMYFUNCTION("IF(OR(regexmatch(A109,"".*@simon.es$""),REGEXMATCH(A109,"".*@simon.pt$""),REGEXMATCH(A109,"".*@simonelectrica.com$""),REGEXMATCH(A109,"".*@hiberus.com$""),REGEXMATCH(A109,"".*@simonbrico.es$""),regexmatch(A109,"".*@simonelectric.com$"")),""null"",A109)"),"647@apis-ing.es")</f>
        <v>647@apis-ing.es</v>
      </c>
      <c r="C109" s="24">
        <v>43950.0</v>
      </c>
    </row>
    <row r="110" ht="15.75" customHeight="1">
      <c r="A110" s="22" t="s">
        <v>1515</v>
      </c>
      <c r="B110" s="23" t="str">
        <f>IFERROR(__xludf.DUMMYFUNCTION("IF(OR(regexmatch(A110,"".*@simon.es$""),REGEXMATCH(A110,"".*@simon.pt$""),REGEXMATCH(A110,"".*@simonelectrica.com$""),REGEXMATCH(A110,"".*@hiberus.com$""),REGEXMATCH(A110,"".*@simonbrico.es$""),regexmatch(A110,"".*@simonelectric.com$"")),""null"",A110)"),"1454@yahoo.es")</f>
        <v>1454@yahoo.es</v>
      </c>
      <c r="C110" s="24">
        <v>43950.0</v>
      </c>
    </row>
    <row r="111" ht="15.75" customHeight="1">
      <c r="A111" s="22" t="s">
        <v>1881</v>
      </c>
      <c r="B111" s="23" t="str">
        <f>IFERROR(__xludf.DUMMYFUNCTION("IF(OR(regexmatch(A111,"".*@simon.es$""),REGEXMATCH(A111,"".*@simon.pt$""),REGEXMATCH(A111,"".*@simonelectrica.com$""),REGEXMATCH(A111,"".*@hiberus.com$""),REGEXMATCH(A111,"".*@simonbrico.es$""),regexmatch(A111,"".*@simonelectric.com$"")),""null"",A111)"),"1673@gailmafra.com")</f>
        <v>1673@gailmafra.com</v>
      </c>
      <c r="C111" s="24">
        <v>43950.0</v>
      </c>
    </row>
    <row r="112" ht="15.75" customHeight="1">
      <c r="A112" s="22" t="s">
        <v>1505</v>
      </c>
      <c r="B112" s="23" t="str">
        <f>IFERROR(__xludf.DUMMYFUNCTION("IF(OR(regexmatch(A112,"".*@simon.es$""),REGEXMATCH(A112,"".*@simon.pt$""),REGEXMATCH(A112,"".*@simonelectrica.com$""),REGEXMATCH(A112,"".*@hiberus.com$""),REGEXMATCH(A112,"".*@simonbrico.es$""),regexmatch(A112,"".*@simonelectric.com$"")),""null"",A112)"),"1626@adaliaradio.com")</f>
        <v>1626@adaliaradio.com</v>
      </c>
      <c r="C112" s="24">
        <v>43950.0</v>
      </c>
    </row>
    <row r="113" ht="15.75" customHeight="1">
      <c r="A113" s="22" t="s">
        <v>2030</v>
      </c>
      <c r="B113" s="23" t="str">
        <f>IFERROR(__xludf.DUMMYFUNCTION("IF(OR(regexmatch(A113,"".*@simon.es$""),REGEXMATCH(A113,"".*@simon.pt$""),REGEXMATCH(A113,"".*@simonelectrica.com$""),REGEXMATCH(A113,"".*@hiberus.com$""),REGEXMATCH(A113,"".*@simonbrico.es$""),regexmatch(A113,"".*@simonelectric.com$"")),""null"",A113)"),"408@ic3sl.com")</f>
        <v>408@ic3sl.com</v>
      </c>
      <c r="C113" s="24">
        <v>43950.0</v>
      </c>
    </row>
    <row r="114" ht="15.75" customHeight="1">
      <c r="A114" s="22" t="s">
        <v>1869</v>
      </c>
      <c r="B114" s="23" t="str">
        <f>IFERROR(__xludf.DUMMYFUNCTION("IF(OR(regexmatch(A114,"".*@simon.es$""),REGEXMATCH(A114,"".*@simon.pt$""),REGEXMATCH(A114,"".*@simonelectrica.com$""),REGEXMATCH(A114,"".*@hiberus.com$""),REGEXMATCH(A114,"".*@simonbrico.es$""),regexmatch(A114,"".*@simonelectric.com$"")),""null"",A114)"),"1602@gmail.com")</f>
        <v>1602@gmail.com</v>
      </c>
      <c r="C114" s="24">
        <v>43950.0</v>
      </c>
    </row>
    <row r="115" ht="15.75" customHeight="1">
      <c r="A115" s="22" t="s">
        <v>1859</v>
      </c>
      <c r="B115" s="23" t="str">
        <f>IFERROR(__xludf.DUMMYFUNCTION("IF(OR(regexmatch(A115,"".*@simon.es$""),REGEXMATCH(A115,"".*@simon.pt$""),REGEXMATCH(A115,"".*@simonelectrica.com$""),REGEXMATCH(A115,"".*@hiberus.com$""),REGEXMATCH(A115,"".*@simonbrico.es$""),regexmatch(A115,"".*@simonelectric.com$"")),""null"",A115)"),"1391@grupojab.es")</f>
        <v>1391@grupojab.es</v>
      </c>
      <c r="C115" s="24">
        <v>43950.0</v>
      </c>
    </row>
    <row r="116" ht="15.75" customHeight="1">
      <c r="A116" s="22" t="s">
        <v>2031</v>
      </c>
      <c r="B116" s="23" t="str">
        <f>IFERROR(__xludf.DUMMYFUNCTION("IF(OR(regexmatch(A116,"".*@simon.es$""),REGEXMATCH(A116,"".*@simon.pt$""),REGEXMATCH(A116,"".*@simonelectrica.com$""),REGEXMATCH(A116,"".*@hiberus.com$""),REGEXMATCH(A116,"".*@simonbrico.es$""),regexmatch(A116,"".*@simonelectric.com$"")),""null"",A116)"),"1489@gmail.com")</f>
        <v>1489@gmail.com</v>
      </c>
      <c r="C116" s="24">
        <v>43950.0</v>
      </c>
    </row>
    <row r="117" ht="15.75" customHeight="1">
      <c r="A117" s="22" t="s">
        <v>1879</v>
      </c>
      <c r="B117" s="23" t="str">
        <f>IFERROR(__xludf.DUMMYFUNCTION("IF(OR(regexmatch(A117,"".*@simon.es$""),REGEXMATCH(A117,"".*@simon.pt$""),REGEXMATCH(A117,"".*@simonelectrica.com$""),REGEXMATCH(A117,"".*@hiberus.com$""),REGEXMATCH(A117,"".*@simonbrico.es$""),regexmatch(A117,"".*@simonelectric.com$"")),""null"",A117)"),"380@acp-level.es")</f>
        <v>380@acp-level.es</v>
      </c>
      <c r="C117" s="24">
        <v>43950.0</v>
      </c>
    </row>
    <row r="118" ht="15.75" customHeight="1">
      <c r="A118" s="22" t="s">
        <v>1739</v>
      </c>
      <c r="B118" s="23" t="str">
        <f>IFERROR(__xludf.DUMMYFUNCTION("IF(OR(regexmatch(A118,"".*@simon.es$""),REGEXMATCH(A118,"".*@simon.pt$""),REGEXMATCH(A118,"".*@simonelectrica.com$""),REGEXMATCH(A118,"".*@hiberus.com$""),REGEXMATCH(A118,"".*@simonbrico.es$""),regexmatch(A118,"".*@simonelectric.com$"")),""null"",A118)"),"4724@gmail.com")</f>
        <v>4724@gmail.com</v>
      </c>
      <c r="C118" s="24">
        <v>43950.0</v>
      </c>
    </row>
    <row r="119" ht="15.75" customHeight="1">
      <c r="A119" s="22" t="s">
        <v>1699</v>
      </c>
      <c r="B119" s="23" t="str">
        <f>IFERROR(__xludf.DUMMYFUNCTION("IF(OR(regexmatch(A119,"".*@simon.es$""),REGEXMATCH(A119,"".*@simon.pt$""),REGEXMATCH(A119,"".*@simonelectrica.com$""),REGEXMATCH(A119,"".*@hiberus.com$""),REGEXMATCH(A119,"".*@simonbrico.es$""),regexmatch(A119,"".*@simonelectric.com$"")),""null"",A119)"),"4718@gmail.com")</f>
        <v>4718@gmail.com</v>
      </c>
      <c r="C119" s="24">
        <v>43950.0</v>
      </c>
    </row>
    <row r="120" ht="15.75" customHeight="1">
      <c r="A120" s="22" t="s">
        <v>1502</v>
      </c>
      <c r="B120" s="23" t="str">
        <f>IFERROR(__xludf.DUMMYFUNCTION("IF(OR(regexmatch(A120,"".*@simon.es$""),REGEXMATCH(A120,"".*@simon.pt$""),REGEXMATCH(A120,"".*@simonelectrica.com$""),REGEXMATCH(A120,"".*@hiberus.com$""),REGEXMATCH(A120,"".*@simonbrico.es$""),regexmatch(A120,"".*@simonelectric.com$"")),""null"",A120)"),"1800@hotmail.com")</f>
        <v>1800@hotmail.com</v>
      </c>
      <c r="C120" s="24">
        <v>43950.0</v>
      </c>
    </row>
    <row r="121" ht="15.75" customHeight="1">
      <c r="A121" s="22" t="s">
        <v>1507</v>
      </c>
      <c r="B121" s="23" t="str">
        <f>IFERROR(__xludf.DUMMYFUNCTION("IF(OR(regexmatch(A121,"".*@simon.es$""),REGEXMATCH(A121,"".*@simon.pt$""),REGEXMATCH(A121,"".*@simonelectrica.com$""),REGEXMATCH(A121,"".*@hiberus.com$""),REGEXMATCH(A121,"".*@simonbrico.es$""),regexmatch(A121,"".*@simonelectric.com$"")),""null"",A121)"),"1603@gmail.com")</f>
        <v>1603@gmail.com</v>
      </c>
      <c r="C121" s="24">
        <v>43950.0</v>
      </c>
    </row>
    <row r="122" ht="15.75" customHeight="1">
      <c r="A122" s="22" t="s">
        <v>1526</v>
      </c>
      <c r="B122" s="23" t="str">
        <f>IFERROR(__xludf.DUMMYFUNCTION("IF(OR(regexmatch(A122,"".*@simon.es$""),REGEXMATCH(A122,"".*@simon.pt$""),REGEXMATCH(A122,"".*@simonelectrica.com$""),REGEXMATCH(A122,"".*@hiberus.com$""),REGEXMATCH(A122,"".*@simonbrico.es$""),regexmatch(A122,"".*@simonelectric.com$"")),""null"",A122)"),"1226@agiceringenieros.es")</f>
        <v>1226@agiceringenieros.es</v>
      </c>
      <c r="C122" s="24">
        <v>43950.0</v>
      </c>
    </row>
    <row r="123" ht="15.75" customHeight="1">
      <c r="A123" s="22" t="s">
        <v>1523</v>
      </c>
      <c r="B123" s="23" t="str">
        <f>IFERROR(__xludf.DUMMYFUNCTION("IF(OR(regexmatch(A123,"".*@simon.es$""),REGEXMATCH(A123,"".*@simon.pt$""),REGEXMATCH(A123,"".*@simonelectrica.com$""),REGEXMATCH(A123,"".*@hiberus.com$""),REGEXMATCH(A123,"".*@simonbrico.es$""),regexmatch(A123,"".*@simonelectric.com$"")),""null"",A123)"),"1268@gamai.com")</f>
        <v>1268@gamai.com</v>
      </c>
      <c r="C123" s="24">
        <v>43950.0</v>
      </c>
    </row>
    <row r="124" ht="15.75" customHeight="1">
      <c r="A124" s="22" t="s">
        <v>2032</v>
      </c>
      <c r="B124" s="23" t="str">
        <f>IFERROR(__xludf.DUMMYFUNCTION("IF(OR(regexmatch(A124,"".*@simon.es$""),REGEXMATCH(A124,"".*@simon.pt$""),REGEXMATCH(A124,"".*@simonelectrica.com$""),REGEXMATCH(A124,"".*@hiberus.com$""),REGEXMATCH(A124,"".*@simonbrico.es$""),regexmatch(A124,"".*@simonelectric.com$"")),""null"",A124)"),"1383@grupoazmont.com")</f>
        <v>1383@grupoazmont.com</v>
      </c>
      <c r="C124" s="24">
        <v>43950.0</v>
      </c>
    </row>
    <row r="125" ht="15.75" customHeight="1">
      <c r="A125" s="22" t="s">
        <v>1503</v>
      </c>
      <c r="B125" s="23" t="str">
        <f>IFERROR(__xludf.DUMMYFUNCTION("IF(OR(regexmatch(A125,"".*@simon.es$""),REGEXMATCH(A125,"".*@simon.pt$""),REGEXMATCH(A125,"".*@simonelectrica.com$""),REGEXMATCH(A125,"".*@hiberus.com$""),REGEXMATCH(A125,"".*@simonbrico.es$""),regexmatch(A125,"".*@simonelectric.com$"")),""null"",A125)"),"1695@gruponortica.com")</f>
        <v>1695@gruponortica.com</v>
      </c>
      <c r="C125" s="24">
        <v>43950.0</v>
      </c>
    </row>
    <row r="126" ht="15.75" customHeight="1">
      <c r="A126" s="22" t="s">
        <v>1856</v>
      </c>
      <c r="B126" s="23" t="str">
        <f>IFERROR(__xludf.DUMMYFUNCTION("IF(OR(regexmatch(A126,"".*@simon.es$""),REGEXMATCH(A126,"".*@simon.pt$""),REGEXMATCH(A126,"".*@simonelectrica.com$""),REGEXMATCH(A126,"".*@hiberus.com$""),REGEXMATCH(A126,"".*@simonbrico.es$""),regexmatch(A126,"".*@simonelectric.com$"")),""null"",A126)"),"1284@gmail.com")</f>
        <v>1284@gmail.com</v>
      </c>
      <c r="C126" s="24">
        <v>43950.0</v>
      </c>
    </row>
    <row r="127" ht="15.75" customHeight="1">
      <c r="A127" s="22" t="s">
        <v>1853</v>
      </c>
      <c r="B127" s="23" t="str">
        <f>IFERROR(__xludf.DUMMYFUNCTION("IF(OR(regexmatch(A127,"".*@simon.es$""),REGEXMATCH(A127,"".*@simon.pt$""),REGEXMATCH(A127,"".*@simonelectrica.com$""),REGEXMATCH(A127,"".*@hiberus.com$""),REGEXMATCH(A127,"".*@simonbrico.es$""),regexmatch(A127,"".*@simonelectric.com$"")),""null"",A127)"),"1265@hotmail.com")</f>
        <v>1265@hotmail.com</v>
      </c>
      <c r="C127" s="24">
        <v>43950.0</v>
      </c>
    </row>
    <row r="128" ht="15.75" customHeight="1">
      <c r="A128" s="22" t="s">
        <v>1861</v>
      </c>
      <c r="B128" s="23" t="str">
        <f>IFERROR(__xludf.DUMMYFUNCTION("IF(OR(regexmatch(A128,"".*@simon.es$""),REGEXMATCH(A128,"".*@simon.pt$""),REGEXMATCH(A128,"".*@simonelectrica.com$""),REGEXMATCH(A128,"".*@hiberus.com$""),REGEXMATCH(A128,"".*@simonbrico.es$""),regexmatch(A128,"".*@simonelectric.com$"")),""null"",A128)"),"187@castelyfernandez.es")</f>
        <v>187@castelyfernandez.es</v>
      </c>
      <c r="C128" s="24">
        <v>43950.0</v>
      </c>
    </row>
    <row r="129" ht="15.75" customHeight="1">
      <c r="A129" s="22" t="s">
        <v>1510</v>
      </c>
      <c r="B129" s="23" t="str">
        <f>IFERROR(__xludf.DUMMYFUNCTION("IF(OR(regexmatch(A129,"".*@simon.es$""),REGEXMATCH(A129,"".*@simon.pt$""),REGEXMATCH(A129,"".*@simonelectrica.com$""),REGEXMATCH(A129,"".*@hiberus.com$""),REGEXMATCH(A129,"".*@simonbrico.es$""),regexmatch(A129,"".*@simonelectric.com$"")),""null"",A129)"),"1515@expertline.es")</f>
        <v>1515@expertline.es</v>
      </c>
      <c r="C129" s="24">
        <v>43950.0</v>
      </c>
    </row>
    <row r="130" ht="15.75" customHeight="1">
      <c r="A130" s="22" t="s">
        <v>1520</v>
      </c>
      <c r="B130" s="23" t="str">
        <f>IFERROR(__xludf.DUMMYFUNCTION("IF(OR(regexmatch(A130,"".*@simon.es$""),REGEXMATCH(A130,"".*@simon.pt$""),REGEXMATCH(A130,"".*@simonelectrica.com$""),REGEXMATCH(A130,"".*@hiberus.com$""),REGEXMATCH(A130,"".*@simonbrico.es$""),regexmatch(A130,"".*@simonelectric.com$"")),""null"",A130)"),"1369@atribal.es")</f>
        <v>1369@atribal.es</v>
      </c>
      <c r="C130" s="24">
        <v>43950.0</v>
      </c>
    </row>
    <row r="131" ht="15.75" customHeight="1">
      <c r="A131" s="22" t="s">
        <v>1886</v>
      </c>
      <c r="B131" s="23" t="str">
        <f>IFERROR(__xludf.DUMMYFUNCTION("IF(OR(regexmatch(A131,"".*@simon.es$""),REGEXMATCH(A131,"".*@simon.pt$""),REGEXMATCH(A131,"".*@simonelectrica.com$""),REGEXMATCH(A131,"".*@hiberus.com$""),REGEXMATCH(A131,"".*@simonbrico.es$""),regexmatch(A131,"".*@simonelectric.com$"")),""null"",A131)"),"1728@gmail.com")</f>
        <v>1728@gmail.com</v>
      </c>
      <c r="C131" s="24">
        <v>43950.0</v>
      </c>
    </row>
    <row r="132" ht="15.75" customHeight="1">
      <c r="A132" s="22" t="s">
        <v>1865</v>
      </c>
      <c r="B132" s="23" t="str">
        <f>IFERROR(__xludf.DUMMYFUNCTION("IF(OR(regexmatch(A132,"".*@simon.es$""),REGEXMATCH(A132,"".*@simon.pt$""),REGEXMATCH(A132,"".*@simonelectrica.com$""),REGEXMATCH(A132,"".*@hiberus.com$""),REGEXMATCH(A132,"".*@simonbrico.es$""),regexmatch(A132,"".*@simonelectric.com$"")),""null"",A132)"),"374@copitima.com")</f>
        <v>374@copitima.com</v>
      </c>
      <c r="C132" s="24">
        <v>43950.0</v>
      </c>
    </row>
    <row r="133" ht="15.75" customHeight="1">
      <c r="A133" s="22" t="s">
        <v>1888</v>
      </c>
      <c r="B133" s="23" t="str">
        <f>IFERROR(__xludf.DUMMYFUNCTION("IF(OR(regexmatch(A133,"".*@simon.es$""),REGEXMATCH(A133,"".*@simon.pt$""),REGEXMATCH(A133,"".*@simonelectrica.com$""),REGEXMATCH(A133,"".*@hiberus.com$""),REGEXMATCH(A133,"".*@simonbrico.es$""),regexmatch(A133,"".*@simonelectric.com$"")),""null"",A133)"),"1778@gmail.com")</f>
        <v>1778@gmail.com</v>
      </c>
      <c r="C133" s="24">
        <v>43950.0</v>
      </c>
    </row>
    <row r="134" ht="15.75" customHeight="1">
      <c r="A134" s="22" t="s">
        <v>1884</v>
      </c>
      <c r="B134" s="23" t="str">
        <f>IFERROR(__xludf.DUMMYFUNCTION("IF(OR(regexmatch(A134,"".*@simon.es$""),REGEXMATCH(A134,"".*@simon.pt$""),REGEXMATCH(A134,"".*@simonelectrica.com$""),REGEXMATCH(A134,"".*@hiberus.com$""),REGEXMATCH(A134,"".*@simonbrico.es$""),regexmatch(A134,"".*@simonelectric.com$"")),""null"",A134)"),"1716@fuengiroluz.es")</f>
        <v>1716@fuengiroluz.es</v>
      </c>
      <c r="C134" s="24">
        <v>43950.0</v>
      </c>
    </row>
    <row r="135" ht="15.75" customHeight="1">
      <c r="A135" s="22" t="s">
        <v>1872</v>
      </c>
      <c r="B135" s="23" t="str">
        <f>IFERROR(__xludf.DUMMYFUNCTION("IF(OR(regexmatch(A135,"".*@simon.es$""),REGEXMATCH(A135,"".*@simon.pt$""),REGEXMATCH(A135,"".*@simonelectrica.com$""),REGEXMATCH(A135,"".*@hiberus.com$""),REGEXMATCH(A135,"".*@simonbrico.es$""),regexmatch(A135,"".*@simonelectric.com$"")),""null"",A135)"),"1614@electronalon.es")</f>
        <v>1614@electronalon.es</v>
      </c>
      <c r="C135" s="24">
        <v>43950.0</v>
      </c>
    </row>
    <row r="136" ht="15.75" customHeight="1">
      <c r="A136" s="22" t="s">
        <v>2033</v>
      </c>
      <c r="B136" s="23" t="str">
        <f>IFERROR(__xludf.DUMMYFUNCTION("IF(OR(regexmatch(A136,"".*@simon.es$""),REGEXMATCH(A136,"".*@simon.pt$""),REGEXMATCH(A136,"".*@simonelectrica.com$""),REGEXMATCH(A136,"".*@hiberus.com$""),REGEXMATCH(A136,"".*@simonbrico.es$""),regexmatch(A136,"".*@simonelectric.com$"")),""null"",A136)"),"1896@gmail.com")</f>
        <v>1896@gmail.com</v>
      </c>
      <c r="C136" s="24">
        <v>43948.0</v>
      </c>
    </row>
    <row r="137" ht="15.75" customHeight="1">
      <c r="A137" s="22" t="s">
        <v>1499</v>
      </c>
      <c r="B137" s="23" t="str">
        <f>IFERROR(__xludf.DUMMYFUNCTION("IF(OR(regexmatch(A137,"".*@simon.es$""),REGEXMATCH(A137,"".*@simon.pt$""),REGEXMATCH(A137,"".*@simonelectrica.com$""),REGEXMATCH(A137,"".*@hiberus.com$""),REGEXMATCH(A137,"".*@simonbrico.es$""),regexmatch(A137,"".*@simonelectric.com$"")),""null"",A137)"),"1901@gmail.com")</f>
        <v>1901@gmail.com</v>
      </c>
      <c r="C137" s="24">
        <v>43947.0</v>
      </c>
    </row>
    <row r="138" ht="15.75" customHeight="1">
      <c r="A138" s="22" t="s">
        <v>1494</v>
      </c>
      <c r="B138" s="23" t="str">
        <f>IFERROR(__xludf.DUMMYFUNCTION("IF(OR(regexmatch(A138,"".*@simon.es$""),REGEXMATCH(A138,"".*@simon.pt$""),REGEXMATCH(A138,"".*@simonelectrica.com$""),REGEXMATCH(A138,"".*@hiberus.com$""),REGEXMATCH(A138,"".*@simonbrico.es$""),regexmatch(A138,"".*@simonelectric.com$"")),""null"",A138)"),"2029@sonepar.es")</f>
        <v>2029@sonepar.es</v>
      </c>
      <c r="C138" s="24">
        <v>43944.0</v>
      </c>
    </row>
    <row r="139" ht="15.75" customHeight="1">
      <c r="A139" s="22" t="s">
        <v>2034</v>
      </c>
      <c r="B139" s="23" t="str">
        <f>IFERROR(__xludf.DUMMYFUNCTION("IF(OR(regexmatch(A139,"".*@simon.es$""),REGEXMATCH(A139,"".*@simon.pt$""),REGEXMATCH(A139,"".*@simonelectrica.com$""),REGEXMATCH(A139,"".*@hiberus.com$""),REGEXMATCH(A139,"".*@simonbrico.es$""),regexmatch(A139,"".*@simonelectric.com$"")),""null"",A139)"),"1487@gmail.com")</f>
        <v>1487@gmail.com</v>
      </c>
      <c r="C139" s="24">
        <v>43944.0</v>
      </c>
    </row>
    <row r="140" ht="15.75" customHeight="1">
      <c r="A140" s="22" t="s">
        <v>1531</v>
      </c>
      <c r="B140" s="23" t="str">
        <f>IFERROR(__xludf.DUMMYFUNCTION("IF(OR(regexmatch(A140,"".*@simon.es$""),REGEXMATCH(A140,"".*@simon.pt$""),REGEXMATCH(A140,"".*@simonelectrica.com$""),REGEXMATCH(A140,"".*@hiberus.com$""),REGEXMATCH(A140,"".*@simonbrico.es$""),regexmatch(A140,"".*@simonelectric.com$"")),""null"",A140)"),"1108@enginyerstarragona.cat")</f>
        <v>1108@enginyerstarragona.cat</v>
      </c>
      <c r="C140" s="24">
        <v>43944.0</v>
      </c>
    </row>
    <row r="141" ht="15.75" customHeight="1">
      <c r="A141" s="22" t="s">
        <v>1574</v>
      </c>
      <c r="B141" s="23" t="str">
        <f>IFERROR(__xludf.DUMMYFUNCTION("IF(OR(regexmatch(A141,"".*@simon.es$""),REGEXMATCH(A141,"".*@simon.pt$""),REGEXMATCH(A141,"".*@simonelectrica.com$""),REGEXMATCH(A141,"".*@hiberus.com$""),REGEXMATCH(A141,"".*@simonbrico.es$""),regexmatch(A141,"".*@simonelectric.com$"")),""null"",A141)"),"563@salesianospamplona.net")</f>
        <v>563@salesianospamplona.net</v>
      </c>
      <c r="C141" s="24">
        <v>43944.0</v>
      </c>
    </row>
    <row r="142" ht="15.75" customHeight="1">
      <c r="A142" s="22" t="s">
        <v>1492</v>
      </c>
      <c r="B142" s="23" t="str">
        <f>IFERROR(__xludf.DUMMYFUNCTION("IF(OR(regexmatch(A142,"".*@simon.es$""),REGEXMATCH(A142,"".*@simon.pt$""),REGEXMATCH(A142,"".*@simonelectrica.com$""),REGEXMATCH(A142,"".*@hiberus.com$""),REGEXMATCH(A142,"".*@simonbrico.es$""),regexmatch(A142,"".*@simonelectric.com$"")),""null"",A142)"),"2057@gmail.com")</f>
        <v>2057@gmail.com</v>
      </c>
      <c r="C142" s="24">
        <v>43944.0</v>
      </c>
    </row>
    <row r="143" ht="15.75" customHeight="1">
      <c r="A143" s="22" t="s">
        <v>1587</v>
      </c>
      <c r="B143" s="23" t="str">
        <f>IFERROR(__xludf.DUMMYFUNCTION("IF(OR(regexmatch(A143,"".*@simon.es$""),REGEXMATCH(A143,"".*@simon.pt$""),REGEXMATCH(A143,"".*@simonelectrica.com$""),REGEXMATCH(A143,"".*@hiberus.com$""),REGEXMATCH(A143,"".*@simonbrico.es$""),regexmatch(A143,"".*@simonelectric.com$"")),""null"",A143)"),"2035@yahoo.es")</f>
        <v>2035@yahoo.es</v>
      </c>
      <c r="C143" s="24">
        <v>43944.0</v>
      </c>
    </row>
    <row r="144" ht="15.75" customHeight="1">
      <c r="A144" s="22" t="s">
        <v>1894</v>
      </c>
      <c r="B144" s="23" t="str">
        <f>IFERROR(__xludf.DUMMYFUNCTION("IF(OR(regexmatch(A144,"".*@simon.es$""),REGEXMATCH(A144,"".*@simon.pt$""),REGEXMATCH(A144,"".*@simonelectrica.com$""),REGEXMATCH(A144,"".*@hiberus.com$""),REGEXMATCH(A144,"".*@simonbrico.es$""),regexmatch(A144,"".*@simonelectric.com$"")),""null"",A144)"),"1675@exinor.com")</f>
        <v>1675@exinor.com</v>
      </c>
      <c r="C144" s="24">
        <v>43944.0</v>
      </c>
    </row>
    <row r="145" ht="15.75" customHeight="1">
      <c r="A145" s="22" t="s">
        <v>1496</v>
      </c>
      <c r="B145" s="23" t="str">
        <f>IFERROR(__xludf.DUMMYFUNCTION("IF(OR(regexmatch(A145,"".*@simon.es$""),REGEXMATCH(A145,"".*@simon.pt$""),REGEXMATCH(A145,"".*@simonelectrica.com$""),REGEXMATCH(A145,"".*@hiberus.com$""),REGEXMATCH(A145,"".*@simonbrico.es$""),regexmatch(A145,"".*@simonelectric.com$"")),""null"",A145)"),"1965@tienda-gasnatural.com")</f>
        <v>1965@tienda-gasnatural.com</v>
      </c>
      <c r="C145" s="24">
        <v>43944.0</v>
      </c>
    </row>
    <row r="146" ht="15.75" customHeight="1">
      <c r="A146" s="22" t="s">
        <v>1498</v>
      </c>
      <c r="B146" s="23" t="str">
        <f>IFERROR(__xludf.DUMMYFUNCTION("IF(OR(regexmatch(A146,"".*@simon.es$""),REGEXMATCH(A146,"".*@simon.pt$""),REGEXMATCH(A146,"".*@simonelectrica.com$""),REGEXMATCH(A146,"".*@hiberus.com$""),REGEXMATCH(A146,"".*@simonbrico.es$""),regexmatch(A146,"".*@simonelectric.com$"")),""null"",A146)"),"1930@gmail.com")</f>
        <v>1930@gmail.com</v>
      </c>
      <c r="C146" s="24">
        <v>43944.0</v>
      </c>
    </row>
    <row r="147" ht="15.75" customHeight="1">
      <c r="A147" s="22" t="s">
        <v>1497</v>
      </c>
      <c r="B147" s="23" t="str">
        <f>IFERROR(__xludf.DUMMYFUNCTION("IF(OR(regexmatch(A147,"".*@simon.es$""),REGEXMATCH(A147,"".*@simon.pt$""),REGEXMATCH(A147,"".*@simonelectrica.com$""),REGEXMATCH(A147,"".*@hiberus.com$""),REGEXMATCH(A147,"".*@simonbrico.es$""),regexmatch(A147,"".*@simonelectric.com$"")),""null"",A147)"),"1940@electromercantil.es")</f>
        <v>1940@electromercantil.es</v>
      </c>
      <c r="C147" s="24">
        <v>43944.0</v>
      </c>
    </row>
    <row r="148" ht="15.75" customHeight="1">
      <c r="A148" s="22" t="s">
        <v>1509</v>
      </c>
      <c r="B148" s="23" t="str">
        <f>IFERROR(__xludf.DUMMYFUNCTION("IF(OR(regexmatch(A148,"".*@simon.es$""),REGEXMATCH(A148,"".*@simon.pt$""),REGEXMATCH(A148,"".*@simonelectrica.com$""),REGEXMATCH(A148,"".*@hiberus.com$""),REGEXMATCH(A148,"".*@simonbrico.es$""),regexmatch(A148,"".*@simonelectric.com$"")),""null"",A148)"),"1535@hotmail.com")</f>
        <v>1535@hotmail.com</v>
      </c>
      <c r="C148" s="24">
        <v>43943.0</v>
      </c>
    </row>
    <row r="149" ht="15.75" customHeight="1">
      <c r="A149" s="22" t="s">
        <v>1525</v>
      </c>
      <c r="B149" s="23" t="str">
        <f>IFERROR(__xludf.DUMMYFUNCTION("IF(OR(regexmatch(A149,"".*@simon.es$""),REGEXMATCH(A149,"".*@simon.pt$""),REGEXMATCH(A149,"".*@simonelectrica.com$""),REGEXMATCH(A149,"".*@hiberus.com$""),REGEXMATCH(A149,"".*@simonbrico.es$""),regexmatch(A149,"".*@simonelectric.com$"")),""null"",A149)"),"1233@hotmail.com")</f>
        <v>1233@hotmail.com</v>
      </c>
      <c r="C149" s="24">
        <v>43942.0</v>
      </c>
    </row>
    <row r="150" ht="15.75" customHeight="1">
      <c r="A150" s="22" t="s">
        <v>1902</v>
      </c>
      <c r="B150" s="23" t="str">
        <f>IFERROR(__xludf.DUMMYFUNCTION("IF(OR(regexmatch(A150,"".*@simon.es$""),REGEXMATCH(A150,"".*@simon.pt$""),REGEXMATCH(A150,"".*@simonelectrica.com$""),REGEXMATCH(A150,"".*@hiberus.com$""),REGEXMATCH(A150,"".*@simonbrico.es$""),regexmatch(A150,"".*@simonelectric.com$"")),""null"",A150)"),"1397@olibayas.net")</f>
        <v>1397@olibayas.net</v>
      </c>
      <c r="C150" s="24">
        <v>43942.0</v>
      </c>
    </row>
    <row r="151" ht="15.75" customHeight="1">
      <c r="A151" s="22" t="s">
        <v>1907</v>
      </c>
      <c r="B151" s="23" t="str">
        <f>IFERROR(__xludf.DUMMYFUNCTION("IF(OR(regexmatch(A151,"".*@simon.es$""),REGEXMATCH(A151,"".*@simon.pt$""),REGEXMATCH(A151,"".*@simonelectrica.com$""),REGEXMATCH(A151,"".*@hiberus.com$""),REGEXMATCH(A151,"".*@simonbrico.es$""),regexmatch(A151,"".*@simonelectric.com$"")),""null"",A151)"),"1443@hotmail.com")</f>
        <v>1443@hotmail.com</v>
      </c>
      <c r="C151" s="24">
        <v>43941.0</v>
      </c>
    </row>
    <row r="152" ht="15.75" customHeight="1">
      <c r="A152" s="22" t="s">
        <v>1490</v>
      </c>
      <c r="B152" s="23" t="str">
        <f>IFERROR(__xludf.DUMMYFUNCTION("IF(OR(regexmatch(A152,"".*@simon.es$""),REGEXMATCH(A152,"".*@simon.pt$""),REGEXMATCH(A152,"".*@simonelectrica.com$""),REGEXMATCH(A152,"".*@hiberus.com$""),REGEXMATCH(A152,"".*@simonbrico.es$""),regexmatch(A152,"".*@simonelectric.com$"")),""null"",A152)"),"2074@hotmail.com")</f>
        <v>2074@hotmail.com</v>
      </c>
      <c r="C152" s="24">
        <v>43941.0</v>
      </c>
    </row>
    <row r="153" ht="15.75" customHeight="1">
      <c r="A153" s="22" t="s">
        <v>1905</v>
      </c>
      <c r="B153" s="23" t="str">
        <f>IFERROR(__xludf.DUMMYFUNCTION("IF(OR(regexmatch(A153,"".*@simon.es$""),REGEXMATCH(A153,"".*@simon.pt$""),REGEXMATCH(A153,"".*@simonelectrica.com$""),REGEXMATCH(A153,"".*@hiberus.com$""),REGEXMATCH(A153,"".*@simonbrico.es$""),regexmatch(A153,"".*@simonelectric.com$"")),""null"",A153)"),"2076@gmail.com")</f>
        <v>2076@gmail.com</v>
      </c>
      <c r="C153" s="24">
        <v>43941.0</v>
      </c>
    </row>
    <row r="154" ht="15.75" customHeight="1">
      <c r="A154" s="22" t="s">
        <v>1488</v>
      </c>
      <c r="B154" s="23" t="str">
        <f>IFERROR(__xludf.DUMMYFUNCTION("IF(OR(regexmatch(A154,"".*@simon.es$""),REGEXMATCH(A154,"".*@simon.pt$""),REGEXMATCH(A154,"".*@simonelectrica.com$""),REGEXMATCH(A154,"".*@hiberus.com$""),REGEXMATCH(A154,"".*@simonbrico.es$""),regexmatch(A154,"".*@simonelectric.com$"")),""null"",A154)"),"2083@gmail.com")</f>
        <v>2083@gmail.com</v>
      </c>
      <c r="C154" s="24">
        <v>43940.0</v>
      </c>
    </row>
    <row r="155" ht="15.75" customHeight="1">
      <c r="A155" s="22" t="s">
        <v>1910</v>
      </c>
      <c r="B155" s="23" t="str">
        <f>IFERROR(__xludf.DUMMYFUNCTION("IF(OR(regexmatch(A155,"".*@simon.es$""),REGEXMATCH(A155,"".*@simon.pt$""),REGEXMATCH(A155,"".*@simonelectrica.com$""),REGEXMATCH(A155,"".*@hiberus.com$""),REGEXMATCH(A155,"".*@simonbrico.es$""),regexmatch(A155,"".*@simonelectric.com$"")),""null"",A155)"),"2097@hotmail.com")</f>
        <v>2097@hotmail.com</v>
      </c>
      <c r="C155" s="24">
        <v>43938.0</v>
      </c>
    </row>
    <row r="156" ht="15.75" customHeight="1">
      <c r="A156" s="22" t="s">
        <v>1486</v>
      </c>
      <c r="B156" s="23" t="str">
        <f>IFERROR(__xludf.DUMMYFUNCTION("IF(OR(regexmatch(A156,"".*@simon.es$""),REGEXMATCH(A156,"".*@simon.pt$""),REGEXMATCH(A156,"".*@simonelectrica.com$""),REGEXMATCH(A156,"".*@hiberus.com$""),REGEXMATCH(A156,"".*@simonbrico.es$""),regexmatch(A156,"".*@simonelectric.com$"")),""null"",A156)"),"2110@ingeconsulting.com")</f>
        <v>2110@ingeconsulting.com</v>
      </c>
      <c r="C156" s="24">
        <v>43937.0</v>
      </c>
    </row>
    <row r="157" ht="15.75" customHeight="1">
      <c r="A157" s="22" t="s">
        <v>1914</v>
      </c>
      <c r="B157" s="23" t="str">
        <f>IFERROR(__xludf.DUMMYFUNCTION("IF(OR(regexmatch(A157,"".*@simon.es$""),REGEXMATCH(A157,"".*@simon.pt$""),REGEXMATCH(A157,"".*@simonelectrica.com$""),REGEXMATCH(A157,"".*@hiberus.com$""),REGEXMATCH(A157,"".*@simonbrico.es$""),regexmatch(A157,"".*@simonelectric.com$"")),""null"",A157)"),"2112@gmail.com")</f>
        <v>2112@gmail.com</v>
      </c>
      <c r="C157" s="24">
        <v>43937.0</v>
      </c>
    </row>
    <row r="158" ht="15.75" customHeight="1">
      <c r="A158" s="22" t="s">
        <v>2035</v>
      </c>
      <c r="B158" s="23" t="str">
        <f>IFERROR(__xludf.DUMMYFUNCTION("IF(OR(regexmatch(A158,"".*@simon.es$""),REGEXMATCH(A158,"".*@simon.pt$""),REGEXMATCH(A158,"".*@simonelectrica.com$""),REGEXMATCH(A158,"".*@hiberus.com$""),REGEXMATCH(A158,"".*@simonbrico.es$""),regexmatch(A158,"".*@simonelectric.com$"")),""null"",A158)"),"2105@nauta.cu")</f>
        <v>2105@nauta.cu</v>
      </c>
      <c r="C158" s="24">
        <v>43937.0</v>
      </c>
    </row>
    <row r="159" ht="15.75" customHeight="1">
      <c r="A159" s="22" t="s">
        <v>1487</v>
      </c>
      <c r="B159" s="23" t="str">
        <f>IFERROR(__xludf.DUMMYFUNCTION("IF(OR(regexmatch(A159,"".*@simon.es$""),REGEXMATCH(A159,"".*@simon.pt$""),REGEXMATCH(A159,"".*@simonelectrica.com$""),REGEXMATCH(A159,"".*@hiberus.com$""),REGEXMATCH(A159,"".*@simonbrico.es$""),regexmatch(A159,"".*@simonelectric.com$"")),""null"",A159)"),"2109@huelvanorte.es")</f>
        <v>2109@huelvanorte.es</v>
      </c>
      <c r="C159" s="24">
        <v>43937.0</v>
      </c>
    </row>
    <row r="160" ht="15.75" customHeight="1">
      <c r="A160" s="22" t="s">
        <v>1916</v>
      </c>
      <c r="B160" s="23" t="str">
        <f>IFERROR(__xludf.DUMMYFUNCTION("IF(OR(regexmatch(A160,"".*@simon.es$""),REGEXMATCH(A160,"".*@simon.pt$""),REGEXMATCH(A160,"".*@simonelectrica.com$""),REGEXMATCH(A160,"".*@hiberus.com$""),REGEXMATCH(A160,"".*@simonbrico.es$""),regexmatch(A160,"".*@simonelectric.com$"")),""null"",A160)"),"808@ale.es")</f>
        <v>808@ale.es</v>
      </c>
      <c r="C160" s="24">
        <v>43936.0</v>
      </c>
    </row>
    <row r="161" ht="15.75" customHeight="1">
      <c r="A161" s="22" t="s">
        <v>1422</v>
      </c>
      <c r="B161" s="23" t="str">
        <f>IFERROR(__xludf.DUMMYFUNCTION("IF(OR(regexmatch(A161,"".*@simon.es$""),REGEXMATCH(A161,"".*@simon.pt$""),REGEXMATCH(A161,"".*@simonelectrica.com$""),REGEXMATCH(A161,"".*@hiberus.com$""),REGEXMATCH(A161,"".*@simonbrico.es$""),regexmatch(A161,"".*@simonelectric.com$"")),""null"",A161)"),"3086@gmail.com")</f>
        <v>3086@gmail.com</v>
      </c>
      <c r="C161" s="24">
        <v>43936.0</v>
      </c>
    </row>
    <row r="162" ht="15.75" customHeight="1">
      <c r="A162" s="22" t="s">
        <v>1485</v>
      </c>
      <c r="B162" s="23" t="str">
        <f>IFERROR(__xludf.DUMMYFUNCTION("IF(OR(regexmatch(A162,"".*@simon.es$""),REGEXMATCH(A162,"".*@simon.pt$""),REGEXMATCH(A162,"".*@simonelectrica.com$""),REGEXMATCH(A162,"".*@hiberus.com$""),REGEXMATCH(A162,"".*@simonbrico.es$""),regexmatch(A162,"".*@simonelectric.com$"")),""null"",A162)"),"2119@gmail.com")</f>
        <v>2119@gmail.com</v>
      </c>
      <c r="C162" s="24">
        <v>43935.0</v>
      </c>
    </row>
    <row r="163" ht="15.75" customHeight="1">
      <c r="A163" s="22" t="s">
        <v>1473</v>
      </c>
      <c r="B163" s="23" t="str">
        <f>IFERROR(__xludf.DUMMYFUNCTION("IF(OR(regexmatch(A163,"".*@simon.es$""),REGEXMATCH(A163,"".*@simon.pt$""),REGEXMATCH(A163,"".*@simonelectrica.com$""),REGEXMATCH(A163,"".*@hiberus.com$""),REGEXMATCH(A163,"".*@simonbrico.es$""),regexmatch(A163,"".*@simonelectric.com$"")),""null"",A163)"),"2366@energies.cat")</f>
        <v>2366@energies.cat</v>
      </c>
      <c r="C163" s="24">
        <v>43934.0</v>
      </c>
    </row>
    <row r="164" ht="15.75" customHeight="1">
      <c r="A164" s="22" t="s">
        <v>1921</v>
      </c>
      <c r="B164" s="23" t="str">
        <f>IFERROR(__xludf.DUMMYFUNCTION("IF(OR(regexmatch(A164,"".*@simon.es$""),REGEXMATCH(A164,"".*@simon.pt$""),REGEXMATCH(A164,"".*@simonelectrica.com$""),REGEXMATCH(A164,"".*@hiberus.com$""),REGEXMATCH(A164,"".*@simonbrico.es$""),regexmatch(A164,"".*@simonelectric.com$"")),""null"",A164)"),"2128@gmail.com")</f>
        <v>2128@gmail.com</v>
      </c>
      <c r="C164" s="24">
        <v>43933.0</v>
      </c>
    </row>
    <row r="165" ht="15.75" customHeight="1">
      <c r="A165" s="22" t="s">
        <v>1481</v>
      </c>
      <c r="B165" s="23" t="str">
        <f>IFERROR(__xludf.DUMMYFUNCTION("IF(OR(regexmatch(A165,"".*@simon.es$""),REGEXMATCH(A165,"".*@simon.pt$""),REGEXMATCH(A165,"".*@simonelectrica.com$""),REGEXMATCH(A165,"".*@hiberus.com$""),REGEXMATCH(A165,"".*@simonbrico.es$""),regexmatch(A165,"".*@simonelectric.com$"")),""null"",A165)"),"2140@gmail.com")</f>
        <v>2140@gmail.com</v>
      </c>
      <c r="C165" s="24">
        <v>43932.0</v>
      </c>
    </row>
    <row r="166" ht="15.75" customHeight="1">
      <c r="A166" s="22" t="s">
        <v>2036</v>
      </c>
      <c r="B166" s="23" t="str">
        <f>IFERROR(__xludf.DUMMYFUNCTION("IF(OR(regexmatch(A166,"".*@simon.es$""),REGEXMATCH(A166,"".*@simon.pt$""),REGEXMATCH(A166,"".*@simonelectrica.com$""),REGEXMATCH(A166,"".*@hiberus.com$""),REGEXMATCH(A166,"".*@simonbrico.es$""),regexmatch(A166,"".*@simonelectric.com$"")),""null"",A166)"),"2139@gmail.com")</f>
        <v>2139@gmail.com</v>
      </c>
      <c r="C166" s="24">
        <v>43932.0</v>
      </c>
    </row>
    <row r="167" ht="15.75" customHeight="1">
      <c r="A167" s="22" t="s">
        <v>1924</v>
      </c>
      <c r="B167" s="23" t="str">
        <f>IFERROR(__xludf.DUMMYFUNCTION("IF(OR(regexmatch(A167,"".*@simon.es$""),REGEXMATCH(A167,"".*@simon.pt$""),REGEXMATCH(A167,"".*@simonelectrica.com$""),REGEXMATCH(A167,"".*@hiberus.com$""),REGEXMATCH(A167,"".*@simonbrico.es$""),regexmatch(A167,"".*@simonelectric.com$"")),""null"",A167)"),"2150@yahoo.es")</f>
        <v>2150@yahoo.es</v>
      </c>
      <c r="C167" s="24">
        <v>43930.0</v>
      </c>
    </row>
    <row r="168" ht="15.75" customHeight="1">
      <c r="A168" s="22" t="s">
        <v>1518</v>
      </c>
      <c r="B168" s="23" t="str">
        <f>IFERROR(__xludf.DUMMYFUNCTION("IF(OR(regexmatch(A168,"".*@simon.es$""),REGEXMATCH(A168,"".*@simon.pt$""),REGEXMATCH(A168,"".*@simonelectrica.com$""),REGEXMATCH(A168,"".*@hiberus.com$""),REGEXMATCH(A168,"".*@simonbrico.es$""),regexmatch(A168,"".*@simonelectric.com$"")),""null"",A168)"),"1411@ujaen.es")</f>
        <v>1411@ujaen.es</v>
      </c>
      <c r="C168" s="24">
        <v>43928.0</v>
      </c>
    </row>
    <row r="169" ht="15.75" customHeight="1">
      <c r="A169" s="22" t="s">
        <v>1926</v>
      </c>
      <c r="B169" s="23" t="str">
        <f>IFERROR(__xludf.DUMMYFUNCTION("IF(OR(regexmatch(A169,"".*@simon.es$""),REGEXMATCH(A169,"".*@simon.pt$""),REGEXMATCH(A169,"".*@simonelectrica.com$""),REGEXMATCH(A169,"".*@hiberus.com$""),REGEXMATCH(A169,"".*@simonbrico.es$""),regexmatch(A169,"".*@simonelectric.com$"")),""null"",A169)"),"3047@gmail.com")</f>
        <v>3047@gmail.com</v>
      </c>
      <c r="C169" s="24">
        <v>43928.0</v>
      </c>
    </row>
    <row r="170" ht="15.75" customHeight="1">
      <c r="A170" s="22" t="s">
        <v>1928</v>
      </c>
      <c r="B170" s="23" t="str">
        <f>IFERROR(__xludf.DUMMYFUNCTION("IF(OR(regexmatch(A170,"".*@simon.es$""),REGEXMATCH(A170,"".*@simon.pt$""),REGEXMATCH(A170,"".*@simonelectrica.com$""),REGEXMATCH(A170,"".*@hiberus.com$""),REGEXMATCH(A170,"".*@simonbrico.es$""),regexmatch(A170,"".*@simonelectric.com$"")),""null"",A170)"),"2195@yahoo.es")</f>
        <v>2195@yahoo.es</v>
      </c>
      <c r="C170" s="24">
        <v>43926.0</v>
      </c>
    </row>
    <row r="171" ht="15.75" customHeight="1">
      <c r="A171" s="22" t="s">
        <v>1758</v>
      </c>
      <c r="B171" s="23" t="str">
        <f>IFERROR(__xludf.DUMMYFUNCTION("IF(OR(regexmatch(A171,"".*@simon.es$""),REGEXMATCH(A171,"".*@simon.pt$""),REGEXMATCH(A171,"".*@simonelectrica.com$""),REGEXMATCH(A171,"".*@hiberus.com$""),REGEXMATCH(A171,"".*@simonbrico.es$""),regexmatch(A171,"".*@simonelectric.com$"")),""null"",A171)"),"2209@elecem.es")</f>
        <v>2209@elecem.es</v>
      </c>
      <c r="C171" s="24">
        <v>43924.0</v>
      </c>
    </row>
    <row r="172" ht="15.75" customHeight="1">
      <c r="A172" s="22" t="s">
        <v>1478</v>
      </c>
      <c r="B172" s="23" t="str">
        <f>IFERROR(__xludf.DUMMYFUNCTION("IF(OR(regexmatch(A172,"".*@simon.es$""),REGEXMATCH(A172,"".*@simon.pt$""),REGEXMATCH(A172,"".*@simonelectrica.com$""),REGEXMATCH(A172,"".*@hiberus.com$""),REGEXMATCH(A172,"".*@simonbrico.es$""),regexmatch(A172,"".*@simonelectric.com$"")),""null"",A172)"),"2218@gmx.es")</f>
        <v>2218@gmx.es</v>
      </c>
      <c r="C172" s="24">
        <v>43924.0</v>
      </c>
    </row>
    <row r="173" ht="15.75" customHeight="1">
      <c r="A173" s="22" t="s">
        <v>1479</v>
      </c>
      <c r="B173" s="23" t="str">
        <f>IFERROR(__xludf.DUMMYFUNCTION("IF(OR(regexmatch(A173,"".*@simon.es$""),REGEXMATCH(A173,"".*@simon.pt$""),REGEXMATCH(A173,"".*@simonelectrica.com$""),REGEXMATCH(A173,"".*@hiberus.com$""),REGEXMATCH(A173,"".*@simonbrico.es$""),regexmatch(A173,"".*@simonelectric.com$"")),""null"",A173)"),"2208@wp.pl")</f>
        <v>2208@wp.pl</v>
      </c>
      <c r="C173" s="24">
        <v>43924.0</v>
      </c>
    </row>
    <row r="174" ht="15.75" customHeight="1">
      <c r="A174" s="22" t="s">
        <v>2037</v>
      </c>
      <c r="B174" s="23" t="str">
        <f>IFERROR(__xludf.DUMMYFUNCTION("IF(OR(regexmatch(A174,"".*@simon.es$""),REGEXMATCH(A174,"".*@simon.pt$""),REGEXMATCH(A174,"".*@simonelectrica.com$""),REGEXMATCH(A174,"".*@hiberus.com$""),REGEXMATCH(A174,"".*@simonbrico.es$""),regexmatch(A174,"".*@simonelectric.com$"")),""null"",A174)"),"2220@hotmail.com")</f>
        <v>2220@hotmail.com</v>
      </c>
      <c r="C174" s="24">
        <v>43923.0</v>
      </c>
    </row>
    <row r="175" ht="15.75" customHeight="1">
      <c r="A175" s="22" t="s">
        <v>1932</v>
      </c>
      <c r="B175" s="23" t="str">
        <f>IFERROR(__xludf.DUMMYFUNCTION("IF(OR(regexmatch(A175,"".*@simon.es$""),REGEXMATCH(A175,"".*@simon.pt$""),REGEXMATCH(A175,"".*@simonelectrica.com$""),REGEXMATCH(A175,"".*@hiberus.com$""),REGEXMATCH(A175,"".*@simonbrico.es$""),regexmatch(A175,"".*@simonelectric.com$"")),""null"",A175)"),"3201@sub-vidayfoto.com")</f>
        <v>3201@sub-vidayfoto.com</v>
      </c>
      <c r="C175" s="24">
        <v>43923.0</v>
      </c>
    </row>
    <row r="176" ht="15.75" customHeight="1">
      <c r="A176" s="22" t="s">
        <v>1477</v>
      </c>
      <c r="B176" s="23" t="str">
        <f>IFERROR(__xludf.DUMMYFUNCTION("IF(OR(regexmatch(A176,"".*@simon.es$""),REGEXMATCH(A176,"".*@simon.pt$""),REGEXMATCH(A176,"".*@simonelectrica.com$""),REGEXMATCH(A176,"".*@hiberus.com$""),REGEXMATCH(A176,"".*@simonbrico.es$""),regexmatch(A176,"".*@simonelectric.com$"")),""null"",A176)"),"2229@enerluz.es")</f>
        <v>2229@enerluz.es</v>
      </c>
      <c r="C176" s="24">
        <v>43922.0</v>
      </c>
    </row>
    <row r="177" ht="15.75" customHeight="1">
      <c r="A177" s="22" t="s">
        <v>37</v>
      </c>
      <c r="B177" s="23" t="str">
        <f>IFERROR(__xludf.DUMMYFUNCTION("IF(OR(regexmatch(A177,"".*@simon.es$""),REGEXMATCH(A177,"".*@simon.pt$""),REGEXMATCH(A177,"".*@simonelectrica.com$""),REGEXMATCH(A177,"".*@hiberus.com$""),REGEXMATCH(A177,"".*@simonbrico.es$""),regexmatch(A177,"".*@simonelectric.com$"")),""null"",A177)"),"595@centroasturianobarcelona.com")</f>
        <v>595@centroasturianobarcelona.com</v>
      </c>
      <c r="C177" s="24">
        <v>43922.0</v>
      </c>
    </row>
    <row r="178" ht="15.75" customHeight="1">
      <c r="A178" s="22" t="s">
        <v>1936</v>
      </c>
      <c r="B178" s="23" t="str">
        <f>IFERROR(__xludf.DUMMYFUNCTION("IF(OR(regexmatch(A178,"".*@simon.es$""),REGEXMATCH(A178,"".*@simon.pt$""),REGEXMATCH(A178,"".*@simonelectrica.com$""),REGEXMATCH(A178,"".*@hiberus.com$""),REGEXMATCH(A178,"".*@simonbrico.es$""),regexmatch(A178,"".*@simonelectric.com$"")),""null"",A178)"),"2252@energestic.es")</f>
        <v>2252@energestic.es</v>
      </c>
      <c r="C178" s="24">
        <v>43921.0</v>
      </c>
    </row>
    <row r="179" ht="15.75" customHeight="1">
      <c r="A179" s="22" t="s">
        <v>1419</v>
      </c>
      <c r="B179" s="23" t="str">
        <f>IFERROR(__xludf.DUMMYFUNCTION("IF(OR(regexmatch(A179,"".*@simon.es$""),REGEXMATCH(A179,"".*@simon.pt$""),REGEXMATCH(A179,"".*@simonelectrica.com$""),REGEXMATCH(A179,"".*@hiberus.com$""),REGEXMATCH(A179,"".*@simonbrico.es$""),regexmatch(A179,"".*@simonelectric.com$"")),""null"",A179)"),"3098@soc.redcitroen.com")</f>
        <v>3098@soc.redcitroen.com</v>
      </c>
      <c r="C179" s="24">
        <v>43921.0</v>
      </c>
    </row>
    <row r="180" ht="15.75" customHeight="1">
      <c r="A180" s="22" t="s">
        <v>1554</v>
      </c>
      <c r="B180" s="23" t="str">
        <f>IFERROR(__xludf.DUMMYFUNCTION("IF(OR(regexmatch(A180,"".*@simon.es$""),REGEXMATCH(A180,"".*@simon.pt$""),REGEXMATCH(A180,"".*@simonelectrica.com$""),REGEXMATCH(A180,"".*@hiberus.com$""),REGEXMATCH(A180,"".*@simonbrico.es$""),regexmatch(A180,"".*@simonelectric.com$"")),""null"",A180)"),"3065@sarria.salesians.cat")</f>
        <v>3065@sarria.salesians.cat</v>
      </c>
      <c r="C180" s="24">
        <v>43920.0</v>
      </c>
    </row>
    <row r="181" ht="15.75" customHeight="1">
      <c r="A181" s="22" t="s">
        <v>1476</v>
      </c>
      <c r="B181" s="23" t="str">
        <f>IFERROR(__xludf.DUMMYFUNCTION("IF(OR(regexmatch(A181,"".*@simon.es$""),REGEXMATCH(A181,"".*@simon.pt$""),REGEXMATCH(A181,"".*@simonelectrica.com$""),REGEXMATCH(A181,"".*@hiberus.com$""),REGEXMATCH(A181,"".*@simonbrico.es$""),regexmatch(A181,"".*@simonelectric.com$"")),""null"",A181)"),"2283@hotmail.com")</f>
        <v>2283@hotmail.com</v>
      </c>
      <c r="C181" s="24">
        <v>43916.0</v>
      </c>
    </row>
    <row r="182" ht="15.75" customHeight="1">
      <c r="A182" s="22" t="s">
        <v>2038</v>
      </c>
      <c r="B182" s="23" t="str">
        <f>IFERROR(__xludf.DUMMYFUNCTION("IF(OR(regexmatch(A182,"".*@simon.es$""),REGEXMATCH(A182,"".*@simon.pt$""),REGEXMATCH(A182,"".*@simonelectrica.com$""),REGEXMATCH(A182,"".*@hiberus.com$""),REGEXMATCH(A182,"".*@simonbrico.es$""),regexmatch(A182,"".*@simonelectric.com$"")),""null"",A182)"),"1659@orpoint.com")</f>
        <v>1659@orpoint.com</v>
      </c>
      <c r="C182" s="24">
        <v>43916.0</v>
      </c>
    </row>
    <row r="183" ht="15.75" customHeight="1">
      <c r="A183" s="22" t="s">
        <v>2039</v>
      </c>
      <c r="B183" s="23" t="str">
        <f>IFERROR(__xludf.DUMMYFUNCTION("IF(OR(regexmatch(A183,"".*@simon.es$""),REGEXMATCH(A183,"".*@simon.pt$""),REGEXMATCH(A183,"".*@simonelectrica.com$""),REGEXMATCH(A183,"".*@hiberus.com$""),REGEXMATCH(A183,"".*@simonbrico.es$""),regexmatch(A183,"".*@simonelectric.com$"")),""null"",A183)"),"2289@hotmail.com")</f>
        <v>2289@hotmail.com</v>
      </c>
      <c r="C183" s="24">
        <v>43916.0</v>
      </c>
    </row>
    <row r="184" ht="15.75" customHeight="1">
      <c r="A184" s="22" t="s">
        <v>1560</v>
      </c>
      <c r="B184" s="23" t="str">
        <f>IFERROR(__xludf.DUMMYFUNCTION("IF(OR(regexmatch(A184,"".*@simon.es$""),REGEXMATCH(A184,"".*@simon.pt$""),REGEXMATCH(A184,"".*@simonelectrica.com$""),REGEXMATCH(A184,"".*@hiberus.com$""),REGEXMATCH(A184,"".*@simonbrico.es$""),regexmatch(A184,"".*@simonelectric.com$"")),""null"",A184)"),"2311@deluxson.com")</f>
        <v>2311@deluxson.com</v>
      </c>
      <c r="C184" s="24">
        <v>43915.0</v>
      </c>
    </row>
    <row r="185" ht="15.75" customHeight="1">
      <c r="A185" s="22" t="s">
        <v>1942</v>
      </c>
      <c r="B185" s="23" t="str">
        <f>IFERROR(__xludf.DUMMYFUNCTION("IF(OR(regexmatch(A185,"".*@simon.es$""),REGEXMATCH(A185,"".*@simon.pt$""),REGEXMATCH(A185,"".*@simonelectrica.com$""),REGEXMATCH(A185,"".*@hiberus.com$""),REGEXMATCH(A185,"".*@simonbrico.es$""),regexmatch(A185,"".*@simonelectric.com$"")),""null"",A185)"),"2329@hotmail.com")</f>
        <v>2329@hotmail.com</v>
      </c>
      <c r="C185" s="24">
        <v>43914.0</v>
      </c>
    </row>
    <row r="186" ht="15.75" customHeight="1">
      <c r="A186" s="22" t="s">
        <v>1696</v>
      </c>
      <c r="B186" s="23" t="str">
        <f>IFERROR(__xludf.DUMMYFUNCTION("IF(OR(regexmatch(A186,"".*@simon.es$""),REGEXMATCH(A186,"".*@simon.pt$""),REGEXMATCH(A186,"".*@simonelectrica.com$""),REGEXMATCH(A186,"".*@hiberus.com$""),REGEXMATCH(A186,"".*@simonbrico.es$""),regexmatch(A186,"".*@simonelectric.com$"")),""null"",A186)"),"2372@gmail.com")</f>
        <v>2372@gmail.com</v>
      </c>
      <c r="C186" s="24">
        <v>43914.0</v>
      </c>
    </row>
    <row r="187" ht="15.75" customHeight="1">
      <c r="A187" s="22" t="s">
        <v>1517</v>
      </c>
      <c r="B187" s="23" t="str">
        <f>IFERROR(__xludf.DUMMYFUNCTION("IF(OR(regexmatch(A187,"".*@simon.es$""),REGEXMATCH(A187,"".*@simon.pt$""),REGEXMATCH(A187,"".*@simonelectrica.com$""),REGEXMATCH(A187,"".*@hiberus.com$""),REGEXMATCH(A187,"".*@simonbrico.es$""),regexmatch(A187,"".*@simonelectric.com$"")),""null"",A187)"),"1414@gmail.com")</f>
        <v>1414@gmail.com</v>
      </c>
      <c r="C187" s="24">
        <v>43914.0</v>
      </c>
    </row>
    <row r="188" ht="15.75" customHeight="1">
      <c r="A188" s="22" t="s">
        <v>1945</v>
      </c>
      <c r="B188" s="23" t="str">
        <f>IFERROR(__xludf.DUMMYFUNCTION("IF(OR(regexmatch(A188,"".*@simon.es$""),REGEXMATCH(A188,"".*@simon.pt$""),REGEXMATCH(A188,"".*@simonelectrica.com$""),REGEXMATCH(A188,"".*@hiberus.com$""),REGEXMATCH(A188,"".*@simonbrico.es$""),regexmatch(A188,"".*@simonelectric.com$"")),""null"",A188)"),"2388@gmail.com")</f>
        <v>2388@gmail.com</v>
      </c>
      <c r="C188" s="24">
        <v>43914.0</v>
      </c>
    </row>
    <row r="189" ht="15.75" customHeight="1">
      <c r="A189" s="22" t="s">
        <v>1659</v>
      </c>
      <c r="B189" s="23" t="str">
        <f>IFERROR(__xludf.DUMMYFUNCTION("IF(OR(regexmatch(A189,"".*@simon.es$""),REGEXMATCH(A189,"".*@simon.pt$""),REGEXMATCH(A189,"".*@simonelectrica.com$""),REGEXMATCH(A189,"".*@hiberus.com$""),REGEXMATCH(A189,"".*@simonbrico.es$""),regexmatch(A189,"".*@simonelectric.com$"")),""null"",A189)"),"1826@gestionservicios.com")</f>
        <v>1826@gestionservicios.com</v>
      </c>
      <c r="C189" s="24">
        <v>43914.0</v>
      </c>
    </row>
    <row r="190" ht="15.75" customHeight="1">
      <c r="A190" s="22" t="s">
        <v>8</v>
      </c>
      <c r="B190" s="23" t="str">
        <f>IFERROR(__xludf.DUMMYFUNCTION("IF(OR(regexmatch(A190,"".*@simon.es$""),REGEXMATCH(A190,"".*@simon.pt$""),REGEXMATCH(A190,"".*@simonelectrica.com$""),REGEXMATCH(A190,"".*@hiberus.com$""),REGEXMATCH(A190,"".*@simonbrico.es$""),regexmatch(A190,"".*@simonelectric.com$"")),""null"",A190)"),"925@eco-voltaica.com")</f>
        <v>925@eco-voltaica.com</v>
      </c>
      <c r="C190" s="24">
        <v>43914.0</v>
      </c>
    </row>
    <row r="191" ht="15.75" customHeight="1">
      <c r="A191" s="22" t="s">
        <v>1733</v>
      </c>
      <c r="B191" s="23" t="str">
        <f>IFERROR(__xludf.DUMMYFUNCTION("IF(OR(regexmatch(A191,"".*@simon.es$""),REGEXMATCH(A191,"".*@simon.pt$""),REGEXMATCH(A191,"".*@simonelectrica.com$""),REGEXMATCH(A191,"".*@hiberus.com$""),REGEXMATCH(A191,"".*@simonbrico.es$""),regexmatch(A191,"".*@simonelectric.com$"")),""null"",A191)"),"2338@gmail.com")</f>
        <v>2338@gmail.com</v>
      </c>
      <c r="C191" s="24">
        <v>43914.0</v>
      </c>
    </row>
    <row r="192" ht="15.75" customHeight="1">
      <c r="A192" s="22" t="s">
        <v>1471</v>
      </c>
      <c r="B192" s="23" t="str">
        <f>IFERROR(__xludf.DUMMYFUNCTION("IF(OR(regexmatch(A192,"".*@simon.es$""),REGEXMATCH(A192,"".*@simon.pt$""),REGEXMATCH(A192,"".*@simonelectrica.com$""),REGEXMATCH(A192,"".*@hiberus.com$""),REGEXMATCH(A192,"".*@simonbrico.es$""),regexmatch(A192,"".*@simonelectric.com$"")),""null"",A192)"),"2408@me.com")</f>
        <v>2408@me.com</v>
      </c>
      <c r="C192" s="24">
        <v>43914.0</v>
      </c>
    </row>
    <row r="193" ht="15.75" customHeight="1">
      <c r="A193" s="22" t="s">
        <v>2040</v>
      </c>
      <c r="B193" s="23" t="str">
        <f>IFERROR(__xludf.DUMMYFUNCTION("IF(OR(regexmatch(A193,"".*@simon.es$""),REGEXMATCH(A193,"".*@simon.pt$""),REGEXMATCH(A193,"".*@simonelectrica.com$""),REGEXMATCH(A193,"".*@hiberus.com$""),REGEXMATCH(A193,"".*@simonbrico.es$""),regexmatch(A193,"".*@simonelectric.com$"")),""null"",A193)"),"700@gmail.com")</f>
        <v>700@gmail.com</v>
      </c>
      <c r="C193" s="24">
        <v>43914.0</v>
      </c>
    </row>
    <row r="194" ht="15.75" customHeight="1">
      <c r="A194" s="22" t="s">
        <v>1474</v>
      </c>
      <c r="B194" s="23" t="str">
        <f>IFERROR(__xludf.DUMMYFUNCTION("IF(OR(regexmatch(A194,"".*@simon.es$""),REGEXMATCH(A194,"".*@simon.pt$""),REGEXMATCH(A194,"".*@simonelectrica.com$""),REGEXMATCH(A194,"".*@hiberus.com$""),REGEXMATCH(A194,"".*@simonbrico.es$""),regexmatch(A194,"".*@simonelectric.com$"")),""null"",A194)"),"2330@gmail.com")</f>
        <v>2330@gmail.com</v>
      </c>
      <c r="C194" s="24">
        <v>43914.0</v>
      </c>
    </row>
    <row r="195" ht="15.75" customHeight="1">
      <c r="A195" s="22" t="s">
        <v>1609</v>
      </c>
      <c r="B195" s="23" t="str">
        <f>IFERROR(__xludf.DUMMYFUNCTION("IF(OR(regexmatch(A195,"".*@simon.es$""),REGEXMATCH(A195,"".*@simon.pt$""),REGEXMATCH(A195,"".*@simonelectrica.com$""),REGEXMATCH(A195,"".*@hiberus.com$""),REGEXMATCH(A195,"".*@simonbrico.es$""),regexmatch(A195,"".*@simonelectric.com$"")),""null"",A195)"),"2498@adtelcom.es")</f>
        <v>2498@adtelcom.es</v>
      </c>
      <c r="C195" s="24">
        <v>43913.0</v>
      </c>
    </row>
    <row r="196" ht="15.75" customHeight="1">
      <c r="A196" s="22" t="s">
        <v>1504</v>
      </c>
      <c r="B196" s="23" t="str">
        <f>IFERROR(__xludf.DUMMYFUNCTION("IF(OR(regexmatch(A196,"".*@simon.es$""),REGEXMATCH(A196,"".*@simon.pt$""),REGEXMATCH(A196,"".*@simonelectrica.com$""),REGEXMATCH(A196,"".*@hiberus.com$""),REGEXMATCH(A196,"".*@simonbrico.es$""),regexmatch(A196,"".*@simonelectric.com$"")),""null"",A196)"),"1687@gestilar.com")</f>
        <v>1687@gestilar.com</v>
      </c>
      <c r="C196" s="24">
        <v>43913.0</v>
      </c>
    </row>
    <row r="197" ht="15.75" customHeight="1">
      <c r="A197" s="22" t="s">
        <v>1949</v>
      </c>
      <c r="B197" s="23" t="str">
        <f>IFERROR(__xludf.DUMMYFUNCTION("IF(OR(regexmatch(A197,"".*@simon.es$""),REGEXMATCH(A197,"".*@simon.pt$""),REGEXMATCH(A197,"".*@simonelectrica.com$""),REGEXMATCH(A197,"".*@hiberus.com$""),REGEXMATCH(A197,"".*@simonbrico.es$""),regexmatch(A197,"".*@simonelectric.com$"")),""null"",A197)"),"2440@imanzanera.com")</f>
        <v>2440@imanzanera.com</v>
      </c>
      <c r="C197" s="24">
        <v>43912.0</v>
      </c>
    </row>
    <row r="198" ht="15.75" customHeight="1">
      <c r="A198" s="22" t="s">
        <v>1469</v>
      </c>
      <c r="B198" s="23" t="str">
        <f>IFERROR(__xludf.DUMMYFUNCTION("IF(OR(regexmatch(A198,"".*@simon.es$""),REGEXMATCH(A198,"".*@simon.pt$""),REGEXMATCH(A198,"".*@simonelectrica.com$""),REGEXMATCH(A198,"".*@hiberus.com$""),REGEXMATCH(A198,"".*@simonbrico.es$""),regexmatch(A198,"".*@simonelectric.com$"")),""null"",A198)"),"2442@gmail.com")</f>
        <v>2442@gmail.com</v>
      </c>
      <c r="C198" s="24">
        <v>43911.0</v>
      </c>
    </row>
    <row r="199" ht="15.75" customHeight="1">
      <c r="A199" s="22" t="s">
        <v>1421</v>
      </c>
      <c r="B199" s="23" t="str">
        <f>IFERROR(__xludf.DUMMYFUNCTION("IF(OR(regexmatch(A199,"".*@simon.es$""),REGEXMATCH(A199,"".*@simon.pt$""),REGEXMATCH(A199,"".*@simonelectrica.com$""),REGEXMATCH(A199,"".*@hiberus.com$""),REGEXMATCH(A199,"".*@simonbrico.es$""),regexmatch(A199,"".*@simonelectric.com$"")),""null"",A199)"),"3089@yahoo.es")</f>
        <v>3089@yahoo.es</v>
      </c>
      <c r="C199" s="24">
        <v>43911.0</v>
      </c>
    </row>
    <row r="200" ht="15.75" customHeight="1">
      <c r="A200" s="22" t="s">
        <v>2041</v>
      </c>
      <c r="B200" s="23" t="str">
        <f>IFERROR(__xludf.DUMMYFUNCTION("IF(OR(regexmatch(A200,"".*@simon.es$""),REGEXMATCH(A200,"".*@simon.pt$""),REGEXMATCH(A200,"".*@simonelectrica.com$""),REGEXMATCH(A200,"".*@hiberus.com$""),REGEXMATCH(A200,"".*@simonbrico.es$""),regexmatch(A200,"".*@simonelectric.com$"")),""null"",A200)"),"2444@gmail.com")</f>
        <v>2444@gmail.com</v>
      </c>
      <c r="C200" s="24">
        <v>43910.0</v>
      </c>
    </row>
    <row r="201" ht="15.75" customHeight="1">
      <c r="A201" s="22" t="s">
        <v>1420</v>
      </c>
      <c r="B201" s="23" t="str">
        <f>IFERROR(__xludf.DUMMYFUNCTION("IF(OR(regexmatch(A201,"".*@simon.es$""),REGEXMATCH(A201,"".*@simon.pt$""),REGEXMATCH(A201,"".*@simonelectrica.com$""),REGEXMATCH(A201,"".*@hiberus.com$""),REGEXMATCH(A201,"".*@simonbrico.es$""),regexmatch(A201,"".*@simonelectric.com$"")),""null"",A201)"),"3096@hotmail.com")</f>
        <v>3096@hotmail.com</v>
      </c>
      <c r="C201" s="24">
        <v>43909.0</v>
      </c>
    </row>
    <row r="202" ht="15.75" customHeight="1">
      <c r="A202" s="22" t="s">
        <v>585</v>
      </c>
      <c r="B202" s="23" t="str">
        <f>IFERROR(__xludf.DUMMYFUNCTION("IF(OR(regexmatch(A202,"".*@simon.es$""),REGEXMATCH(A202,"".*@simon.pt$""),REGEXMATCH(A202,"".*@simonelectrica.com$""),REGEXMATCH(A202,"".*@hiberus.com$""),REGEXMATCH(A202,"".*@simonbrico.es$""),regexmatch(A202,"".*@simonelectric.com$"")),""null"",A202)"),"416@dominguezelectricidad.es")</f>
        <v>416@dominguezelectricidad.es</v>
      </c>
      <c r="C202" s="24">
        <v>43907.0</v>
      </c>
    </row>
    <row r="203" ht="15.75" customHeight="1">
      <c r="A203" s="22" t="s">
        <v>2042</v>
      </c>
      <c r="B203" s="23" t="str">
        <f>IFERROR(__xludf.DUMMYFUNCTION("IF(OR(regexmatch(A203,"".*@simon.es$""),REGEXMATCH(A203,"".*@simon.pt$""),REGEXMATCH(A203,"".*@simonelectrica.com$""),REGEXMATCH(A203,"".*@hiberus.com$""),REGEXMATCH(A203,"".*@simonbrico.es$""),regexmatch(A203,"".*@simonelectric.com$"")),""null"",A203)"),"1188@gmail.com")</f>
        <v>1188@gmail.com</v>
      </c>
      <c r="C203" s="24">
        <v>43903.0</v>
      </c>
    </row>
    <row r="204" ht="15.75" customHeight="1">
      <c r="A204" s="22" t="s">
        <v>1952</v>
      </c>
      <c r="B204" s="23" t="str">
        <f>IFERROR(__xludf.DUMMYFUNCTION("IF(OR(regexmatch(A204,"".*@simon.es$""),REGEXMATCH(A204,"".*@simon.pt$""),REGEXMATCH(A204,"".*@simonelectrica.com$""),REGEXMATCH(A204,"".*@hiberus.com$""),REGEXMATCH(A204,"".*@simonbrico.es$""),regexmatch(A204,"".*@simonelectric.com$"")),""null"",A204)"),"2483@gmail.com")</f>
        <v>2483@gmail.com</v>
      </c>
      <c r="C204" s="24">
        <v>43901.0</v>
      </c>
    </row>
    <row r="205" ht="15.75" customHeight="1">
      <c r="A205" s="22" t="s">
        <v>30</v>
      </c>
      <c r="B205" s="23" t="str">
        <f>IFERROR(__xludf.DUMMYFUNCTION("IF(OR(regexmatch(A205,"".*@simon.es$""),REGEXMATCH(A205,"".*@simon.pt$""),REGEXMATCH(A205,"".*@simonelectrica.com$""),REGEXMATCH(A205,"".*@hiberus.com$""),REGEXMATCH(A205,"".*@simonbrico.es$""),regexmatch(A205,"".*@simonelectric.com$"")),""null"",A205)"),"654@staperpetua.cat")</f>
        <v>654@staperpetua.cat</v>
      </c>
      <c r="C205" s="24">
        <v>43901.0</v>
      </c>
    </row>
    <row r="206" ht="15.75" customHeight="1">
      <c r="A206" s="22" t="s">
        <v>1467</v>
      </c>
      <c r="B206" s="23" t="str">
        <f>IFERROR(__xludf.DUMMYFUNCTION("IF(OR(regexmatch(A206,"".*@simon.es$""),REGEXMATCH(A206,"".*@simon.pt$""),REGEXMATCH(A206,"".*@simonelectrica.com$""),REGEXMATCH(A206,"".*@hiberus.com$""),REGEXMATCH(A206,"".*@simonbrico.es$""),regexmatch(A206,"".*@simonelectric.com$"")),""null"",A206)"),"2490@mantenencies.com")</f>
        <v>2490@mantenencies.com</v>
      </c>
      <c r="C206" s="24">
        <v>43900.0</v>
      </c>
    </row>
    <row r="207" ht="15.75" customHeight="1">
      <c r="A207" s="22" t="s">
        <v>1752</v>
      </c>
      <c r="B207" s="23" t="str">
        <f>IFERROR(__xludf.DUMMYFUNCTION("IF(OR(regexmatch(A207,"".*@simon.es$""),REGEXMATCH(A207,"".*@simon.pt$""),REGEXMATCH(A207,"".*@simonelectrica.com$""),REGEXMATCH(A207,"".*@hiberus.com$""),REGEXMATCH(A207,"".*@simonbrico.es$""),regexmatch(A207,"".*@simonelectric.com$"")),""null"",A207)"),"3130@gmail.com")</f>
        <v>3130@gmail.com</v>
      </c>
      <c r="C207" s="24">
        <v>43900.0</v>
      </c>
    </row>
    <row r="208" ht="15.75" customHeight="1">
      <c r="A208" s="22" t="s">
        <v>1552</v>
      </c>
      <c r="B208" s="23" t="str">
        <f>IFERROR(__xludf.DUMMYFUNCTION("IF(OR(regexmatch(A208,"".*@simon.es$""),REGEXMATCH(A208,"".*@simon.pt$""),REGEXMATCH(A208,"".*@simonelectrica.com$""),REGEXMATCH(A208,"".*@hiberus.com$""),REGEXMATCH(A208,"".*@simonbrico.es$""),regexmatch(A208,"".*@simonelectric.com$"")),""null"",A208)"),"3133@danfar.com")</f>
        <v>3133@danfar.com</v>
      </c>
      <c r="C208" s="24">
        <v>43896.0</v>
      </c>
    </row>
    <row r="209" ht="15.75" customHeight="1">
      <c r="A209" s="22" t="s">
        <v>34</v>
      </c>
      <c r="B209" s="23" t="str">
        <f>IFERROR(__xludf.DUMMYFUNCTION("IF(OR(regexmatch(A209,"".*@simon.es$""),REGEXMATCH(A209,"".*@simon.pt$""),REGEXMATCH(A209,"".*@simonelectrica.com$""),REGEXMATCH(A209,"".*@hiberus.com$""),REGEXMATCH(A209,"".*@simonbrico.es$""),regexmatch(A209,"".*@simonelectric.com$"")),""null"",A209)"),"625@hotmail.com")</f>
        <v>625@hotmail.com</v>
      </c>
      <c r="C209" s="24">
        <v>43895.0</v>
      </c>
    </row>
    <row r="210" ht="15.75" customHeight="1">
      <c r="A210" s="22" t="s">
        <v>1955</v>
      </c>
      <c r="B210" s="23" t="str">
        <f>IFERROR(__xludf.DUMMYFUNCTION("IF(OR(regexmatch(A210,"".*@simon.es$""),REGEXMATCH(A210,"".*@simon.pt$""),REGEXMATCH(A210,"".*@simonelectrica.com$""),REGEXMATCH(A210,"".*@hiberus.com$""),REGEXMATCH(A210,"".*@simonbrico.es$""),regexmatch(A210,"".*@simonelectric.com$"")),""null"",A210)"),"1377@hotmail.com")</f>
        <v>1377@hotmail.com</v>
      </c>
      <c r="C210" s="24">
        <v>43895.0</v>
      </c>
    </row>
    <row r="211" ht="15.75" customHeight="1">
      <c r="A211" s="22" t="s">
        <v>1962</v>
      </c>
      <c r="B211" s="23" t="str">
        <f>IFERROR(__xludf.DUMMYFUNCTION("IF(OR(regexmatch(A211,"".*@simon.es$""),REGEXMATCH(A211,"".*@simon.pt$""),REGEXMATCH(A211,"".*@simonelectrica.com$""),REGEXMATCH(A211,"".*@hiberus.com$""),REGEXMATCH(A211,"".*@simonbrico.es$""),regexmatch(A211,"".*@simonelectric.com$"")),""null"",A211)"),"2531@arquitecturaygestion.com")</f>
        <v>2531@arquitecturaygestion.com</v>
      </c>
      <c r="C211" s="24">
        <v>43895.0</v>
      </c>
    </row>
    <row r="212" ht="15.75" customHeight="1">
      <c r="A212" s="22" t="s">
        <v>1959</v>
      </c>
      <c r="B212" s="23" t="str">
        <f>IFERROR(__xludf.DUMMYFUNCTION("IF(OR(regexmatch(A212,"".*@simon.es$""),REGEXMATCH(A212,"".*@simon.pt$""),REGEXMATCH(A212,"".*@simonelectrica.com$""),REGEXMATCH(A212,"".*@hiberus.com$""),REGEXMATCH(A212,"".*@simonbrico.es$""),regexmatch(A212,"".*@simonelectric.com$"")),""null"",A212)"),"2530@galimar.com.es")</f>
        <v>2530@galimar.com.es</v>
      </c>
      <c r="C212" s="24">
        <v>43895.0</v>
      </c>
    </row>
    <row r="213" ht="15.75" customHeight="1">
      <c r="A213" s="22" t="s">
        <v>1511</v>
      </c>
      <c r="B213" s="23" t="str">
        <f>IFERROR(__xludf.DUMMYFUNCTION("IF(OR(regexmatch(A213,"".*@simon.es$""),REGEXMATCH(A213,"".*@simon.pt$""),REGEXMATCH(A213,"".*@simonelectrica.com$""),REGEXMATCH(A213,"".*@hiberus.com$""),REGEXMATCH(A213,"".*@simonbrico.es$""),regexmatch(A213,"".*@simonelectric.com$"")),""null"",A213)"),"1510@adelanteenergia.es")</f>
        <v>1510@adelanteenergia.es</v>
      </c>
      <c r="C213" s="24">
        <v>43895.0</v>
      </c>
    </row>
    <row r="214" ht="15.75" customHeight="1">
      <c r="A214" s="22" t="s">
        <v>1683</v>
      </c>
      <c r="B214" s="23" t="str">
        <f>IFERROR(__xludf.DUMMYFUNCTION("IF(OR(regexmatch(A214,"".*@simon.es$""),REGEXMATCH(A214,"".*@simon.pt$""),REGEXMATCH(A214,"".*@simonelectrica.com$""),REGEXMATCH(A214,"".*@hiberus.com$""),REGEXMATCH(A214,"".*@simonbrico.es$""),regexmatch(A214,"".*@simonelectric.com$"")),""null"",A214)"),"3139@coitt.es")</f>
        <v>3139@coitt.es</v>
      </c>
      <c r="C214" s="24">
        <v>43895.0</v>
      </c>
    </row>
    <row r="215" ht="15.75" customHeight="1">
      <c r="A215" s="22" t="s">
        <v>2043</v>
      </c>
      <c r="B215" s="23" t="str">
        <f>IFERROR(__xludf.DUMMYFUNCTION("IF(OR(regexmatch(A215,"".*@simon.es$""),REGEXMATCH(A215,"".*@simon.pt$""),REGEXMATCH(A215,"".*@simonelectrica.com$""),REGEXMATCH(A215,"".*@hiberus.com$""),REGEXMATCH(A215,"".*@simonbrico.es$""),regexmatch(A215,"".*@simonelectric.com$"")),""null"",A215)"),"2560@gmail.com")</f>
        <v>2560@gmail.com</v>
      </c>
      <c r="C215" s="24">
        <v>43894.0</v>
      </c>
    </row>
    <row r="216" ht="15.75" customHeight="1">
      <c r="A216" s="22" t="s">
        <v>2044</v>
      </c>
      <c r="B216" s="23" t="str">
        <f>IFERROR(__xludf.DUMMYFUNCTION("IF(OR(regexmatch(A216,"".*@simon.es$""),REGEXMATCH(A216,"".*@simon.pt$""),REGEXMATCH(A216,"".*@simonelectrica.com$""),REGEXMATCH(A216,"".*@hiberus.com$""),REGEXMATCH(A216,"".*@simonbrico.es$""),regexmatch(A216,"".*@simonelectric.com$"")),""null"",A216)"),"4731@hotmail.com")</f>
        <v>4731@hotmail.com</v>
      </c>
      <c r="C216" s="24">
        <v>43893.0</v>
      </c>
    </row>
    <row r="217" ht="15.75" customHeight="1">
      <c r="A217" s="22" t="s">
        <v>1964</v>
      </c>
      <c r="B217" s="23" t="str">
        <f>IFERROR(__xludf.DUMMYFUNCTION("IF(OR(regexmatch(A217,"".*@simon.es$""),REGEXMATCH(A217,"".*@simon.pt$""),REGEXMATCH(A217,"".*@simonelectrica.com$""),REGEXMATCH(A217,"".*@hiberus.com$""),REGEXMATCH(A217,"".*@simonbrico.es$""),regexmatch(A217,"".*@simonelectric.com$"")),""null"",A217)"),"2607@hotmail.com")</f>
        <v>2607@hotmail.com</v>
      </c>
      <c r="C217" s="24">
        <v>43893.0</v>
      </c>
    </row>
    <row r="218" ht="15.75" customHeight="1">
      <c r="A218" s="22" t="s">
        <v>1463</v>
      </c>
      <c r="B218" s="23" t="str">
        <f>IFERROR(__xludf.DUMMYFUNCTION("IF(OR(regexmatch(A218,"".*@simon.es$""),REGEXMATCH(A218,"".*@simon.pt$""),REGEXMATCH(A218,"".*@simonelectrica.com$""),REGEXMATCH(A218,"".*@hiberus.com$""),REGEXMATCH(A218,"".*@simonbrico.es$""),regexmatch(A218,"".*@simonelectric.com$"")),""null"",A218)"),"2619@gmail.com")</f>
        <v>2619@gmail.com</v>
      </c>
      <c r="C218" s="24">
        <v>43893.0</v>
      </c>
    </row>
    <row r="219" ht="15.75" customHeight="1">
      <c r="A219" s="22" t="s">
        <v>14</v>
      </c>
      <c r="B219" s="23" t="str">
        <f>IFERROR(__xludf.DUMMYFUNCTION("IF(OR(regexmatch(A219,"".*@simon.es$""),REGEXMATCH(A219,"".*@simon.pt$""),REGEXMATCH(A219,"".*@simonelectrica.com$""),REGEXMATCH(A219,"".*@hiberus.com$""),REGEXMATCH(A219,"".*@simonbrico.es$""),regexmatch(A219,"".*@simonelectric.com$"")),""null"",A219)"),"862@fpcm.es")</f>
        <v>862@fpcm.es</v>
      </c>
      <c r="C219" s="24">
        <v>43893.0</v>
      </c>
    </row>
    <row r="220" ht="15.75" customHeight="1">
      <c r="A220" s="22" t="s">
        <v>1462</v>
      </c>
      <c r="B220" s="23" t="str">
        <f>IFERROR(__xludf.DUMMYFUNCTION("IF(OR(regexmatch(A220,"".*@simon.es$""),REGEXMATCH(A220,"".*@simon.pt$""),REGEXMATCH(A220,"".*@simonelectrica.com$""),REGEXMATCH(A220,"".*@hiberus.com$""),REGEXMATCH(A220,"".*@simonbrico.es$""),regexmatch(A220,"".*@simonelectric.com$"")),""null"",A220)"),"2664@gmail.com")</f>
        <v>2664@gmail.com</v>
      </c>
      <c r="C220" s="24">
        <v>43893.0</v>
      </c>
    </row>
    <row r="221" ht="15.75" customHeight="1">
      <c r="A221" s="22" t="s">
        <v>1532</v>
      </c>
      <c r="B221" s="23" t="str">
        <f>IFERROR(__xludf.DUMMYFUNCTION("IF(OR(regexmatch(A221,"".*@simon.es$""),REGEXMATCH(A221,"".*@simon.pt$""),REGEXMATCH(A221,"".*@simonelectrica.com$""),REGEXMATCH(A221,"".*@hiberus.com$""),REGEXMATCH(A221,"".*@simonbrico.es$""),regexmatch(A221,"".*@simonelectric.com$"")),""null"",A221)"),"1104@gmail.com")</f>
        <v>1104@gmail.com</v>
      </c>
      <c r="C221" s="24">
        <v>43892.0</v>
      </c>
    </row>
    <row r="222" ht="15.75" customHeight="1">
      <c r="A222" s="22" t="s">
        <v>1418</v>
      </c>
      <c r="B222" s="23" t="str">
        <f>IFERROR(__xludf.DUMMYFUNCTION("IF(OR(regexmatch(A222,"".*@simon.es$""),REGEXMATCH(A222,"".*@simon.pt$""),REGEXMATCH(A222,"".*@simonelectrica.com$""),REGEXMATCH(A222,"".*@hiberus.com$""),REGEXMATCH(A222,"".*@simonbrico.es$""),regexmatch(A222,"".*@simonelectric.com$"")),""null"",A222)"),"3148@gmail.com")</f>
        <v>3148@gmail.com</v>
      </c>
      <c r="C222" s="24">
        <v>43892.0</v>
      </c>
    </row>
    <row r="223" ht="15.75" customHeight="1">
      <c r="A223" s="22" t="s">
        <v>1562</v>
      </c>
      <c r="B223" s="23" t="str">
        <f>IFERROR(__xludf.DUMMYFUNCTION("IF(OR(regexmatch(A223,"".*@simon.es$""),REGEXMATCH(A223,"".*@simon.pt$""),REGEXMATCH(A223,"".*@simonelectrica.com$""),REGEXMATCH(A223,"".*@hiberus.com$""),REGEXMATCH(A223,"".*@simonbrico.es$""),regexmatch(A223,"".*@simonelectric.com$"")),""null"",A223)"),"3156@gmail.com")</f>
        <v>3156@gmail.com</v>
      </c>
      <c r="C223" s="24">
        <v>43889.0</v>
      </c>
    </row>
    <row r="224" ht="15.75" customHeight="1">
      <c r="A224" s="22" t="s">
        <v>1417</v>
      </c>
      <c r="B224" s="23" t="str">
        <f>IFERROR(__xludf.DUMMYFUNCTION("IF(OR(regexmatch(A224,"".*@simon.es$""),REGEXMATCH(A224,"".*@simon.pt$""),REGEXMATCH(A224,"".*@simonelectrica.com$""),REGEXMATCH(A224,"".*@hiberus.com$""),REGEXMATCH(A224,"".*@simonbrico.es$""),regexmatch(A224,"".*@simonelectric.com$"")),""null"",A224)"),"3157@hotmail.com")</f>
        <v>3157@hotmail.com</v>
      </c>
      <c r="C224" s="24">
        <v>43889.0</v>
      </c>
    </row>
    <row r="225" ht="15.75" customHeight="1">
      <c r="A225" s="22" t="s">
        <v>1970</v>
      </c>
      <c r="B225" s="23" t="str">
        <f>IFERROR(__xludf.DUMMYFUNCTION("IF(OR(regexmatch(A225,"".*@simon.es$""),REGEXMATCH(A225,"".*@simon.pt$""),REGEXMATCH(A225,"".*@simonelectrica.com$""),REGEXMATCH(A225,"".*@hiberus.com$""),REGEXMATCH(A225,"".*@simonbrico.es$""),regexmatch(A225,"".*@simonelectric.com$"")),""null"",A225)"),"2682@dipucuenca.es")</f>
        <v>2682@dipucuenca.es</v>
      </c>
      <c r="C225" s="24">
        <v>43889.0</v>
      </c>
    </row>
    <row r="226" ht="15.75" customHeight="1">
      <c r="A226" s="22" t="s">
        <v>1972</v>
      </c>
      <c r="B226" s="23" t="str">
        <f>IFERROR(__xludf.DUMMYFUNCTION("IF(OR(regexmatch(A226,"".*@simon.es$""),REGEXMATCH(A226,"".*@simon.pt$""),REGEXMATCH(A226,"".*@simonelectrica.com$""),REGEXMATCH(A226,"".*@hiberus.com$""),REGEXMATCH(A226,"".*@simonbrico.es$""),regexmatch(A226,"".*@simonelectric.com$"")),""null"",A226)"),"2683@live.fr")</f>
        <v>2683@live.fr</v>
      </c>
      <c r="C226" s="24">
        <v>43889.0</v>
      </c>
    </row>
    <row r="227" ht="15.75" customHeight="1">
      <c r="A227" s="22" t="s">
        <v>1460</v>
      </c>
      <c r="B227" s="23" t="str">
        <f>IFERROR(__xludf.DUMMYFUNCTION("IF(OR(regexmatch(A227,"".*@simon.es$""),REGEXMATCH(A227,"".*@simon.pt$""),REGEXMATCH(A227,"".*@simonelectrica.com$""),REGEXMATCH(A227,"".*@hiberus.com$""),REGEXMATCH(A227,"".*@simonbrico.es$""),regexmatch(A227,"".*@simonelectric.com$"")),""null"",A227)"),"2679@hotmail.com")</f>
        <v>2679@hotmail.com</v>
      </c>
      <c r="C227" s="24">
        <v>43888.0</v>
      </c>
    </row>
    <row r="228" ht="15.75" customHeight="1">
      <c r="A228" s="22" t="s">
        <v>1458</v>
      </c>
      <c r="B228" s="23" t="str">
        <f>IFERROR(__xludf.DUMMYFUNCTION("IF(OR(regexmatch(A228,"".*@simon.es$""),REGEXMATCH(A228,"".*@simon.pt$""),REGEXMATCH(A228,"".*@simonelectrica.com$""),REGEXMATCH(A228,"".*@hiberus.com$""),REGEXMATCH(A228,"".*@simonbrico.es$""),regexmatch(A228,"".*@simonelectric.com$"")),""null"",A228)"),"2684@hotmail.com")</f>
        <v>2684@hotmail.com</v>
      </c>
      <c r="C228" s="24">
        <v>43888.0</v>
      </c>
    </row>
    <row r="229" ht="15.75" customHeight="1">
      <c r="A229" s="22" t="s">
        <v>1416</v>
      </c>
      <c r="B229" s="23" t="str">
        <f>IFERROR(__xludf.DUMMYFUNCTION("IF(OR(regexmatch(A229,"".*@simon.es$""),REGEXMATCH(A229,"".*@simon.pt$""),REGEXMATCH(A229,"".*@simonelectrica.com$""),REGEXMATCH(A229,"".*@hiberus.com$""),REGEXMATCH(A229,"".*@simonbrico.es$""),regexmatch(A229,"".*@simonelectric.com$"")),""null"",A229)"),"3160@yahoo.com")</f>
        <v>3160@yahoo.com</v>
      </c>
      <c r="C229" s="24">
        <v>43888.0</v>
      </c>
    </row>
    <row r="230" ht="15.75" customHeight="1">
      <c r="A230" s="22" t="s">
        <v>1449</v>
      </c>
      <c r="B230" s="23" t="str">
        <f>IFERROR(__xludf.DUMMYFUNCTION("IF(OR(regexmatch(A230,"".*@simon.es$""),REGEXMATCH(A230,"".*@simon.pt$""),REGEXMATCH(A230,"".*@simonelectrica.com$""),REGEXMATCH(A230,"".*@hiberus.com$""),REGEXMATCH(A230,"".*@simonbrico.es$""),regexmatch(A230,"".*@simonelectric.com$"")),""null"",A230)"),"2810@sensorstecnics.net")</f>
        <v>2810@sensorstecnics.net</v>
      </c>
      <c r="C230" s="24">
        <v>43887.0</v>
      </c>
    </row>
    <row r="231" ht="15.75" customHeight="1">
      <c r="A231" s="22" t="s">
        <v>1977</v>
      </c>
      <c r="B231" s="23" t="str">
        <f>IFERROR(__xludf.DUMMYFUNCTION("IF(OR(regexmatch(A231,"".*@simon.es$""),REGEXMATCH(A231,"".*@simon.pt$""),REGEXMATCH(A231,"".*@simonelectrica.com$""),REGEXMATCH(A231,"".*@hiberus.com$""),REGEXMATCH(A231,"".*@simonbrico.es$""),regexmatch(A231,"".*@simonelectric.com$"")),""null"",A231)"),"2703@hotmail.com")</f>
        <v>2703@hotmail.com</v>
      </c>
      <c r="C231" s="24">
        <v>43886.0</v>
      </c>
    </row>
    <row r="232" ht="15.75" customHeight="1">
      <c r="A232" s="22" t="s">
        <v>1975</v>
      </c>
      <c r="B232" s="23" t="str">
        <f>IFERROR(__xludf.DUMMYFUNCTION("IF(OR(regexmatch(A232,"".*@simon.es$""),REGEXMATCH(A232,"".*@simon.pt$""),REGEXMATCH(A232,"".*@simonelectrica.com$""),REGEXMATCH(A232,"".*@hiberus.com$""),REGEXMATCH(A232,"".*@simonbrico.es$""),regexmatch(A232,"".*@simonelectric.com$"")),""null"",A232)"),"2701@gmail.com")</f>
        <v>2701@gmail.com</v>
      </c>
      <c r="C232" s="24">
        <v>43886.0</v>
      </c>
    </row>
    <row r="233" ht="15.75" customHeight="1">
      <c r="A233" s="22" t="s">
        <v>1646</v>
      </c>
      <c r="B233" s="23" t="str">
        <f>IFERROR(__xludf.DUMMYFUNCTION("IF(OR(regexmatch(A233,"".*@simon.es$""),REGEXMATCH(A233,"".*@simon.pt$""),REGEXMATCH(A233,"".*@simonelectrica.com$""),REGEXMATCH(A233,"".*@hiberus.com$""),REGEXMATCH(A233,"".*@simonbrico.es$""),regexmatch(A233,"".*@simonelectric.com$"")),""null"",A233)"),"649@yahoo.es")</f>
        <v>649@yahoo.es</v>
      </c>
      <c r="C233" s="24">
        <v>43885.0</v>
      </c>
    </row>
    <row r="234" ht="15.75" customHeight="1">
      <c r="A234" s="22" t="s">
        <v>1979</v>
      </c>
      <c r="B234" s="23" t="str">
        <f>IFERROR(__xludf.DUMMYFUNCTION("IF(OR(regexmatch(A234,"".*@simon.es$""),REGEXMATCH(A234,"".*@simon.pt$""),REGEXMATCH(A234,"".*@simonelectrica.com$""),REGEXMATCH(A234,"".*@hiberus.com$""),REGEXMATCH(A234,"".*@simonbrico.es$""),regexmatch(A234,"".*@simonelectric.com$"")),""null"",A234)"),"2706@opportunity-one.com")</f>
        <v>2706@opportunity-one.com</v>
      </c>
      <c r="C234" s="24">
        <v>43885.0</v>
      </c>
    </row>
    <row r="235" ht="15.75" customHeight="1">
      <c r="A235" s="22" t="s">
        <v>1455</v>
      </c>
      <c r="B235" s="23" t="str">
        <f>IFERROR(__xludf.DUMMYFUNCTION("IF(OR(regexmatch(A235,"".*@simon.es$""),REGEXMATCH(A235,"".*@simon.pt$""),REGEXMATCH(A235,"".*@simonelectrica.com$""),REGEXMATCH(A235,"".*@hiberus.com$""),REGEXMATCH(A235,"".*@simonbrico.es$""),regexmatch(A235,"".*@simonelectric.com$"")),""null"",A235)"),"2749@gmail.com")</f>
        <v>2749@gmail.com</v>
      </c>
      <c r="C235" s="24">
        <v>43878.0</v>
      </c>
    </row>
    <row r="236" ht="15.75" customHeight="1">
      <c r="A236" s="22" t="s">
        <v>1521</v>
      </c>
      <c r="B236" s="23" t="str">
        <f>IFERROR(__xludf.DUMMYFUNCTION("IF(OR(regexmatch(A236,"".*@simon.es$""),REGEXMATCH(A236,"".*@simon.pt$""),REGEXMATCH(A236,"".*@simonelectrica.com$""),REGEXMATCH(A236,"".*@hiberus.com$""),REGEXMATCH(A236,"".*@simonbrico.es$""),regexmatch(A236,"".*@simonelectric.com$"")),""null"",A236)"),"1295@hotmail.es")</f>
        <v>1295@hotmail.es</v>
      </c>
      <c r="C236" s="24">
        <v>43878.0</v>
      </c>
    </row>
    <row r="237" ht="15.75" customHeight="1">
      <c r="A237" s="22" t="s">
        <v>1413</v>
      </c>
      <c r="B237" s="23" t="str">
        <f>IFERROR(__xludf.DUMMYFUNCTION("IF(OR(regexmatch(A237,"".*@simon.es$""),REGEXMATCH(A237,"".*@simon.pt$""),REGEXMATCH(A237,"".*@simonelectrica.com$""),REGEXMATCH(A237,"".*@hiberus.com$""),REGEXMATCH(A237,"".*@simonbrico.es$""),regexmatch(A237,"".*@simonelectric.com$"")),""null"",A237)"),"3193@metalux.es")</f>
        <v>3193@metalux.es</v>
      </c>
      <c r="C237" s="24">
        <v>43877.0</v>
      </c>
    </row>
    <row r="238" ht="15.75" customHeight="1">
      <c r="A238" s="22" t="s">
        <v>1454</v>
      </c>
      <c r="B238" s="23" t="str">
        <f>IFERROR(__xludf.DUMMYFUNCTION("IF(OR(regexmatch(A238,"".*@simon.es$""),REGEXMATCH(A238,"".*@simon.pt$""),REGEXMATCH(A238,"".*@simonelectrica.com$""),REGEXMATCH(A238,"".*@hiberus.com$""),REGEXMATCH(A238,"".*@simonbrico.es$""),regexmatch(A238,"".*@simonelectric.com$"")),""null"",A238)"),"2764@gmail.com")</f>
        <v>2764@gmail.com</v>
      </c>
      <c r="C238" s="24">
        <v>43877.0</v>
      </c>
    </row>
    <row r="239" ht="15.75" customHeight="1">
      <c r="A239" s="22" t="s">
        <v>1412</v>
      </c>
      <c r="B239" s="23" t="str">
        <f>IFERROR(__xludf.DUMMYFUNCTION("IF(OR(regexmatch(A239,"".*@simon.es$""),REGEXMATCH(A239,"".*@simon.pt$""),REGEXMATCH(A239,"".*@simonelectrica.com$""),REGEXMATCH(A239,"".*@hiberus.com$""),REGEXMATCH(A239,"".*@simonbrico.es$""),regexmatch(A239,"".*@simonelectric.com$"")),""null"",A239)"),"3199@gmail.com")</f>
        <v>3199@gmail.com</v>
      </c>
      <c r="C239" s="24">
        <v>43875.0</v>
      </c>
    </row>
    <row r="240" ht="15.75" customHeight="1">
      <c r="A240" s="22" t="s">
        <v>1451</v>
      </c>
      <c r="B240" s="23" t="str">
        <f>IFERROR(__xludf.DUMMYFUNCTION("IF(OR(regexmatch(A240,"".*@simon.es$""),REGEXMATCH(A240,"".*@simon.pt$""),REGEXMATCH(A240,"".*@simonelectrica.com$""),REGEXMATCH(A240,"".*@hiberus.com$""),REGEXMATCH(A240,"".*@simonbrico.es$""),regexmatch(A240,"".*@simonelectric.com$"")),""null"",A240)"),"2787@grupocematel.com")</f>
        <v>2787@grupocematel.com</v>
      </c>
      <c r="C240" s="24">
        <v>43874.0</v>
      </c>
    </row>
    <row r="241" ht="15.75" customHeight="1">
      <c r="A241" s="22" t="s">
        <v>2045</v>
      </c>
      <c r="B241" s="23" t="str">
        <f>IFERROR(__xludf.DUMMYFUNCTION("IF(OR(regexmatch(A241,"".*@simon.es$""),REGEXMATCH(A241,"".*@simon.pt$""),REGEXMATCH(A241,"".*@simonelectrica.com$""),REGEXMATCH(A241,"".*@hiberus.com$""),REGEXMATCH(A241,"".*@simonbrico.es$""),regexmatch(A241,"".*@simonelectric.com$"")),""null"",A241)"),"834@gmail.com")</f>
        <v>834@gmail.com</v>
      </c>
      <c r="C241" s="24">
        <v>43874.0</v>
      </c>
    </row>
    <row r="242" ht="15.75" customHeight="1">
      <c r="A242" s="22" t="s">
        <v>1450</v>
      </c>
      <c r="B242" s="23" t="str">
        <f>IFERROR(__xludf.DUMMYFUNCTION("IF(OR(regexmatch(A242,"".*@simon.es$""),REGEXMATCH(A242,"".*@simon.pt$""),REGEXMATCH(A242,"".*@simonelectrica.com$""),REGEXMATCH(A242,"".*@hiberus.com$""),REGEXMATCH(A242,"".*@simonbrico.es$""),regexmatch(A242,"".*@simonelectric.com$"")),""null"",A242)"),"2793@gmail.com")</f>
        <v>2793@gmail.com</v>
      </c>
      <c r="C242" s="24">
        <v>43873.0</v>
      </c>
    </row>
    <row r="243" ht="15.75" customHeight="1">
      <c r="A243" s="22" t="s">
        <v>1985</v>
      </c>
      <c r="B243" s="23" t="str">
        <f>IFERROR(__xludf.DUMMYFUNCTION("IF(OR(regexmatch(A243,"".*@simon.es$""),REGEXMATCH(A243,"".*@simon.pt$""),REGEXMATCH(A243,"".*@simonelectrica.com$""),REGEXMATCH(A243,"".*@hiberus.com$""),REGEXMATCH(A243,"".*@simonbrico.es$""),regexmatch(A243,"".*@simonelectric.com$"")),""null"",A243)"),"1697@yahoo.es")</f>
        <v>1697@yahoo.es</v>
      </c>
      <c r="C243" s="24">
        <v>43872.0</v>
      </c>
    </row>
    <row r="244" ht="15.75" customHeight="1">
      <c r="A244" s="22" t="s">
        <v>1534</v>
      </c>
      <c r="B244" s="23" t="str">
        <f>IFERROR(__xludf.DUMMYFUNCTION("IF(OR(regexmatch(A244,"".*@simon.es$""),REGEXMATCH(A244,"".*@simon.pt$""),REGEXMATCH(A244,"".*@simonelectrica.com$""),REGEXMATCH(A244,"".*@hiberus.com$""),REGEXMATCH(A244,"".*@simonbrico.es$""),regexmatch(A244,"".*@simonelectric.com$"")),""null"",A244)"),"1079@outlook.es")</f>
        <v>1079@outlook.es</v>
      </c>
      <c r="C244" s="24">
        <v>43871.0</v>
      </c>
    </row>
    <row r="245" ht="15.75" customHeight="1">
      <c r="A245" s="22" t="s">
        <v>1644</v>
      </c>
      <c r="B245" s="23" t="str">
        <f>IFERROR(__xludf.DUMMYFUNCTION("IF(OR(regexmatch(A245,"".*@simon.es$""),REGEXMATCH(A245,"".*@simon.pt$""),REGEXMATCH(A245,"".*@simonelectrica.com$""),REGEXMATCH(A245,"".*@hiberus.com$""),REGEXMATCH(A245,"".*@simonbrico.es$""),regexmatch(A245,"".*@simonelectric.com$"")),""null"",A245)"),"2828@coaatz.org")</f>
        <v>2828@coaatz.org</v>
      </c>
      <c r="C245" s="24">
        <v>43867.0</v>
      </c>
    </row>
    <row r="246" ht="15.75" customHeight="1">
      <c r="A246" s="22" t="s">
        <v>1448</v>
      </c>
      <c r="B246" s="23" t="str">
        <f>IFERROR(__xludf.DUMMYFUNCTION("IF(OR(regexmatch(A246,"".*@simon.es$""),REGEXMATCH(A246,"".*@simon.pt$""),REGEXMATCH(A246,"".*@simonelectrica.com$""),REGEXMATCH(A246,"".*@hiberus.com$""),REGEXMATCH(A246,"".*@simonbrico.es$""),regexmatch(A246,"".*@simonelectric.com$"")),""null"",A246)"),"2824@gmail.com")</f>
        <v>2824@gmail.com</v>
      </c>
      <c r="C246" s="24">
        <v>43867.0</v>
      </c>
    </row>
    <row r="247" ht="15.75" customHeight="1">
      <c r="A247" s="22" t="s">
        <v>1989</v>
      </c>
      <c r="B247" s="23" t="str">
        <f>IFERROR(__xludf.DUMMYFUNCTION("IF(OR(regexmatch(A247,"".*@simon.es$""),REGEXMATCH(A247,"".*@simon.pt$""),REGEXMATCH(A247,"".*@simonelectrica.com$""),REGEXMATCH(A247,"".*@hiberus.com$""),REGEXMATCH(A247,"".*@simonbrico.es$""),regexmatch(A247,"".*@simonelectric.com$"")),""null"",A247)"),"4729@ono.com")</f>
        <v>4729@ono.com</v>
      </c>
      <c r="C247" s="24">
        <v>43865.0</v>
      </c>
    </row>
    <row r="248" ht="15.75" customHeight="1">
      <c r="A248" s="22" t="s">
        <v>1410</v>
      </c>
      <c r="B248" s="23" t="str">
        <f>IFERROR(__xludf.DUMMYFUNCTION("IF(OR(regexmatch(A248,"".*@simon.es$""),REGEXMATCH(A248,"".*@simon.pt$""),REGEXMATCH(A248,"".*@simonelectrica.com$""),REGEXMATCH(A248,"".*@hiberus.com$""),REGEXMATCH(A248,"".*@simonbrico.es$""),regexmatch(A248,"".*@simonelectric.com$"")),""null"",A248)"),"3240@gmail.com")</f>
        <v>3240@gmail.com</v>
      </c>
      <c r="C248" s="24">
        <v>43864.0</v>
      </c>
    </row>
    <row r="249" ht="15.75" customHeight="1">
      <c r="A249" s="22" t="s">
        <v>1991</v>
      </c>
      <c r="B249" s="23" t="str">
        <f>IFERROR(__xludf.DUMMYFUNCTION("IF(OR(regexmatch(A249,"".*@simon.es$""),REGEXMATCH(A249,"".*@simon.pt$""),REGEXMATCH(A249,"".*@simonelectrica.com$""),REGEXMATCH(A249,"".*@hiberus.com$""),REGEXMATCH(A249,"".*@simonbrico.es$""),regexmatch(A249,"".*@simonelectric.com$"")),""null"",A249)"),"2856@eurocabos.es")</f>
        <v>2856@eurocabos.es</v>
      </c>
      <c r="C249" s="24">
        <v>43861.0</v>
      </c>
    </row>
    <row r="250" ht="15.75" customHeight="1">
      <c r="A250" s="22" t="s">
        <v>2046</v>
      </c>
      <c r="B250" s="23" t="str">
        <f>IFERROR(__xludf.DUMMYFUNCTION("IF(OR(regexmatch(A250,"".*@simon.es$""),REGEXMATCH(A250,"".*@simon.pt$""),REGEXMATCH(A250,"".*@simonelectrica.com$""),REGEXMATCH(A250,"".*@hiberus.com$""),REGEXMATCH(A250,"".*@simonbrico.es$""),regexmatch(A250,"".*@simonelectric.com$"")),""null"",A250)"),"2857@gmail.com")</f>
        <v>2857@gmail.com</v>
      </c>
      <c r="C250" s="24">
        <v>43860.0</v>
      </c>
    </row>
    <row r="251" ht="15.75" customHeight="1">
      <c r="A251" s="22" t="s">
        <v>1599</v>
      </c>
      <c r="B251" s="23" t="str">
        <f>IFERROR(__xludf.DUMMYFUNCTION("IF(OR(regexmatch(A251,"".*@simon.es$""),REGEXMATCH(A251,"".*@simon.pt$""),REGEXMATCH(A251,"".*@simonelectrica.com$""),REGEXMATCH(A251,"".*@hiberus.com$""),REGEXMATCH(A251,"".*@simonbrico.es$""),regexmatch(A251,"".*@simonelectric.com$"")),""null"",A251)"),"2844@alamos.es")</f>
        <v>2844@alamos.es</v>
      </c>
      <c r="C251" s="24">
        <v>43859.0</v>
      </c>
    </row>
    <row r="252" ht="15.75" customHeight="1">
      <c r="A252" s="22" t="s">
        <v>1538</v>
      </c>
      <c r="B252" s="23" t="str">
        <f>IFERROR(__xludf.DUMMYFUNCTION("IF(OR(regexmatch(A252,"".*@simon.es$""),REGEXMATCH(A252,"".*@simon.pt$""),REGEXMATCH(A252,"".*@simonelectrica.com$""),REGEXMATCH(A252,"".*@hiberus.com$""),REGEXMATCH(A252,"".*@simonbrico.es$""),regexmatch(A252,"".*@simonelectric.com$"")),""null"",A252)"),"1021@proturhotels.com")</f>
        <v>1021@proturhotels.com</v>
      </c>
      <c r="C252" s="24">
        <v>43859.0</v>
      </c>
    </row>
    <row r="253" ht="15.75" customHeight="1">
      <c r="A253" s="22" t="s">
        <v>2047</v>
      </c>
      <c r="B253" s="23" t="str">
        <f>IFERROR(__xludf.DUMMYFUNCTION("IF(OR(regexmatch(A253,"".*@simon.es$""),REGEXMATCH(A253,"".*@simon.pt$""),REGEXMATCH(A253,"".*@simonelectrica.com$""),REGEXMATCH(A253,"".*@hiberus.com$""),REGEXMATCH(A253,"".*@simonbrico.es$""),regexmatch(A253,"".*@simonelectric.com$"")),""null"",A253)"),"2862@gmail.com")</f>
        <v>2862@gmail.com</v>
      </c>
      <c r="C253" s="24">
        <v>43859.0</v>
      </c>
    </row>
    <row r="254" ht="15.75" customHeight="1">
      <c r="A254" s="22" t="s">
        <v>1444</v>
      </c>
      <c r="B254" s="23" t="str">
        <f>IFERROR(__xludf.DUMMYFUNCTION("IF(OR(regexmatch(A254,"".*@simon.es$""),REGEXMATCH(A254,"".*@simon.pt$""),REGEXMATCH(A254,"".*@simonelectrica.com$""),REGEXMATCH(A254,"".*@hiberus.com$""),REGEXMATCH(A254,"".*@simonbrico.es$""),regexmatch(A254,"".*@simonelectric.com$"")),""null"",A254)"),"2874@broa.net")</f>
        <v>2874@broa.net</v>
      </c>
      <c r="C254" s="24">
        <v>43857.0</v>
      </c>
    </row>
    <row r="255" ht="15.75" customHeight="1">
      <c r="A255" s="22" t="s">
        <v>1445</v>
      </c>
      <c r="B255" s="23" t="str">
        <f>IFERROR(__xludf.DUMMYFUNCTION("IF(OR(regexmatch(A255,"".*@simon.es$""),REGEXMATCH(A255,"".*@simon.pt$""),REGEXMATCH(A255,"".*@simonelectrica.com$""),REGEXMATCH(A255,"".*@hiberus.com$""),REGEXMATCH(A255,"".*@simonbrico.es$""),regexmatch(A255,"".*@simonelectric.com$"")),""null"",A255)"),"2871@assinsta.com")</f>
        <v>2871@assinsta.com</v>
      </c>
      <c r="C255" s="24">
        <v>43857.0</v>
      </c>
    </row>
    <row r="256" ht="15.75" customHeight="1">
      <c r="A256" s="22" t="s">
        <v>1443</v>
      </c>
      <c r="B256" s="23" t="str">
        <f>IFERROR(__xludf.DUMMYFUNCTION("IF(OR(regexmatch(A256,"".*@simon.es$""),REGEXMATCH(A256,"".*@simon.pt$""),REGEXMATCH(A256,"".*@simonelectrica.com$""),REGEXMATCH(A256,"".*@hiberus.com$""),REGEXMATCH(A256,"".*@simonbrico.es$""),regexmatch(A256,"".*@simonelectric.com$"")),""null"",A256)"),"2879@hbalcells.com")</f>
        <v>2879@hbalcells.com</v>
      </c>
      <c r="C256" s="24">
        <v>43856.0</v>
      </c>
    </row>
    <row r="257" ht="15.75" customHeight="1">
      <c r="A257" s="22" t="s">
        <v>1737</v>
      </c>
      <c r="B257" s="23" t="str">
        <f>IFERROR(__xludf.DUMMYFUNCTION("IF(OR(regexmatch(A257,"".*@simon.es$""),REGEXMATCH(A257,"".*@simon.pt$""),REGEXMATCH(A257,"".*@simonelectrica.com$""),REGEXMATCH(A257,"".*@hiberus.com$""),REGEXMATCH(A257,"".*@simonbrico.es$""),regexmatch(A257,"".*@simonelectric.com$"")),""null"",A257)"),"1628@solbesingenieros.com")</f>
        <v>1628@solbesingenieros.com</v>
      </c>
      <c r="C257" s="24">
        <v>43851.0</v>
      </c>
    </row>
    <row r="258" ht="15.75" customHeight="1">
      <c r="A258" s="22" t="s">
        <v>1408</v>
      </c>
      <c r="B258" s="23" t="str">
        <f>IFERROR(__xludf.DUMMYFUNCTION("IF(OR(regexmatch(A258,"".*@simon.es$""),REGEXMATCH(A258,"".*@simon.pt$""),REGEXMATCH(A258,"".*@simonelectrica.com$""),REGEXMATCH(A258,"".*@hiberus.com$""),REGEXMATCH(A258,"".*@simonbrico.es$""),regexmatch(A258,"".*@simonelectric.com$"")),""null"",A258)"),"3284@efimarket.com")</f>
        <v>3284@efimarket.com</v>
      </c>
      <c r="C258" s="24">
        <v>43850.0</v>
      </c>
    </row>
    <row r="259" ht="15.75" customHeight="1">
      <c r="A259" s="22" t="s">
        <v>1997</v>
      </c>
      <c r="B259" s="23" t="str">
        <f>IFERROR(__xludf.DUMMYFUNCTION("IF(OR(regexmatch(A259,"".*@simon.es$""),REGEXMATCH(A259,"".*@simon.pt$""),REGEXMATCH(A259,"".*@simonelectrica.com$""),REGEXMATCH(A259,"".*@hiberus.com$""),REGEXMATCH(A259,"".*@simonbrico.es$""),regexmatch(A259,"".*@simonelectric.com$"")),""null"",A259)"),"2899@gmail.com")</f>
        <v>2899@gmail.com</v>
      </c>
      <c r="C259" s="24">
        <v>43850.0</v>
      </c>
    </row>
    <row r="260" ht="15.75" customHeight="1">
      <c r="A260" s="22" t="s">
        <v>1957</v>
      </c>
      <c r="B260" s="23" t="str">
        <f>IFERROR(__xludf.DUMMYFUNCTION("IF(OR(regexmatch(A260,"".*@simon.es$""),REGEXMATCH(A260,"".*@simon.pt$""),REGEXMATCH(A260,"".*@simonelectrica.com$""),REGEXMATCH(A260,"".*@hiberus.com$""),REGEXMATCH(A260,"".*@simonbrico.es$""),regexmatch(A260,"".*@simonelectric.com$"")),""null"",A260)"),"1654@movinetenergia.com")</f>
        <v>1654@movinetenergia.com</v>
      </c>
      <c r="C260" s="24">
        <v>43848.0</v>
      </c>
    </row>
    <row r="261" ht="15.75" customHeight="1">
      <c r="A261" s="22" t="s">
        <v>1442</v>
      </c>
      <c r="B261" s="23" t="str">
        <f>IFERROR(__xludf.DUMMYFUNCTION("IF(OR(regexmatch(A261,"".*@simon.es$""),REGEXMATCH(A261,"".*@simon.pt$""),REGEXMATCH(A261,"".*@simonelectrica.com$""),REGEXMATCH(A261,"".*@hiberus.com$""),REGEXMATCH(A261,"".*@simonbrico.es$""),regexmatch(A261,"".*@simonelectric.com$"")),""null"",A261)"),"2914@aldaproyectos.es")</f>
        <v>2914@aldaproyectos.es</v>
      </c>
      <c r="C261" s="24">
        <v>43846.0</v>
      </c>
    </row>
    <row r="262" ht="15.75" customHeight="1">
      <c r="A262" s="22" t="s">
        <v>1999</v>
      </c>
      <c r="B262" s="23" t="str">
        <f>IFERROR(__xludf.DUMMYFUNCTION("IF(OR(regexmatch(A262,"".*@simon.es$""),REGEXMATCH(A262,"".*@simon.pt$""),REGEXMATCH(A262,"".*@simonelectrica.com$""),REGEXMATCH(A262,"".*@hiberus.com$""),REGEXMATCH(A262,"".*@simonbrico.es$""),regexmatch(A262,"".*@simonelectric.com$"")),""null"",A262)"),"2916@diazrojo.com")</f>
        <v>2916@diazrojo.com</v>
      </c>
      <c r="C262" s="24">
        <v>43845.0</v>
      </c>
    </row>
    <row r="263" ht="15.75" customHeight="1">
      <c r="A263" s="22" t="s">
        <v>1441</v>
      </c>
      <c r="B263" s="23" t="str">
        <f>IFERROR(__xludf.DUMMYFUNCTION("IF(OR(regexmatch(A263,"".*@simon.es$""),REGEXMATCH(A263,"".*@simon.pt$""),REGEXMATCH(A263,"".*@simonelectrica.com$""),REGEXMATCH(A263,"".*@hiberus.com$""),REGEXMATCH(A263,"".*@simonbrico.es$""),regexmatch(A263,"".*@simonelectric.com$"")),""null"",A263)"),"2919@gmail.com")</f>
        <v>2919@gmail.com</v>
      </c>
      <c r="C263" s="24">
        <v>43844.0</v>
      </c>
    </row>
    <row r="264" ht="15.75" customHeight="1">
      <c r="A264" s="22" t="s">
        <v>2005</v>
      </c>
      <c r="B264" s="23" t="str">
        <f>IFERROR(__xludf.DUMMYFUNCTION("IF(OR(regexmatch(A264,"".*@simon.es$""),REGEXMATCH(A264,"".*@simon.pt$""),REGEXMATCH(A264,"".*@simonelectrica.com$""),REGEXMATCH(A264,"".*@hiberus.com$""),REGEXMATCH(A264,"".*@simonbrico.es$""),regexmatch(A264,"".*@simonelectric.com$"")),""null"",A264)"),"2922@tecnicanorte.com")</f>
        <v>2922@tecnicanorte.com</v>
      </c>
      <c r="C264" s="24">
        <v>43840.0</v>
      </c>
    </row>
    <row r="265" ht="15.75" customHeight="1">
      <c r="A265" s="22" t="s">
        <v>1407</v>
      </c>
      <c r="B265" s="23" t="str">
        <f>IFERROR(__xludf.DUMMYFUNCTION("IF(OR(regexmatch(A265,"".*@simon.es$""),REGEXMATCH(A265,"".*@simon.pt$""),REGEXMATCH(A265,"".*@simonelectrica.com$""),REGEXMATCH(A265,"".*@hiberus.com$""),REGEXMATCH(A265,"".*@simonbrico.es$""),regexmatch(A265,"".*@simonelectric.com$"")),""null"",A265)"),"3297@hotmail.com")</f>
        <v>3297@hotmail.com</v>
      </c>
      <c r="C265" s="24">
        <v>43840.0</v>
      </c>
    </row>
    <row r="266" ht="15.75" customHeight="1">
      <c r="A266" s="22" t="s">
        <v>1440</v>
      </c>
      <c r="B266" s="23" t="str">
        <f>IFERROR(__xludf.DUMMYFUNCTION("IF(OR(regexmatch(A266,"".*@simon.es$""),REGEXMATCH(A266,"".*@simon.pt$""),REGEXMATCH(A266,"".*@simonelectrica.com$""),REGEXMATCH(A266,"".*@hiberus.com$""),REGEXMATCH(A266,"".*@simonbrico.es$""),regexmatch(A266,"".*@simonelectric.com$"")),""null"",A266)"),"2931@telefonica.net")</f>
        <v>2931@telefonica.net</v>
      </c>
      <c r="C266" s="24">
        <v>43840.0</v>
      </c>
    </row>
    <row r="267" ht="15.75" customHeight="1">
      <c r="A267" s="22" t="s">
        <v>1688</v>
      </c>
      <c r="B267" s="23" t="str">
        <f>IFERROR(__xludf.DUMMYFUNCTION("IF(OR(regexmatch(A267,"".*@simon.es$""),REGEXMATCH(A267,"".*@simon.pt$""),REGEXMATCH(A267,"".*@simonelectrica.com$""),REGEXMATCH(A267,"".*@hiberus.com$""),REGEXMATCH(A267,"".*@simonbrico.es$""),regexmatch(A267,"".*@simonelectric.com$"")),""null"",A267)"),"2935@hotellosllanos.es")</f>
        <v>2935@hotellosllanos.es</v>
      </c>
      <c r="C267" s="24">
        <v>43839.0</v>
      </c>
    </row>
    <row r="268" ht="15.75" customHeight="1">
      <c r="A268" s="22" t="s">
        <v>1406</v>
      </c>
      <c r="B268" s="23" t="str">
        <f>IFERROR(__xludf.DUMMYFUNCTION("IF(OR(regexmatch(A268,"".*@simon.es$""),REGEXMATCH(A268,"".*@simon.pt$""),REGEXMATCH(A268,"".*@simonelectrica.com$""),REGEXMATCH(A268,"".*@hiberus.com$""),REGEXMATCH(A268,"".*@simonbrico.es$""),regexmatch(A268,"".*@simonelectric.com$"")),""null"",A268)"),"3322@gmail.com")</f>
        <v>3322@gmail.com</v>
      </c>
      <c r="C268" s="24">
        <v>43838.0</v>
      </c>
    </row>
    <row r="269" ht="15.75" customHeight="1">
      <c r="A269" s="22" t="s">
        <v>1438</v>
      </c>
      <c r="B269" s="23" t="str">
        <f>IFERROR(__xludf.DUMMYFUNCTION("IF(OR(regexmatch(A269,"".*@simon.es$""),REGEXMATCH(A269,"".*@simon.pt$""),REGEXMATCH(A269,"".*@simonelectrica.com$""),REGEXMATCH(A269,"".*@hiberus.com$""),REGEXMATCH(A269,"".*@simonbrico.es$""),regexmatch(A269,"".*@simonelectric.com$"")),""null"",A269)"),"2950@telematel.com")</f>
        <v>2950@telematel.com</v>
      </c>
      <c r="C269" s="24">
        <v>43837.0</v>
      </c>
    </row>
    <row r="270" ht="15.75" customHeight="1">
      <c r="A270" s="22" t="s">
        <v>1437</v>
      </c>
      <c r="B270" s="23" t="str">
        <f>IFERROR(__xludf.DUMMYFUNCTION("IF(OR(regexmatch(A270,"".*@simon.es$""),REGEXMATCH(A270,"".*@simon.pt$""),REGEXMATCH(A270,"".*@simonelectrica.com$""),REGEXMATCH(A270,"".*@hiberus.com$""),REGEXMATCH(A270,"".*@simonbrico.es$""),regexmatch(A270,"".*@simonelectric.com$"")),""null"",A270)"),"2958@gmail.com")</f>
        <v>2958@gmail.com</v>
      </c>
      <c r="C270" s="24">
        <v>43835.0</v>
      </c>
    </row>
    <row r="271" ht="15.75" customHeight="1">
      <c r="A271" s="22" t="s">
        <v>1716</v>
      </c>
      <c r="B271" s="23" t="str">
        <f>IFERROR(__xludf.DUMMYFUNCTION("IF(OR(regexmatch(A271,"".*@simon.es$""),REGEXMATCH(A271,"".*@simon.pt$""),REGEXMATCH(A271,"".*@simonelectrica.com$""),REGEXMATCH(A271,"".*@hiberus.com$""),REGEXMATCH(A271,"".*@simonbrico.es$""),regexmatch(A271,"".*@simonelectric.com$"")),""null"",A271)"),"2970@sonepar.es")</f>
        <v>2970@sonepar.es</v>
      </c>
      <c r="C271" s="24">
        <v>43833.0</v>
      </c>
    </row>
    <row r="272" ht="15.75" customHeight="1">
      <c r="A272" s="22" t="s">
        <v>1722</v>
      </c>
      <c r="B272" s="23" t="str">
        <f>IFERROR(__xludf.DUMMYFUNCTION("IF(OR(regexmatch(A272,"".*@simon.es$""),REGEXMATCH(A272,"".*@simon.pt$""),REGEXMATCH(A272,"".*@simonelectrica.com$""),REGEXMATCH(A272,"".*@hiberus.com$""),REGEXMATCH(A272,"".*@simonbrico.es$""),regexmatch(A272,"".*@simonelectric.com$"")),""null"",A272)"),"1516@gmail.com")</f>
        <v>1516@gmail.com</v>
      </c>
      <c r="C272" s="24">
        <v>43832.0</v>
      </c>
    </row>
    <row r="273" ht="15.75" customHeight="1">
      <c r="A273" s="22" t="s">
        <v>1434</v>
      </c>
      <c r="B273" s="23" t="str">
        <f>IFERROR(__xludf.DUMMYFUNCTION("IF(OR(regexmatch(A273,"".*@simon.es$""),REGEXMATCH(A273,"".*@simon.pt$""),REGEXMATCH(A273,"".*@simonelectrica.com$""),REGEXMATCH(A273,"".*@hiberus.com$""),REGEXMATCH(A273,"".*@simonbrico.es$""),regexmatch(A273,"".*@simonelectric.com$"")),""null"",A273)"),"2966@gmail.com")</f>
        <v>2966@gmail.com</v>
      </c>
      <c r="C273" s="24">
        <v>43832.0</v>
      </c>
    </row>
    <row r="274" ht="15.75" customHeight="1">
      <c r="A274" s="22" t="s">
        <v>1506</v>
      </c>
      <c r="B274" s="23" t="str">
        <f>IFERROR(__xludf.DUMMYFUNCTION("IF(OR(regexmatch(A274,"".*@simon.es$""),REGEXMATCH(A274,"".*@simon.pt$""),REGEXMATCH(A274,"".*@simonelectrica.com$""),REGEXMATCH(A274,"".*@hiberus.com$""),REGEXMATCH(A274,"".*@simonbrico.es$""),regexmatch(A274,"".*@simonelectric.com$"")),""null"",A274)"),"1607@talesingenieria.es")</f>
        <v>1607@talesingenieria.es</v>
      </c>
      <c r="C274" s="24">
        <v>43832.0</v>
      </c>
    </row>
    <row r="275" ht="15.75" customHeight="1">
      <c r="A275" s="22" t="s">
        <v>1524</v>
      </c>
      <c r="B275" s="23" t="str">
        <f>IFERROR(__xludf.DUMMYFUNCTION("IF(OR(regexmatch(A275,"".*@simon.es$""),REGEXMATCH(A275,"".*@simon.pt$""),REGEXMATCH(A275,"".*@simonelectrica.com$""),REGEXMATCH(A275,"".*@hiberus.com$""),REGEXMATCH(A275,"".*@simonbrico.es$""),regexmatch(A275,"".*@simonelectric.com$"")),""null"",A275)"),"1237@gmail.com")</f>
        <v>1237@gmail.com</v>
      </c>
      <c r="C275" s="24">
        <v>43832.0</v>
      </c>
    </row>
    <row r="276" ht="15.75" customHeight="1">
      <c r="A276" s="22" t="s">
        <v>1513</v>
      </c>
      <c r="B276" s="23" t="str">
        <f>IFERROR(__xludf.DUMMYFUNCTION("IF(OR(regexmatch(A276,"".*@simon.es$""),REGEXMATCH(A276,"".*@simon.pt$""),REGEXMATCH(A276,"".*@simonelectrica.com$""),REGEXMATCH(A276,"".*@hiberus.com$""),REGEXMATCH(A276,"".*@simonbrico.es$""),regexmatch(A276,"".*@simonelectric.com$"")),""null"",A276)"),"1498@gmail.com")</f>
        <v>1498@gmail.com</v>
      </c>
      <c r="C276" s="24">
        <v>43832.0</v>
      </c>
    </row>
    <row r="277" ht="15.75" customHeight="1">
      <c r="A277" s="22" t="s">
        <v>1432</v>
      </c>
      <c r="B277" s="23" t="str">
        <f>IFERROR(__xludf.DUMMYFUNCTION("IF(OR(regexmatch(A277,"".*@simon.es$""),REGEXMATCH(A277,"".*@simon.pt$""),REGEXMATCH(A277,"".*@simonelectrica.com$""),REGEXMATCH(A277,"".*@hiberus.com$""),REGEXMATCH(A277,"".*@simonbrico.es$""),regexmatch(A277,"".*@simonelectric.com$"")),""null"",A277)"),"2983@hotmail.com")</f>
        <v>2983@hotmail.com</v>
      </c>
      <c r="C277" s="24">
        <v>43832.0</v>
      </c>
    </row>
    <row r="278" ht="15.75" customHeight="1">
      <c r="A278" s="27"/>
      <c r="B278" s="28"/>
      <c r="C278" s="29"/>
    </row>
    <row r="279" ht="15.75" customHeight="1">
      <c r="A279" s="27"/>
      <c r="B279" s="28"/>
      <c r="C279" s="29"/>
    </row>
    <row r="280" ht="15.75" customHeight="1">
      <c r="A280" s="27"/>
      <c r="B280" s="28"/>
      <c r="C280" s="29"/>
    </row>
    <row r="281" ht="15.75" customHeight="1">
      <c r="A281" s="27"/>
      <c r="B281" s="28"/>
      <c r="C281" s="29"/>
    </row>
    <row r="282" ht="15.75" customHeight="1">
      <c r="A282" s="27"/>
      <c r="B282" s="28"/>
      <c r="C282" s="29"/>
    </row>
    <row r="283" ht="15.75" customHeight="1">
      <c r="A283" s="27"/>
      <c r="B283" s="28"/>
      <c r="C283" s="29"/>
    </row>
    <row r="284" ht="15.75" customHeight="1">
      <c r="A284" s="27"/>
      <c r="B284" s="28"/>
      <c r="C284" s="29"/>
    </row>
    <row r="285" ht="15.75" customHeight="1">
      <c r="A285" s="27"/>
      <c r="B285" s="28"/>
      <c r="C285" s="29"/>
    </row>
    <row r="286" ht="15.75" customHeight="1">
      <c r="A286" s="27"/>
      <c r="B286" s="28"/>
      <c r="C286" s="29"/>
    </row>
    <row r="287" ht="15.75" customHeight="1">
      <c r="A287" s="27"/>
      <c r="B287" s="28"/>
      <c r="C287" s="29"/>
    </row>
    <row r="288" ht="15.75" customHeight="1">
      <c r="A288" s="27"/>
      <c r="B288" s="28"/>
      <c r="C288" s="29"/>
    </row>
    <row r="289" ht="15.75" customHeight="1">
      <c r="A289" s="27"/>
      <c r="B289" s="28"/>
      <c r="C289" s="29"/>
    </row>
    <row r="290" ht="15.75" customHeight="1">
      <c r="A290" s="27"/>
      <c r="B290" s="28"/>
      <c r="C290" s="29"/>
    </row>
    <row r="291" ht="15.75" customHeight="1">
      <c r="A291" s="27"/>
      <c r="B291" s="28"/>
      <c r="C291" s="29"/>
    </row>
    <row r="292" ht="15.75" customHeight="1">
      <c r="A292" s="27"/>
      <c r="B292" s="28"/>
      <c r="C292" s="29"/>
    </row>
    <row r="293" ht="15.75" customHeight="1">
      <c r="A293" s="27"/>
      <c r="B293" s="28"/>
      <c r="C293" s="29"/>
    </row>
    <row r="294" ht="15.75" customHeight="1">
      <c r="A294" s="27"/>
      <c r="B294" s="28"/>
      <c r="C294" s="29"/>
    </row>
    <row r="295" ht="15.75" customHeight="1">
      <c r="A295" s="27"/>
      <c r="B295" s="28"/>
      <c r="C295" s="29"/>
    </row>
    <row r="296" ht="15.75" customHeight="1">
      <c r="A296" s="27"/>
      <c r="B296" s="28"/>
      <c r="C296" s="29"/>
    </row>
    <row r="297" ht="15.75" customHeight="1">
      <c r="A297" s="27"/>
      <c r="B297" s="28"/>
      <c r="C297" s="29"/>
    </row>
    <row r="298" ht="15.75" customHeight="1">
      <c r="A298" s="27"/>
      <c r="B298" s="28"/>
      <c r="C298" s="29"/>
    </row>
    <row r="299" ht="15.75" customHeight="1">
      <c r="A299" s="27"/>
      <c r="B299" s="28"/>
      <c r="C299" s="29"/>
    </row>
    <row r="300" ht="15.75" customHeight="1">
      <c r="A300" s="27"/>
      <c r="B300" s="28"/>
      <c r="C300" s="29"/>
    </row>
    <row r="301" ht="15.75" customHeight="1">
      <c r="A301" s="27"/>
      <c r="B301" s="28"/>
      <c r="C301" s="29"/>
    </row>
    <row r="302" ht="15.75" customHeight="1">
      <c r="A302" s="27"/>
      <c r="B302" s="28"/>
      <c r="C302" s="29"/>
    </row>
    <row r="303" ht="15.75" customHeight="1">
      <c r="A303" s="27"/>
      <c r="B303" s="28"/>
      <c r="C303" s="29"/>
    </row>
    <row r="304" ht="15.75" customHeight="1">
      <c r="A304" s="27"/>
      <c r="B304" s="28"/>
      <c r="C304" s="29"/>
    </row>
    <row r="305" ht="15.75" customHeight="1">
      <c r="A305" s="27"/>
      <c r="B305" s="28"/>
      <c r="C305" s="29"/>
    </row>
    <row r="306" ht="15.75" customHeight="1">
      <c r="A306" s="27"/>
      <c r="B306" s="28"/>
      <c r="C306" s="29"/>
    </row>
    <row r="307" ht="15.75" customHeight="1">
      <c r="A307" s="27"/>
      <c r="B307" s="28"/>
      <c r="C307" s="29"/>
    </row>
    <row r="308" ht="15.75" customHeight="1">
      <c r="A308" s="27"/>
      <c r="B308" s="28"/>
      <c r="C308" s="29"/>
    </row>
    <row r="309" ht="15.75" customHeight="1">
      <c r="A309" s="27"/>
      <c r="B309" s="28"/>
      <c r="C309" s="29"/>
    </row>
    <row r="310" ht="15.75" customHeight="1">
      <c r="A310" s="27"/>
      <c r="B310" s="28"/>
      <c r="C310" s="29"/>
    </row>
    <row r="311" ht="15.75" customHeight="1">
      <c r="A311" s="27"/>
      <c r="B311" s="28"/>
      <c r="C311" s="29"/>
    </row>
    <row r="312" ht="15.75" customHeight="1">
      <c r="A312" s="27"/>
      <c r="B312" s="28"/>
      <c r="C312" s="29"/>
    </row>
    <row r="313" ht="15.75" customHeight="1">
      <c r="A313" s="27"/>
      <c r="B313" s="28"/>
      <c r="C313" s="29"/>
    </row>
    <row r="314" ht="15.75" customHeight="1">
      <c r="A314" s="27"/>
      <c r="B314" s="28"/>
      <c r="C314" s="29"/>
    </row>
    <row r="315" ht="15.75" customHeight="1">
      <c r="A315" s="27"/>
      <c r="B315" s="28"/>
      <c r="C315" s="29"/>
    </row>
    <row r="316" ht="15.75" customHeight="1">
      <c r="A316" s="27"/>
      <c r="B316" s="28"/>
      <c r="C316" s="29"/>
    </row>
    <row r="317" ht="15.75" customHeight="1">
      <c r="A317" s="27"/>
      <c r="B317" s="28"/>
      <c r="C317" s="29"/>
    </row>
    <row r="318" ht="15.75" customHeight="1">
      <c r="A318" s="27"/>
      <c r="B318" s="28"/>
      <c r="C318" s="29"/>
    </row>
    <row r="319" ht="15.75" customHeight="1">
      <c r="A319" s="27"/>
      <c r="B319" s="28"/>
      <c r="C319" s="29"/>
    </row>
    <row r="320" ht="15.75" customHeight="1">
      <c r="A320" s="27"/>
      <c r="B320" s="28"/>
      <c r="C320" s="29"/>
    </row>
    <row r="321" ht="15.75" customHeight="1">
      <c r="A321" s="27"/>
      <c r="B321" s="28"/>
      <c r="C321" s="29"/>
    </row>
    <row r="322" ht="15.75" customHeight="1">
      <c r="A322" s="27"/>
      <c r="B322" s="28"/>
      <c r="C322" s="29"/>
    </row>
    <row r="323" ht="15.75" customHeight="1">
      <c r="A323" s="27"/>
      <c r="B323" s="28"/>
      <c r="C323" s="29"/>
    </row>
    <row r="324" ht="15.75" customHeight="1">
      <c r="A324" s="27"/>
      <c r="B324" s="28"/>
      <c r="C324" s="29"/>
    </row>
    <row r="325" ht="15.75" customHeight="1">
      <c r="A325" s="27"/>
      <c r="B325" s="28"/>
      <c r="C325" s="29"/>
    </row>
    <row r="326" ht="15.75" customHeight="1">
      <c r="A326" s="27"/>
      <c r="B326" s="28"/>
      <c r="C326" s="29"/>
    </row>
    <row r="327" ht="15.75" customHeight="1">
      <c r="A327" s="27"/>
      <c r="B327" s="28"/>
      <c r="C327" s="29"/>
    </row>
    <row r="328" ht="15.75" customHeight="1">
      <c r="A328" s="27"/>
      <c r="B328" s="28"/>
      <c r="C328" s="29"/>
    </row>
    <row r="329" ht="15.75" customHeight="1">
      <c r="A329" s="27"/>
      <c r="B329" s="28"/>
      <c r="C329" s="29"/>
    </row>
    <row r="330" ht="15.75" customHeight="1">
      <c r="A330" s="27"/>
      <c r="B330" s="28"/>
      <c r="C330" s="29"/>
    </row>
    <row r="331" ht="15.75" customHeight="1">
      <c r="A331" s="27"/>
      <c r="B331" s="28"/>
      <c r="C331" s="29"/>
    </row>
    <row r="332" ht="15.75" customHeight="1">
      <c r="A332" s="27"/>
      <c r="B332" s="28"/>
      <c r="C332" s="29"/>
    </row>
    <row r="333" ht="15.75" customHeight="1">
      <c r="A333" s="27"/>
      <c r="B333" s="28"/>
      <c r="C333" s="29"/>
    </row>
    <row r="334" ht="15.75" customHeight="1">
      <c r="A334" s="27"/>
      <c r="B334" s="28"/>
      <c r="C334" s="29"/>
    </row>
    <row r="335" ht="15.75" customHeight="1">
      <c r="A335" s="27"/>
      <c r="B335" s="28"/>
      <c r="C335" s="29"/>
    </row>
    <row r="336" ht="15.75" customHeight="1">
      <c r="A336" s="27"/>
      <c r="B336" s="28"/>
      <c r="C336" s="29"/>
    </row>
    <row r="337" ht="15.75" customHeight="1">
      <c r="A337" s="27"/>
      <c r="B337" s="28"/>
      <c r="C337" s="29"/>
    </row>
    <row r="338" ht="15.75" customHeight="1">
      <c r="A338" s="27"/>
      <c r="B338" s="28"/>
      <c r="C338" s="29"/>
    </row>
    <row r="339" ht="15.75" customHeight="1">
      <c r="A339" s="27"/>
      <c r="B339" s="28"/>
      <c r="C339" s="29"/>
    </row>
    <row r="340" ht="15.75" customHeight="1">
      <c r="A340" s="27"/>
      <c r="B340" s="28"/>
      <c r="C340" s="29"/>
    </row>
    <row r="341" ht="15.75" customHeight="1">
      <c r="A341" s="27"/>
      <c r="B341" s="28"/>
      <c r="C341" s="29"/>
    </row>
    <row r="342" ht="15.75" customHeight="1">
      <c r="A342" s="27"/>
      <c r="B342" s="28"/>
      <c r="C342" s="29"/>
    </row>
    <row r="343" ht="15.75" customHeight="1">
      <c r="A343" s="27"/>
      <c r="B343" s="28"/>
      <c r="C343" s="29"/>
    </row>
    <row r="344" ht="15.75" customHeight="1">
      <c r="A344" s="27"/>
      <c r="B344" s="28"/>
      <c r="C344" s="29"/>
    </row>
    <row r="345" ht="15.75" customHeight="1">
      <c r="A345" s="27"/>
      <c r="B345" s="28"/>
      <c r="C345" s="29"/>
    </row>
    <row r="346" ht="15.75" customHeight="1">
      <c r="A346" s="27"/>
      <c r="B346" s="28"/>
      <c r="C346" s="29"/>
    </row>
    <row r="347" ht="15.75" customHeight="1">
      <c r="A347" s="27"/>
      <c r="B347" s="28"/>
      <c r="C347" s="29"/>
    </row>
    <row r="348" ht="15.75" customHeight="1">
      <c r="A348" s="27"/>
      <c r="B348" s="28"/>
      <c r="C348" s="29"/>
    </row>
    <row r="349" ht="15.75" customHeight="1">
      <c r="A349" s="27"/>
      <c r="B349" s="28"/>
      <c r="C349" s="29"/>
    </row>
    <row r="350" ht="15.75" customHeight="1">
      <c r="A350" s="27"/>
      <c r="B350" s="28"/>
      <c r="C350" s="29"/>
    </row>
    <row r="351" ht="15.75" customHeight="1">
      <c r="A351" s="27"/>
      <c r="B351" s="28"/>
      <c r="C351" s="29"/>
    </row>
    <row r="352" ht="15.75" customHeight="1">
      <c r="A352" s="27"/>
      <c r="B352" s="28"/>
      <c r="C352" s="29"/>
    </row>
    <row r="353" ht="15.75" customHeight="1">
      <c r="A353" s="27"/>
      <c r="B353" s="28"/>
      <c r="C353" s="29"/>
    </row>
    <row r="354" ht="15.75" customHeight="1">
      <c r="A354" s="27"/>
      <c r="B354" s="28"/>
      <c r="C354" s="29"/>
    </row>
    <row r="355" ht="15.75" customHeight="1">
      <c r="A355" s="27"/>
      <c r="B355" s="28"/>
      <c r="C355" s="29"/>
    </row>
    <row r="356" ht="15.75" customHeight="1">
      <c r="A356" s="27"/>
      <c r="B356" s="28"/>
      <c r="C356" s="29"/>
    </row>
    <row r="357" ht="15.75" customHeight="1">
      <c r="A357" s="27"/>
      <c r="B357" s="28"/>
      <c r="C357" s="29"/>
    </row>
    <row r="358" ht="15.75" customHeight="1">
      <c r="A358" s="27"/>
      <c r="B358" s="28"/>
      <c r="C358" s="29"/>
    </row>
    <row r="359" ht="15.75" customHeight="1">
      <c r="A359" s="27"/>
      <c r="B359" s="28"/>
      <c r="C359" s="29"/>
    </row>
    <row r="360" ht="15.75" customHeight="1">
      <c r="A360" s="27"/>
      <c r="B360" s="28"/>
      <c r="C360" s="29"/>
    </row>
    <row r="361" ht="15.75" customHeight="1">
      <c r="A361" s="27"/>
      <c r="B361" s="28"/>
      <c r="C361" s="29"/>
    </row>
    <row r="362" ht="15.75" customHeight="1">
      <c r="A362" s="27"/>
      <c r="B362" s="28"/>
      <c r="C362" s="29"/>
    </row>
    <row r="363" ht="15.75" customHeight="1">
      <c r="A363" s="27"/>
      <c r="B363" s="28"/>
      <c r="C363" s="29"/>
    </row>
    <row r="364" ht="15.75" customHeight="1">
      <c r="A364" s="27"/>
      <c r="B364" s="28"/>
      <c r="C364" s="29"/>
    </row>
    <row r="365" ht="15.75" customHeight="1">
      <c r="A365" s="27"/>
      <c r="B365" s="28"/>
      <c r="C365" s="29"/>
    </row>
    <row r="366" ht="15.75" customHeight="1">
      <c r="A366" s="27"/>
      <c r="B366" s="28"/>
      <c r="C366" s="29"/>
    </row>
    <row r="367" ht="15.75" customHeight="1">
      <c r="A367" s="27"/>
      <c r="B367" s="28"/>
      <c r="C367" s="29"/>
    </row>
    <row r="368" ht="15.75" customHeight="1">
      <c r="A368" s="27"/>
      <c r="B368" s="28"/>
      <c r="C368" s="29"/>
    </row>
    <row r="369" ht="15.75" customHeight="1">
      <c r="A369" s="27"/>
      <c r="B369" s="28"/>
      <c r="C369" s="29"/>
    </row>
    <row r="370" ht="15.75" customHeight="1">
      <c r="A370" s="27"/>
      <c r="B370" s="28"/>
      <c r="C370" s="29"/>
    </row>
    <row r="371" ht="15.75" customHeight="1">
      <c r="A371" s="27"/>
      <c r="B371" s="28"/>
      <c r="C371" s="29"/>
    </row>
    <row r="372" ht="15.75" customHeight="1">
      <c r="A372" s="27"/>
      <c r="B372" s="28"/>
      <c r="C372" s="29"/>
    </row>
    <row r="373" ht="15.75" customHeight="1">
      <c r="A373" s="27"/>
      <c r="B373" s="28"/>
      <c r="C373" s="29"/>
    </row>
    <row r="374" ht="15.75" customHeight="1">
      <c r="A374" s="27"/>
      <c r="B374" s="28"/>
      <c r="C374" s="29"/>
    </row>
    <row r="375" ht="15.75" customHeight="1">
      <c r="A375" s="27"/>
      <c r="B375" s="28"/>
      <c r="C375" s="29"/>
    </row>
    <row r="376" ht="15.75" customHeight="1">
      <c r="A376" s="27"/>
      <c r="B376" s="28"/>
      <c r="C376" s="29"/>
    </row>
    <row r="377" ht="15.75" customHeight="1">
      <c r="A377" s="27"/>
      <c r="B377" s="28"/>
      <c r="C377" s="29"/>
    </row>
    <row r="378" ht="15.75" customHeight="1">
      <c r="A378" s="27"/>
      <c r="B378" s="28"/>
      <c r="C378" s="29"/>
    </row>
    <row r="379" ht="15.75" customHeight="1">
      <c r="A379" s="27"/>
      <c r="B379" s="28"/>
      <c r="C379" s="29"/>
    </row>
    <row r="380" ht="15.75" customHeight="1">
      <c r="A380" s="27"/>
      <c r="B380" s="28"/>
      <c r="C380" s="29"/>
    </row>
    <row r="381" ht="15.75" customHeight="1">
      <c r="A381" s="27"/>
      <c r="B381" s="28"/>
      <c r="C381" s="29"/>
    </row>
    <row r="382" ht="15.75" customHeight="1">
      <c r="A382" s="27"/>
      <c r="B382" s="28"/>
      <c r="C382" s="29"/>
    </row>
    <row r="383" ht="15.75" customHeight="1">
      <c r="A383" s="27"/>
      <c r="B383" s="28"/>
      <c r="C383" s="29"/>
    </row>
    <row r="384" ht="15.75" customHeight="1">
      <c r="A384" s="27"/>
      <c r="B384" s="28"/>
      <c r="C384" s="29"/>
    </row>
    <row r="385" ht="15.75" customHeight="1">
      <c r="A385" s="27"/>
      <c r="B385" s="28"/>
      <c r="C385" s="29"/>
    </row>
    <row r="386" ht="15.75" customHeight="1">
      <c r="A386" s="27"/>
      <c r="B386" s="28"/>
      <c r="C386" s="29"/>
    </row>
    <row r="387" ht="15.75" customHeight="1">
      <c r="A387" s="27"/>
      <c r="B387" s="28"/>
      <c r="C387" s="29"/>
    </row>
    <row r="388" ht="15.75" customHeight="1">
      <c r="A388" s="27"/>
      <c r="B388" s="28"/>
      <c r="C388" s="29"/>
    </row>
    <row r="389" ht="15.75" customHeight="1">
      <c r="A389" s="27"/>
      <c r="B389" s="28"/>
      <c r="C389" s="29"/>
    </row>
    <row r="390" ht="15.75" customHeight="1">
      <c r="A390" s="27"/>
      <c r="B390" s="28"/>
      <c r="C390" s="29"/>
    </row>
    <row r="391" ht="15.75" customHeight="1">
      <c r="A391" s="27"/>
      <c r="B391" s="28"/>
      <c r="C391" s="29"/>
    </row>
    <row r="392" ht="15.75" customHeight="1">
      <c r="A392" s="27"/>
      <c r="B392" s="28"/>
      <c r="C392" s="29"/>
    </row>
    <row r="393" ht="15.75" customHeight="1">
      <c r="A393" s="27"/>
      <c r="B393" s="28"/>
      <c r="C393" s="29"/>
    </row>
    <row r="394" ht="15.75" customHeight="1">
      <c r="A394" s="27"/>
      <c r="B394" s="28"/>
      <c r="C394" s="29"/>
    </row>
    <row r="395" ht="15.75" customHeight="1">
      <c r="A395" s="27"/>
      <c r="B395" s="28"/>
      <c r="C395" s="29"/>
    </row>
    <row r="396" ht="15.75" customHeight="1">
      <c r="A396" s="27"/>
      <c r="B396" s="28"/>
      <c r="C396" s="29"/>
    </row>
    <row r="397" ht="15.75" customHeight="1">
      <c r="A397" s="27"/>
      <c r="B397" s="28"/>
      <c r="C397" s="29"/>
    </row>
    <row r="398" ht="15.75" customHeight="1">
      <c r="A398" s="27"/>
      <c r="B398" s="28"/>
      <c r="C398" s="29"/>
    </row>
    <row r="399" ht="15.75" customHeight="1">
      <c r="A399" s="27"/>
      <c r="B399" s="28"/>
      <c r="C399" s="29"/>
    </row>
    <row r="400" ht="15.75" customHeight="1">
      <c r="A400" s="27"/>
      <c r="B400" s="28"/>
      <c r="C400" s="29"/>
    </row>
    <row r="401" ht="15.75" customHeight="1">
      <c r="A401" s="27"/>
      <c r="B401" s="28"/>
      <c r="C401" s="29"/>
    </row>
    <row r="402" ht="15.75" customHeight="1">
      <c r="A402" s="27"/>
      <c r="B402" s="28"/>
      <c r="C402" s="29"/>
    </row>
    <row r="403" ht="15.75" customHeight="1">
      <c r="A403" s="27"/>
      <c r="B403" s="28"/>
      <c r="C403" s="29"/>
    </row>
    <row r="404" ht="15.75" customHeight="1">
      <c r="A404" s="27"/>
      <c r="B404" s="28"/>
      <c r="C404" s="29"/>
    </row>
    <row r="405" ht="15.75" customHeight="1">
      <c r="A405" s="27"/>
      <c r="B405" s="28"/>
      <c r="C405" s="29"/>
    </row>
    <row r="406" ht="15.75" customHeight="1">
      <c r="A406" s="27"/>
      <c r="B406" s="28"/>
      <c r="C406" s="29"/>
    </row>
    <row r="407" ht="15.75" customHeight="1">
      <c r="A407" s="27"/>
      <c r="B407" s="28"/>
      <c r="C407" s="29"/>
    </row>
    <row r="408" ht="15.75" customHeight="1">
      <c r="A408" s="27"/>
      <c r="B408" s="28"/>
      <c r="C408" s="29"/>
    </row>
    <row r="409" ht="15.75" customHeight="1">
      <c r="A409" s="27"/>
      <c r="B409" s="28"/>
      <c r="C409" s="29"/>
    </row>
    <row r="410" ht="15.75" customHeight="1">
      <c r="A410" s="27"/>
      <c r="B410" s="28"/>
      <c r="C410" s="29"/>
    </row>
    <row r="411" ht="15.75" customHeight="1">
      <c r="A411" s="27"/>
      <c r="B411" s="28"/>
      <c r="C411" s="29"/>
    </row>
    <row r="412" ht="15.75" customHeight="1">
      <c r="A412" s="27"/>
      <c r="B412" s="28"/>
      <c r="C412" s="29"/>
    </row>
    <row r="413" ht="15.75" customHeight="1">
      <c r="A413" s="27"/>
      <c r="B413" s="28"/>
      <c r="C413" s="29"/>
    </row>
    <row r="414" ht="15.75" customHeight="1">
      <c r="A414" s="27"/>
      <c r="B414" s="28"/>
      <c r="C414" s="29"/>
    </row>
    <row r="415" ht="15.75" customHeight="1">
      <c r="A415" s="27"/>
      <c r="B415" s="28"/>
      <c r="C415" s="29"/>
    </row>
    <row r="416" ht="15.75" customHeight="1">
      <c r="A416" s="27"/>
      <c r="B416" s="28"/>
      <c r="C416" s="29"/>
    </row>
    <row r="417" ht="15.75" customHeight="1">
      <c r="A417" s="27"/>
      <c r="B417" s="28"/>
      <c r="C417" s="29"/>
    </row>
    <row r="418" ht="15.75" customHeight="1">
      <c r="A418" s="27"/>
      <c r="B418" s="28"/>
      <c r="C418" s="29"/>
    </row>
    <row r="419" ht="15.75" customHeight="1">
      <c r="A419" s="27"/>
      <c r="B419" s="28"/>
      <c r="C419" s="29"/>
    </row>
    <row r="420" ht="15.75" customHeight="1">
      <c r="A420" s="27"/>
      <c r="B420" s="28"/>
      <c r="C420" s="29"/>
    </row>
    <row r="421" ht="15.75" customHeight="1">
      <c r="A421" s="27"/>
      <c r="B421" s="28"/>
      <c r="C421" s="29"/>
    </row>
    <row r="422" ht="15.75" customHeight="1">
      <c r="A422" s="27"/>
      <c r="B422" s="28"/>
      <c r="C422" s="29"/>
    </row>
    <row r="423" ht="15.75" customHeight="1">
      <c r="A423" s="27"/>
      <c r="B423" s="28"/>
      <c r="C423" s="29"/>
    </row>
    <row r="424" ht="15.75" customHeight="1">
      <c r="A424" s="27"/>
      <c r="B424" s="28"/>
      <c r="C424" s="29"/>
    </row>
    <row r="425" ht="15.75" customHeight="1">
      <c r="A425" s="27"/>
      <c r="B425" s="28"/>
      <c r="C425" s="29"/>
    </row>
    <row r="426" ht="15.75" customHeight="1">
      <c r="A426" s="27"/>
      <c r="B426" s="28"/>
      <c r="C426" s="29"/>
    </row>
    <row r="427" ht="15.75" customHeight="1">
      <c r="A427" s="27"/>
      <c r="B427" s="28"/>
      <c r="C427" s="29"/>
    </row>
    <row r="428" ht="15.75" customHeight="1">
      <c r="A428" s="27"/>
      <c r="B428" s="28"/>
      <c r="C428" s="29"/>
    </row>
    <row r="429" ht="15.75" customHeight="1">
      <c r="A429" s="27"/>
      <c r="B429" s="28"/>
      <c r="C429" s="29"/>
    </row>
    <row r="430" ht="15.75" customHeight="1">
      <c r="A430" s="27"/>
      <c r="B430" s="28"/>
      <c r="C430" s="29"/>
    </row>
    <row r="431" ht="15.75" customHeight="1">
      <c r="A431" s="27"/>
      <c r="B431" s="28"/>
      <c r="C431" s="29"/>
    </row>
    <row r="432" ht="15.75" customHeight="1">
      <c r="A432" s="27"/>
      <c r="B432" s="28"/>
      <c r="C432" s="29"/>
    </row>
    <row r="433" ht="15.75" customHeight="1">
      <c r="A433" s="27"/>
      <c r="B433" s="28"/>
      <c r="C433" s="29"/>
    </row>
    <row r="434" ht="15.75" customHeight="1">
      <c r="A434" s="27"/>
      <c r="B434" s="28"/>
      <c r="C434" s="29"/>
    </row>
    <row r="435" ht="15.75" customHeight="1">
      <c r="A435" s="27"/>
      <c r="B435" s="28"/>
      <c r="C435" s="29"/>
    </row>
    <row r="436" ht="15.75" customHeight="1">
      <c r="A436" s="27"/>
      <c r="B436" s="28"/>
      <c r="C436" s="29"/>
    </row>
    <row r="437" ht="15.75" customHeight="1">
      <c r="A437" s="27"/>
      <c r="B437" s="28"/>
      <c r="C437" s="29"/>
    </row>
    <row r="438" ht="15.75" customHeight="1">
      <c r="A438" s="27"/>
      <c r="B438" s="28"/>
      <c r="C438" s="29"/>
    </row>
    <row r="439" ht="15.75" customHeight="1">
      <c r="A439" s="27"/>
      <c r="B439" s="28"/>
      <c r="C439" s="29"/>
    </row>
    <row r="440" ht="15.75" customHeight="1">
      <c r="A440" s="27"/>
      <c r="B440" s="28"/>
      <c r="C440" s="29"/>
    </row>
    <row r="441" ht="15.75" customHeight="1">
      <c r="A441" s="27"/>
      <c r="B441" s="28"/>
      <c r="C441" s="29"/>
    </row>
    <row r="442" ht="15.75" customHeight="1">
      <c r="A442" s="27"/>
      <c r="B442" s="28"/>
      <c r="C442" s="29"/>
    </row>
    <row r="443" ht="15.75" customHeight="1">
      <c r="A443" s="27"/>
      <c r="B443" s="28"/>
      <c r="C443" s="29"/>
    </row>
    <row r="444" ht="15.75" customHeight="1">
      <c r="A444" s="27"/>
      <c r="B444" s="28"/>
      <c r="C444" s="29"/>
    </row>
    <row r="445" ht="15.75" customHeight="1">
      <c r="A445" s="27"/>
      <c r="B445" s="28"/>
      <c r="C445" s="29"/>
    </row>
    <row r="446" ht="15.75" customHeight="1">
      <c r="A446" s="27"/>
      <c r="B446" s="28"/>
      <c r="C446" s="30"/>
    </row>
    <row r="447" ht="15.75" customHeight="1">
      <c r="A447" s="27"/>
      <c r="B447" s="28"/>
      <c r="C447" s="30"/>
    </row>
    <row r="448" ht="15.75" customHeight="1">
      <c r="A448" s="27"/>
      <c r="B448" s="28"/>
      <c r="C448" s="30"/>
    </row>
    <row r="449" ht="15.75" customHeight="1">
      <c r="A449" s="27"/>
      <c r="B449" s="28"/>
      <c r="C449" s="30"/>
    </row>
    <row r="450" ht="15.75" customHeight="1">
      <c r="A450" s="27"/>
      <c r="B450" s="28"/>
      <c r="C450" s="30"/>
    </row>
    <row r="451" ht="15.75" customHeight="1">
      <c r="A451" s="27"/>
      <c r="B451" s="28"/>
      <c r="C451" s="30"/>
    </row>
    <row r="452" ht="15.75" customHeight="1">
      <c r="A452" s="27"/>
      <c r="B452" s="28"/>
      <c r="C452" s="30"/>
    </row>
    <row r="453" ht="15.75" customHeight="1">
      <c r="A453" s="27"/>
      <c r="B453" s="28"/>
      <c r="C453" s="30"/>
    </row>
    <row r="454" ht="15.75" customHeight="1">
      <c r="A454" s="27"/>
      <c r="B454" s="28"/>
      <c r="C454" s="30"/>
    </row>
    <row r="455" ht="15.75" customHeight="1">
      <c r="A455" s="27"/>
      <c r="B455" s="28"/>
      <c r="C455" s="30"/>
    </row>
    <row r="456" ht="15.75" customHeight="1">
      <c r="A456" s="27"/>
      <c r="B456" s="28"/>
      <c r="C456" s="30"/>
    </row>
    <row r="457" ht="15.75" customHeight="1">
      <c r="A457" s="27"/>
      <c r="B457" s="28"/>
      <c r="C457" s="30"/>
    </row>
    <row r="458" ht="15.75" customHeight="1">
      <c r="A458" s="27"/>
      <c r="B458" s="28"/>
      <c r="C458" s="30"/>
    </row>
    <row r="459" ht="15.75" customHeight="1">
      <c r="A459" s="27"/>
      <c r="B459" s="28"/>
      <c r="C459" s="30"/>
    </row>
    <row r="460" ht="15.75" customHeight="1">
      <c r="A460" s="27"/>
      <c r="B460" s="28"/>
      <c r="C460" s="30"/>
    </row>
    <row r="461" ht="15.75" customHeight="1">
      <c r="A461" s="27"/>
      <c r="B461" s="28"/>
      <c r="C461" s="30"/>
    </row>
    <row r="462" ht="15.75" customHeight="1">
      <c r="A462" s="27"/>
      <c r="B462" s="28"/>
      <c r="C462" s="30"/>
    </row>
    <row r="463" ht="15.75" customHeight="1">
      <c r="A463" s="27"/>
      <c r="B463" s="28"/>
      <c r="C463" s="30"/>
    </row>
    <row r="464" ht="15.75" customHeight="1">
      <c r="A464" s="27"/>
      <c r="B464" s="28"/>
      <c r="C464" s="30"/>
    </row>
    <row r="465" ht="15.75" customHeight="1">
      <c r="A465" s="27"/>
      <c r="B465" s="28"/>
      <c r="C465" s="30"/>
    </row>
    <row r="466" ht="15.75" customHeight="1">
      <c r="A466" s="27"/>
      <c r="B466" s="28"/>
      <c r="C466" s="30"/>
    </row>
    <row r="467" ht="15.75" customHeight="1">
      <c r="A467" s="28"/>
      <c r="B467" s="28"/>
      <c r="C467" s="28"/>
    </row>
    <row r="468" ht="15.75" customHeight="1">
      <c r="A468" s="28"/>
      <c r="B468" s="28"/>
      <c r="C468" s="28"/>
    </row>
    <row r="469" ht="15.75" customHeight="1">
      <c r="A469" s="28"/>
      <c r="B469" s="28"/>
      <c r="C469" s="28"/>
    </row>
    <row r="470" ht="15.75" customHeight="1">
      <c r="A470" s="28"/>
      <c r="B470" s="28"/>
      <c r="C470" s="28"/>
    </row>
    <row r="471" ht="15.75" customHeight="1">
      <c r="A471" s="28"/>
      <c r="B471" s="28"/>
      <c r="C471" s="28"/>
    </row>
    <row r="472" ht="15.75" customHeight="1">
      <c r="A472" s="28"/>
      <c r="B472" s="28"/>
      <c r="C472" s="28"/>
    </row>
    <row r="473" ht="15.75" customHeight="1">
      <c r="A473" s="28"/>
      <c r="B473" s="28"/>
      <c r="C473" s="28"/>
    </row>
    <row r="474" ht="15.75" customHeight="1">
      <c r="A474" s="28"/>
      <c r="B474" s="28"/>
      <c r="C474" s="28"/>
    </row>
    <row r="475" ht="15.75" customHeight="1">
      <c r="A475" s="28"/>
      <c r="B475" s="28"/>
      <c r="C475" s="28"/>
    </row>
    <row r="476" ht="15.75" customHeight="1">
      <c r="A476" s="28"/>
      <c r="B476" s="28"/>
      <c r="C476" s="28"/>
    </row>
    <row r="477" ht="15.75" customHeight="1">
      <c r="A477" s="28"/>
      <c r="B477" s="28"/>
      <c r="C477" s="28"/>
    </row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5.0"/>
    <col customWidth="1" min="2" max="3" width="31.25"/>
    <col customWidth="1" min="4" max="4" width="13.38"/>
    <col customWidth="1" min="5" max="5" width="30.88"/>
    <col customWidth="1" min="6" max="6" width="12.63"/>
  </cols>
  <sheetData>
    <row r="1">
      <c r="A1" s="31" t="s">
        <v>2048</v>
      </c>
      <c r="B1" s="32"/>
      <c r="C1" s="31" t="s">
        <v>2049</v>
      </c>
      <c r="D1" s="31" t="s">
        <v>2050</v>
      </c>
      <c r="E1" s="3" t="s">
        <v>1541</v>
      </c>
      <c r="F1" s="31" t="s">
        <v>2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4" t="str">
        <f>'Miembros de campaña PRVE'!C2</f>
        <v>625@hotmail.com</v>
      </c>
      <c r="B2" s="33"/>
      <c r="C2" s="12" t="str">
        <f>IFERROR(__xludf.DUMMYFUNCTION("UNIQUE(A2:A1000)"),"625@hotmail.com")</f>
        <v>625@hotmail.com</v>
      </c>
      <c r="D2" s="12" t="str">
        <f>IFNA(VLOOKUP(C2,'Miembros de campaña PRVE'!C:E,3,0),"NA")</f>
        <v>Contacto</v>
      </c>
      <c r="E2" s="35">
        <f>IFNA(IFNA(VLOOKUP(C2,'Miembros de campaña PRVE'!C:D,2,0),(VLOOKUP(C2,'SIC - FLOW! - Solicitudes BOFU '!B:C,2,0))),"")</f>
        <v>44012</v>
      </c>
      <c r="F2" s="12" t="str">
        <f>IFNA(IFNA(VLOOKUP(C2,'Estado de leads de campaña PRVE'!B:D,3,0),(VLOOKUP(C2,'Leads Sf Origen webDetailers Hs'!A:C,3,0))),"NA")</f>
        <v>Convertido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4" t="str">
        <f>'Miembros de campaña PRVE'!C3</f>
        <v>2931@telefonica.net</v>
      </c>
      <c r="B3" s="33"/>
      <c r="C3" s="12" t="str">
        <f>IFERROR(__xludf.DUMMYFUNCTION("""COMPUTED_VALUE"""),"2931@telefonica.net")</f>
        <v>2931@telefonica.net</v>
      </c>
      <c r="D3" s="12" t="str">
        <f>IFNA(VLOOKUP(C3,'Miembros de campaña PRVE'!C:E,3,0),"NA")</f>
        <v>Lead</v>
      </c>
      <c r="E3" s="35">
        <f>IFNA(IFNA(VLOOKUP(C3,'Miembros de campaña PRVE'!C:D,2,0),(VLOOKUP(C3,'SIC - FLOW! - Solicitudes BOFU '!B:C,2,0))),"")</f>
        <v>44012</v>
      </c>
      <c r="F3" s="12" t="str">
        <f>IFNA(IFNA(VLOOKUP(C3,'Estado de leads de campaña PRVE'!B:D,3,0),(VLOOKUP(C3,'Leads Sf Origen webDetailers Hs'!A:C,3,0))),"NA")</f>
        <v>Descartado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4" t="str">
        <f>'Miembros de campaña PRVE'!C4</f>
        <v>1237@gmail.com</v>
      </c>
      <c r="B4" s="33"/>
      <c r="C4" s="12" t="str">
        <f>IFERROR(__xludf.DUMMYFUNCTION("""COMPUTED_VALUE"""),"1237@gmail.com")</f>
        <v>1237@gmail.com</v>
      </c>
      <c r="D4" s="12" t="str">
        <f>IFNA(VLOOKUP(C4,'Miembros de campaña PRVE'!C:E,3,0),"NA")</f>
        <v>Lead</v>
      </c>
      <c r="E4" s="35">
        <f>IFNA(IFNA(VLOOKUP(C4,'Miembros de campaña PRVE'!C:D,2,0),(VLOOKUP(C4,'SIC - FLOW! - Solicitudes BOFU '!B:C,2,0))),"")</f>
        <v>44012</v>
      </c>
      <c r="F4" s="12" t="str">
        <f>IFNA(IFNA(VLOOKUP(C4,'Estado de leads de campaña PRVE'!B:D,3,0),(VLOOKUP(C4,'Leads Sf Origen webDetailers Hs'!A:C,3,0))),"NA")</f>
        <v>Descartado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4" t="str">
        <f>'Miembros de campaña PRVE'!C5</f>
        <v>3284@efimarket.com</v>
      </c>
      <c r="B5" s="33"/>
      <c r="C5" s="12" t="str">
        <f>IFERROR(__xludf.DUMMYFUNCTION("""COMPUTED_VALUE"""),"3284@efimarket.com")</f>
        <v>3284@efimarket.com</v>
      </c>
      <c r="D5" s="12" t="str">
        <f>IFNA(VLOOKUP(C5,'Miembros de campaña PRVE'!C:E,3,0),"NA")</f>
        <v>Lead</v>
      </c>
      <c r="E5" s="35">
        <f>IFNA(IFNA(VLOOKUP(C5,'Miembros de campaña PRVE'!C:D,2,0),(VLOOKUP(C5,'SIC - FLOW! - Solicitudes BOFU '!B:C,2,0))),"")</f>
        <v>44012</v>
      </c>
      <c r="F5" s="12" t="str">
        <f>IFNA(IFNA(VLOOKUP(C5,'Estado de leads de campaña PRVE'!B:D,3,0),(VLOOKUP(C5,'Leads Sf Origen webDetailers Hs'!A:C,3,0))),"NA")</f>
        <v>Descartado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4" t="str">
        <f>'Miembros de campaña PRVE'!C6</f>
        <v>3199@gmail.com</v>
      </c>
      <c r="B6" s="33"/>
      <c r="C6" s="12" t="str">
        <f>IFERROR(__xludf.DUMMYFUNCTION("""COMPUTED_VALUE"""),"3199@gmail.com")</f>
        <v>3199@gmail.com</v>
      </c>
      <c r="D6" s="12" t="str">
        <f>IFNA(VLOOKUP(C6,'Miembros de campaña PRVE'!C:E,3,0),"NA")</f>
        <v>Lead</v>
      </c>
      <c r="E6" s="35">
        <f>IFNA(IFNA(VLOOKUP(C6,'Miembros de campaña PRVE'!C:D,2,0),(VLOOKUP(C6,'SIC - FLOW! - Solicitudes BOFU '!B:C,2,0))),"")</f>
        <v>44012</v>
      </c>
      <c r="F6" s="12" t="str">
        <f>IFNA(IFNA(VLOOKUP(C6,'Estado de leads de campaña PRVE'!B:D,3,0),(VLOOKUP(C6,'Leads Sf Origen webDetailers Hs'!A:C,3,0))),"NA")</f>
        <v>Descartado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4" t="str">
        <f>'Miembros de campaña PRVE'!C7</f>
        <v>3133@danfar.com</v>
      </c>
      <c r="B7" s="33"/>
      <c r="C7" s="12" t="str">
        <f>IFERROR(__xludf.DUMMYFUNCTION("""COMPUTED_VALUE"""),"3133@danfar.com")</f>
        <v>3133@danfar.com</v>
      </c>
      <c r="D7" s="12" t="str">
        <f>IFNA(VLOOKUP(C7,'Miembros de campaña PRVE'!C:E,3,0),"NA")</f>
        <v>Lead</v>
      </c>
      <c r="E7" s="35">
        <f>IFNA(IFNA(VLOOKUP(C7,'Miembros de campaña PRVE'!C:D,2,0),(VLOOKUP(C7,'SIC - FLOW! - Solicitudes BOFU '!B:C,2,0))),"")</f>
        <v>44012</v>
      </c>
      <c r="F7" s="12" t="str">
        <f>IFNA(IFNA(VLOOKUP(C7,'Estado de leads de campaña PRVE'!B:D,3,0),(VLOOKUP(C7,'Leads Sf Origen webDetailers Hs'!A:C,3,0))),"NA")</f>
        <v>Descartado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4" t="str">
        <f>'Miembros de campaña PRVE'!C8</f>
        <v>3065@sarria.salesians.cat</v>
      </c>
      <c r="B8" s="33"/>
      <c r="C8" s="12" t="str">
        <f>IFERROR(__xludf.DUMMYFUNCTION("""COMPUTED_VALUE"""),"3065@sarria.salesians.cat")</f>
        <v>3065@sarria.salesians.cat</v>
      </c>
      <c r="D8" s="12" t="str">
        <f>IFNA(VLOOKUP(C8,'Miembros de campaña PRVE'!C:E,3,0),"NA")</f>
        <v>Lead</v>
      </c>
      <c r="E8" s="35">
        <f>IFNA(IFNA(VLOOKUP(C8,'Miembros de campaña PRVE'!C:D,2,0),(VLOOKUP(C8,'SIC - FLOW! - Solicitudes BOFU '!B:C,2,0))),"")</f>
        <v>44012</v>
      </c>
      <c r="F8" s="12" t="str">
        <f>IFNA(IFNA(VLOOKUP(C8,'Estado de leads de campaña PRVE'!B:D,3,0),(VLOOKUP(C8,'Leads Sf Origen webDetailers Hs'!A:C,3,0))),"NA")</f>
        <v>Descartado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4" t="str">
        <f>'Miembros de campaña PRVE'!C9</f>
        <v>4692@guamar.es</v>
      </c>
      <c r="B9" s="33"/>
      <c r="C9" s="12" t="str">
        <f>IFERROR(__xludf.DUMMYFUNCTION("""COMPUTED_VALUE"""),"4692@guamar.es")</f>
        <v>4692@guamar.es</v>
      </c>
      <c r="D9" s="12" t="str">
        <f>IFNA(VLOOKUP(C9,'Miembros de campaña PRVE'!C:E,3,0),"NA")</f>
        <v>Lead</v>
      </c>
      <c r="E9" s="35">
        <f>IFNA(IFNA(VLOOKUP(C9,'Miembros de campaña PRVE'!C:D,2,0),(VLOOKUP(C9,'SIC - FLOW! - Solicitudes BOFU '!B:C,2,0))),"")</f>
        <v>44012</v>
      </c>
      <c r="F9" s="12" t="str">
        <f>IFNA(IFNA(VLOOKUP(C9,'Estado de leads de campaña PRVE'!B:D,3,0),(VLOOKUP(C9,'Leads Sf Origen webDetailers Hs'!A:C,3,0))),"NA")</f>
        <v>NA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4" t="str">
        <f>'Miembros de campaña PRVE'!C10</f>
        <v>352@live.com.mx</v>
      </c>
      <c r="B10" s="33"/>
      <c r="C10" s="12" t="str">
        <f>IFERROR(__xludf.DUMMYFUNCTION("""COMPUTED_VALUE"""),"352@live.com.mx")</f>
        <v>352@live.com.mx</v>
      </c>
      <c r="D10" s="12" t="str">
        <f>IFNA(VLOOKUP(C10,'Miembros de campaña PRVE'!C:E,3,0),"NA")</f>
        <v>Contacto</v>
      </c>
      <c r="E10" s="35">
        <f>IFNA(IFNA(VLOOKUP(C10,'Miembros de campaña PRVE'!C:D,2,0),(VLOOKUP(C10,'SIC - FLOW! - Solicitudes BOFU '!B:C,2,0))),"")</f>
        <v>44012</v>
      </c>
      <c r="F10" s="12" t="str">
        <f>IFNA(IFNA(VLOOKUP(C10,'Estado de leads de campaña PRVE'!B:D,3,0),(VLOOKUP(C10,'Leads Sf Origen webDetailers Hs'!A:C,3,0))),"NA")</f>
        <v>NA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4" t="str">
        <f>'Miembros de campaña PRVE'!C11</f>
        <v>2311@deluxson.com</v>
      </c>
      <c r="B11" s="33"/>
      <c r="C11" s="12" t="str">
        <f>IFERROR(__xludf.DUMMYFUNCTION("""COMPUTED_VALUE"""),"2311@deluxson.com")</f>
        <v>2311@deluxson.com</v>
      </c>
      <c r="D11" s="12" t="str">
        <f>IFNA(VLOOKUP(C11,'Miembros de campaña PRVE'!C:E,3,0),"NA")</f>
        <v>Contacto</v>
      </c>
      <c r="E11" s="35">
        <f>IFNA(IFNA(VLOOKUP(C11,'Miembros de campaña PRVE'!C:D,2,0),(VLOOKUP(C11,'SIC - FLOW! - Solicitudes BOFU '!B:C,2,0))),"")</f>
        <v>44012</v>
      </c>
      <c r="F11" s="12" t="str">
        <f>IFNA(IFNA(VLOOKUP(C11,'Estado de leads de campaña PRVE'!B:D,3,0),(VLOOKUP(C11,'Leads Sf Origen webDetailers Hs'!A:C,3,0))),"NA")</f>
        <v>NA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4" t="str">
        <f>'Miembros de campaña PRVE'!C12</f>
        <v>3156@gmail.com</v>
      </c>
      <c r="B12" s="33"/>
      <c r="C12" s="12" t="str">
        <f>IFERROR(__xludf.DUMMYFUNCTION("""COMPUTED_VALUE"""),"3156@gmail.com")</f>
        <v>3156@gmail.com</v>
      </c>
      <c r="D12" s="12" t="str">
        <f>IFNA(VLOOKUP(C12,'Miembros de campaña PRVE'!C:E,3,0),"NA")</f>
        <v>Contacto</v>
      </c>
      <c r="E12" s="35">
        <f>IFNA(IFNA(VLOOKUP(C12,'Miembros de campaña PRVE'!C:D,2,0),(VLOOKUP(C12,'SIC - FLOW! - Solicitudes BOFU '!B:C,2,0))),"")</f>
        <v>44012</v>
      </c>
      <c r="F12" s="12" t="str">
        <f>IFNA(IFNA(VLOOKUP(C12,'Estado de leads de campaña PRVE'!B:D,3,0),(VLOOKUP(C12,'Leads Sf Origen webDetailers Hs'!A:C,3,0))),"NA")</f>
        <v>NA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4" t="str">
        <f>'Miembros de campaña PRVE'!C13</f>
        <v>1411@ujaen.es</v>
      </c>
      <c r="B13" s="33"/>
      <c r="C13" s="12" t="str">
        <f>IFERROR(__xludf.DUMMYFUNCTION("""COMPUTED_VALUE"""),"1411@ujaen.es")</f>
        <v>1411@ujaen.es</v>
      </c>
      <c r="D13" s="12" t="str">
        <f>IFNA(VLOOKUP(C13,'Miembros de campaña PRVE'!C:E,3,0),"NA")</f>
        <v>Contacto</v>
      </c>
      <c r="E13" s="35">
        <f>IFNA(IFNA(VLOOKUP(C13,'Miembros de campaña PRVE'!C:D,2,0),(VLOOKUP(C13,'SIC - FLOW! - Solicitudes BOFU '!B:C,2,0))),"")</f>
        <v>44012</v>
      </c>
      <c r="F13" s="12" t="str">
        <f>IFNA(IFNA(VLOOKUP(C13,'Estado de leads de campaña PRVE'!B:D,3,0),(VLOOKUP(C13,'Leads Sf Origen webDetailers Hs'!A:C,3,0))),"NA")</f>
        <v>Convertido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4" t="str">
        <f>'Miembros de campaña PRVE'!C14</f>
        <v>690@dllgroup.com</v>
      </c>
      <c r="B14" s="33"/>
      <c r="C14" s="12" t="str">
        <f>IFERROR(__xludf.DUMMYFUNCTION("""COMPUTED_VALUE"""),"690@dllgroup.com")</f>
        <v>690@dllgroup.com</v>
      </c>
      <c r="D14" s="12" t="str">
        <f>IFNA(VLOOKUP(C14,'Miembros de campaña PRVE'!C:E,3,0),"NA")</f>
        <v>Lead</v>
      </c>
      <c r="E14" s="35">
        <f>IFNA(IFNA(VLOOKUP(C14,'Miembros de campaña PRVE'!C:D,2,0),(VLOOKUP(C14,'SIC - FLOW! - Solicitudes BOFU '!B:C,2,0))),"")</f>
        <v>44012</v>
      </c>
      <c r="F14" s="12" t="str">
        <f>IFNA(IFNA(VLOOKUP(C14,'Estado de leads de campaña PRVE'!B:D,3,0),(VLOOKUP(C14,'Leads Sf Origen webDetailers Hs'!A:C,3,0))),"NA")</f>
        <v>Descartado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4" t="str">
        <f>'Miembros de campaña PRVE'!C15</f>
        <v>3089@yahoo.es</v>
      </c>
      <c r="B15" s="33"/>
      <c r="C15" s="12" t="str">
        <f>IFERROR(__xludf.DUMMYFUNCTION("""COMPUTED_VALUE"""),"3089@yahoo.es")</f>
        <v>3089@yahoo.es</v>
      </c>
      <c r="D15" s="12" t="str">
        <f>IFNA(VLOOKUP(C15,'Miembros de campaña PRVE'!C:E,3,0),"NA")</f>
        <v>Lead</v>
      </c>
      <c r="E15" s="35">
        <f>IFNA(IFNA(VLOOKUP(C15,'Miembros de campaña PRVE'!C:D,2,0),(VLOOKUP(C15,'SIC - FLOW! - Solicitudes BOFU '!B:C,2,0))),"")</f>
        <v>44012</v>
      </c>
      <c r="F15" s="12" t="str">
        <f>IFNA(IFNA(VLOOKUP(C15,'Estado de leads de campaña PRVE'!B:D,3,0),(VLOOKUP(C15,'Leads Sf Origen webDetailers Hs'!A:C,3,0))),"NA")</f>
        <v>Descartado</v>
      </c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4" t="str">
        <f>'Miembros de campaña PRVE'!C16</f>
        <v>770@inmotiza.com</v>
      </c>
      <c r="B16" s="33"/>
      <c r="C16" s="12" t="str">
        <f>IFERROR(__xludf.DUMMYFUNCTION("""COMPUTED_VALUE"""),"770@inmotiza.com")</f>
        <v>770@inmotiza.com</v>
      </c>
      <c r="D16" s="12" t="str">
        <f>IFNA(VLOOKUP(C16,'Miembros de campaña PRVE'!C:E,3,0),"NA")</f>
        <v>Contacto</v>
      </c>
      <c r="E16" s="35">
        <f>IFNA(IFNA(VLOOKUP(C16,'Miembros de campaña PRVE'!C:D,2,0),(VLOOKUP(C16,'SIC - FLOW! - Solicitudes BOFU '!B:C,2,0))),"")</f>
        <v>44012</v>
      </c>
      <c r="F16" s="12" t="str">
        <f>IFNA(IFNA(VLOOKUP(C16,'Estado de leads de campaña PRVE'!B:D,3,0),(VLOOKUP(C16,'Leads Sf Origen webDetailers Hs'!A:C,3,0))),"NA")</f>
        <v>NA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4" t="str">
        <f>'Miembros de campaña PRVE'!C17</f>
        <v>4693@gmail.com</v>
      </c>
      <c r="B17" s="33"/>
      <c r="C17" s="12" t="str">
        <f>IFERROR(__xludf.DUMMYFUNCTION("""COMPUTED_VALUE"""),"4693@gmail.com")</f>
        <v>4693@gmail.com</v>
      </c>
      <c r="D17" s="12" t="str">
        <f>IFNA(VLOOKUP(C17,'Miembros de campaña PRVE'!C:E,3,0),"NA")</f>
        <v>Contacto</v>
      </c>
      <c r="E17" s="35">
        <f>IFNA(IFNA(VLOOKUP(C17,'Miembros de campaña PRVE'!C:D,2,0),(VLOOKUP(C17,'SIC - FLOW! - Solicitudes BOFU '!B:C,2,0))),"")</f>
        <v>44012</v>
      </c>
      <c r="F17" s="12" t="str">
        <f>IFNA(IFNA(VLOOKUP(C17,'Estado de leads de campaña PRVE'!B:D,3,0),(VLOOKUP(C17,'Leads Sf Origen webDetailers Hs'!A:C,3,0))),"NA")</f>
        <v>NA</v>
      </c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4" t="str">
        <f>'Miembros de campaña PRVE'!C18</f>
        <v>4694@gmail.com</v>
      </c>
      <c r="B18" s="33"/>
      <c r="C18" s="12" t="str">
        <f>IFERROR(__xludf.DUMMYFUNCTION("""COMPUTED_VALUE"""),"4694@gmail.com")</f>
        <v>4694@gmail.com</v>
      </c>
      <c r="D18" s="12" t="str">
        <f>IFNA(VLOOKUP(C18,'Miembros de campaña PRVE'!C:E,3,0),"NA")</f>
        <v>Lead</v>
      </c>
      <c r="E18" s="35">
        <f>IFNA(IFNA(VLOOKUP(C18,'Miembros de campaña PRVE'!C:D,2,0),(VLOOKUP(C18,'SIC - FLOW! - Solicitudes BOFU '!B:C,2,0))),"")</f>
        <v>44012</v>
      </c>
      <c r="F18" s="12" t="str">
        <f>IFNA(IFNA(VLOOKUP(C18,'Estado de leads de campaña PRVE'!B:D,3,0),(VLOOKUP(C18,'Leads Sf Origen webDetailers Hs'!A:C,3,0))),"NA")</f>
        <v>NA</v>
      </c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4" t="str">
        <f>'Miembros de campaña PRVE'!C19</f>
        <v>563@salesianospamplona.net</v>
      </c>
      <c r="B19" s="33"/>
      <c r="C19" s="12" t="str">
        <f>IFERROR(__xludf.DUMMYFUNCTION("""COMPUTED_VALUE"""),"563@salesianospamplona.net")</f>
        <v>563@salesianospamplona.net</v>
      </c>
      <c r="D19" s="12" t="str">
        <f>IFNA(VLOOKUP(C19,'Miembros de campaña PRVE'!C:E,3,0),"NA")</f>
        <v>Lead</v>
      </c>
      <c r="E19" s="35">
        <f>IFNA(IFNA(VLOOKUP(C19,'Miembros de campaña PRVE'!C:D,2,0),(VLOOKUP(C19,'SIC - FLOW! - Solicitudes BOFU '!B:C,2,0))),"")</f>
        <v>44012</v>
      </c>
      <c r="F19" s="12" t="str">
        <f>IFNA(IFNA(VLOOKUP(C19,'Estado de leads de campaña PRVE'!B:D,3,0),(VLOOKUP(C19,'Leads Sf Origen webDetailers Hs'!A:C,3,0))),"NA")</f>
        <v>Descartado</v>
      </c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4" t="str">
        <f>'Miembros de campaña PRVE'!C20</f>
        <v>3160@yahoo.com</v>
      </c>
      <c r="B20" s="33"/>
      <c r="C20" s="12" t="str">
        <f>IFERROR(__xludf.DUMMYFUNCTION("""COMPUTED_VALUE"""),"3160@yahoo.com")</f>
        <v>3160@yahoo.com</v>
      </c>
      <c r="D20" s="12" t="str">
        <f>IFNA(VLOOKUP(C20,'Miembros de campaña PRVE'!C:E,3,0),"NA")</f>
        <v>Lead</v>
      </c>
      <c r="E20" s="35">
        <f>IFNA(IFNA(VLOOKUP(C20,'Miembros de campaña PRVE'!C:D,2,0),(VLOOKUP(C20,'SIC - FLOW! - Solicitudes BOFU '!B:C,2,0))),"")</f>
        <v>44012</v>
      </c>
      <c r="F20" s="12" t="str">
        <f>IFNA(IFNA(VLOOKUP(C20,'Estado de leads de campaña PRVE'!B:D,3,0),(VLOOKUP(C20,'Leads Sf Origen webDetailers Hs'!A:C,3,0))),"NA")</f>
        <v>Descartado</v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4" t="str">
        <f>'Miembros de campaña PRVE'!C21</f>
        <v>3036@romeroycantalejo.com</v>
      </c>
      <c r="B21" s="33"/>
      <c r="C21" s="12" t="str">
        <f>IFERROR(__xludf.DUMMYFUNCTION("""COMPUTED_VALUE"""),"3036@romeroycantalejo.com")</f>
        <v>3036@romeroycantalejo.com</v>
      </c>
      <c r="D21" s="12" t="str">
        <f>IFNA(VLOOKUP(C21,'Miembros de campaña PRVE'!C:E,3,0),"NA")</f>
        <v>Contacto</v>
      </c>
      <c r="E21" s="35">
        <f>IFNA(IFNA(VLOOKUP(C21,'Miembros de campaña PRVE'!C:D,2,0),(VLOOKUP(C21,'SIC - FLOW! - Solicitudes BOFU '!B:C,2,0))),"")</f>
        <v>44012</v>
      </c>
      <c r="F21" s="12" t="str">
        <f>IFNA(IFNA(VLOOKUP(C21,'Estado de leads de campaña PRVE'!B:D,3,0),(VLOOKUP(C21,'Leads Sf Origen webDetailers Hs'!A:C,3,0))),"NA")</f>
        <v>NA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4" t="str">
        <f>'Miembros de campaña PRVE'!C22</f>
        <v>4695@muntanerelectro.com</v>
      </c>
      <c r="B22" s="33"/>
      <c r="C22" s="12" t="str">
        <f>IFERROR(__xludf.DUMMYFUNCTION("""COMPUTED_VALUE"""),"4695@muntanerelectro.com")</f>
        <v>4695@muntanerelectro.com</v>
      </c>
      <c r="D22" s="12" t="str">
        <f>IFNA(VLOOKUP(C22,'Miembros de campaña PRVE'!C:E,3,0),"NA")</f>
        <v>Contacto</v>
      </c>
      <c r="E22" s="35">
        <f>IFNA(IFNA(VLOOKUP(C22,'Miembros de campaña PRVE'!C:D,2,0),(VLOOKUP(C22,'SIC - FLOW! - Solicitudes BOFU '!B:C,2,0))),"")</f>
        <v>44012</v>
      </c>
      <c r="F22" s="12" t="str">
        <f>IFNA(IFNA(VLOOKUP(C22,'Estado de leads de campaña PRVE'!B:D,3,0),(VLOOKUP(C22,'Leads Sf Origen webDetailers Hs'!A:C,3,0))),"NA")</f>
        <v>NA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4" t="str">
        <f>'Miembros de campaña PRVE'!C23</f>
        <v>1092@cipfpcanastell.com</v>
      </c>
      <c r="B23" s="33"/>
      <c r="C23" s="12" t="str">
        <f>IFERROR(__xludf.DUMMYFUNCTION("""COMPUTED_VALUE"""),"1092@cipfpcanastell.com")</f>
        <v>1092@cipfpcanastell.com</v>
      </c>
      <c r="D23" s="12" t="str">
        <f>IFNA(VLOOKUP(C23,'Miembros de campaña PRVE'!C:E,3,0),"NA")</f>
        <v>Lead</v>
      </c>
      <c r="E23" s="35">
        <f>IFNA(IFNA(VLOOKUP(C23,'Miembros de campaña PRVE'!C:D,2,0),(VLOOKUP(C23,'SIC - FLOW! - Solicitudes BOFU '!B:C,2,0))),"")</f>
        <v>44012</v>
      </c>
      <c r="F23" s="12" t="str">
        <f>IFNA(IFNA(VLOOKUP(C23,'Estado de leads de campaña PRVE'!B:D,3,0),(VLOOKUP(C23,'Leads Sf Origen webDetailers Hs'!A:C,3,0))),"NA")</f>
        <v>Descartado</v>
      </c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4" t="str">
        <f>'Miembros de campaña PRVE'!C24</f>
        <v>313@inelbo.eiffage.es</v>
      </c>
      <c r="B24" s="33"/>
      <c r="C24" s="12" t="str">
        <f>IFERROR(__xludf.DUMMYFUNCTION("""COMPUTED_VALUE"""),"313@inelbo.eiffage.es")</f>
        <v>313@inelbo.eiffage.es</v>
      </c>
      <c r="D24" s="12" t="str">
        <f>IFNA(VLOOKUP(C24,'Miembros de campaña PRVE'!C:E,3,0),"NA")</f>
        <v>Lead</v>
      </c>
      <c r="E24" s="35">
        <f>IFNA(IFNA(VLOOKUP(C24,'Miembros de campaña PRVE'!C:D,2,0),(VLOOKUP(C24,'SIC - FLOW! - Solicitudes BOFU '!B:C,2,0))),"")</f>
        <v>44012</v>
      </c>
      <c r="F24" s="12" t="str">
        <f>IFNA(IFNA(VLOOKUP(C24,'Estado de leads de campaña PRVE'!B:D,3,0),(VLOOKUP(C24,'Leads Sf Origen webDetailers Hs'!A:C,3,0))),"NA")</f>
        <v>SQL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4" t="str">
        <f>'Miembros de campaña PRVE'!C25</f>
        <v>3157@hotmail.com</v>
      </c>
      <c r="B25" s="33"/>
      <c r="C25" s="12" t="str">
        <f>IFERROR(__xludf.DUMMYFUNCTION("""COMPUTED_VALUE"""),"3157@hotmail.com")</f>
        <v>3157@hotmail.com</v>
      </c>
      <c r="D25" s="12" t="str">
        <f>IFNA(VLOOKUP(C25,'Miembros de campaña PRVE'!C:E,3,0),"NA")</f>
        <v>Lead</v>
      </c>
      <c r="E25" s="35">
        <f>IFNA(IFNA(VLOOKUP(C25,'Miembros de campaña PRVE'!C:D,2,0),(VLOOKUP(C25,'SIC - FLOW! - Solicitudes BOFU '!B:C,2,0))),"")</f>
        <v>44012</v>
      </c>
      <c r="F25" s="12" t="str">
        <f>IFNA(IFNA(VLOOKUP(C25,'Estado de leads de campaña PRVE'!B:D,3,0),(VLOOKUP(C25,'Leads Sf Origen webDetailers Hs'!A:C,3,0))),"NA")</f>
        <v>Descartado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4" t="str">
        <f>'Miembros de campaña PRVE'!C26</f>
        <v>3046@gmail.com</v>
      </c>
      <c r="B26" s="33"/>
      <c r="C26" s="12" t="str">
        <f>IFERROR(__xludf.DUMMYFUNCTION("""COMPUTED_VALUE"""),"3046@gmail.com")</f>
        <v>3046@gmail.com</v>
      </c>
      <c r="D26" s="12" t="str">
        <f>IFNA(VLOOKUP(C26,'Miembros de campaña PRVE'!C:E,3,0),"NA")</f>
        <v>Lead</v>
      </c>
      <c r="E26" s="35">
        <f>IFNA(IFNA(VLOOKUP(C26,'Miembros de campaña PRVE'!C:D,2,0),(VLOOKUP(C26,'SIC - FLOW! - Solicitudes BOFU '!B:C,2,0))),"")</f>
        <v>44012</v>
      </c>
      <c r="F26" s="12" t="str">
        <f>IFNA(IFNA(VLOOKUP(C26,'Estado de leads de campaña PRVE'!B:D,3,0),(VLOOKUP(C26,'Leads Sf Origen webDetailers Hs'!A:C,3,0))),"NA")</f>
        <v>Descartado</v>
      </c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4" t="str">
        <f>'Miembros de campaña PRVE'!C27</f>
        <v>2035@yahoo.es</v>
      </c>
      <c r="B27" s="33"/>
      <c r="C27" s="12" t="str">
        <f>IFERROR(__xludf.DUMMYFUNCTION("""COMPUTED_VALUE"""),"2035@yahoo.es")</f>
        <v>2035@yahoo.es</v>
      </c>
      <c r="D27" s="12" t="str">
        <f>IFNA(VLOOKUP(C27,'Miembros de campaña PRVE'!C:E,3,0),"NA")</f>
        <v>Lead</v>
      </c>
      <c r="E27" s="35">
        <f>IFNA(IFNA(VLOOKUP(C27,'Miembros de campaña PRVE'!C:D,2,0),(VLOOKUP(C27,'SIC - FLOW! - Solicitudes BOFU '!B:C,2,0))),"")</f>
        <v>44012</v>
      </c>
      <c r="F27" s="12" t="str">
        <f>IFNA(IFNA(VLOOKUP(C27,'Estado de leads de campaña PRVE'!B:D,3,0),(VLOOKUP(C27,'Leads Sf Origen webDetailers Hs'!A:C,3,0))),"NA")</f>
        <v>Nuevo</v>
      </c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4" t="str">
        <f>'Miembros de campaña PRVE'!C28</f>
        <v>3096@hotmail.com</v>
      </c>
      <c r="B28" s="33"/>
      <c r="C28" s="12" t="str">
        <f>IFERROR(__xludf.DUMMYFUNCTION("""COMPUTED_VALUE"""),"3096@hotmail.com")</f>
        <v>3096@hotmail.com</v>
      </c>
      <c r="D28" s="12" t="str">
        <f>IFNA(VLOOKUP(C28,'Miembros de campaña PRVE'!C:E,3,0),"NA")</f>
        <v>Contacto</v>
      </c>
      <c r="E28" s="35">
        <f>IFNA(IFNA(VLOOKUP(C28,'Miembros de campaña PRVE'!C:D,2,0),(VLOOKUP(C28,'SIC - FLOW! - Solicitudes BOFU '!B:C,2,0))),"")</f>
        <v>44012</v>
      </c>
      <c r="F28" s="12" t="str">
        <f>IFNA(IFNA(VLOOKUP(C28,'Estado de leads de campaña PRVE'!B:D,3,0),(VLOOKUP(C28,'Leads Sf Origen webDetailers Hs'!A:C,3,0))),"NA")</f>
        <v>Convertido</v>
      </c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4" t="str">
        <f>'Miembros de campaña PRVE'!C29</f>
        <v>925@eco-voltaica.com</v>
      </c>
      <c r="B29" s="33"/>
      <c r="C29" s="12" t="str">
        <f>IFERROR(__xludf.DUMMYFUNCTION("""COMPUTED_VALUE"""),"925@eco-voltaica.com")</f>
        <v>925@eco-voltaica.com</v>
      </c>
      <c r="D29" s="12" t="str">
        <f>IFNA(VLOOKUP(C29,'Miembros de campaña PRVE'!C:E,3,0),"NA")</f>
        <v>Contacto</v>
      </c>
      <c r="E29" s="35">
        <f>IFNA(IFNA(VLOOKUP(C29,'Miembros de campaña PRVE'!C:D,2,0),(VLOOKUP(C29,'SIC - FLOW! - Solicitudes BOFU '!B:C,2,0))),"")</f>
        <v>44012</v>
      </c>
      <c r="F29" s="12" t="str">
        <f>IFNA(IFNA(VLOOKUP(C29,'Estado de leads de campaña PRVE'!B:D,3,0),(VLOOKUP(C29,'Leads Sf Origen webDetailers Hs'!A:C,3,0))),"NA")</f>
        <v>Convertido</v>
      </c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4" t="str">
        <f>'Miembros de campaña PRVE'!C30</f>
        <v>4696@gmail.com</v>
      </c>
      <c r="B30" s="33"/>
      <c r="C30" s="12" t="str">
        <f>IFERROR(__xludf.DUMMYFUNCTION("""COMPUTED_VALUE"""),"4696@gmail.com")</f>
        <v>4696@gmail.com</v>
      </c>
      <c r="D30" s="12" t="str">
        <f>IFNA(VLOOKUP(C30,'Miembros de campaña PRVE'!C:E,3,0),"NA")</f>
        <v>Lead</v>
      </c>
      <c r="E30" s="35">
        <f>IFNA(IFNA(VLOOKUP(C30,'Miembros de campaña PRVE'!C:D,2,0),(VLOOKUP(C30,'SIC - FLOW! - Solicitudes BOFU '!B:C,2,0))),"")</f>
        <v>44012</v>
      </c>
      <c r="F30" s="12" t="str">
        <f>IFNA(IFNA(VLOOKUP(C30,'Estado de leads de campaña PRVE'!B:D,3,0),(VLOOKUP(C30,'Leads Sf Origen webDetailers Hs'!A:C,3,0))),"NA")</f>
        <v>Descartado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4" t="str">
        <f>'Miembros de campaña PRVE'!C31</f>
        <v>2871@assinsta.com</v>
      </c>
      <c r="B31" s="33"/>
      <c r="C31" s="12" t="str">
        <f>IFERROR(__xludf.DUMMYFUNCTION("""COMPUTED_VALUE"""),"2871@assinsta.com")</f>
        <v>2871@assinsta.com</v>
      </c>
      <c r="D31" s="12" t="str">
        <f>IFNA(VLOOKUP(C31,'Miembros de campaña PRVE'!C:E,3,0),"NA")</f>
        <v>Lead</v>
      </c>
      <c r="E31" s="35">
        <f>IFNA(IFNA(VLOOKUP(C31,'Miembros de campaña PRVE'!C:D,2,0),(VLOOKUP(C31,'SIC - FLOW! - Solicitudes BOFU '!B:C,2,0))),"")</f>
        <v>44012</v>
      </c>
      <c r="F31" s="12" t="str">
        <f>IFNA(IFNA(VLOOKUP(C31,'Estado de leads de campaña PRVE'!B:D,3,0),(VLOOKUP(C31,'Leads Sf Origen webDetailers Hs'!A:C,3,0))),"NA")</f>
        <v>Descartado</v>
      </c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4" t="str">
        <f>'Miembros de campaña PRVE'!C32</f>
        <v>3370@hotmail.com</v>
      </c>
      <c r="B32" s="33"/>
      <c r="C32" s="12" t="str">
        <f>IFERROR(__xludf.DUMMYFUNCTION("""COMPUTED_VALUE"""),"3370@hotmail.com")</f>
        <v>3370@hotmail.com</v>
      </c>
      <c r="D32" s="12" t="str">
        <f>IFNA(VLOOKUP(C32,'Miembros de campaña PRVE'!C:E,3,0),"NA")</f>
        <v>Lead</v>
      </c>
      <c r="E32" s="35">
        <f>IFNA(IFNA(VLOOKUP(C32,'Miembros de campaña PRVE'!C:D,2,0),(VLOOKUP(C32,'SIC - FLOW! - Solicitudes BOFU '!B:C,2,0))),"")</f>
        <v>44012</v>
      </c>
      <c r="F32" s="12" t="str">
        <f>IFNA(IFNA(VLOOKUP(C32,'Estado de leads de campaña PRVE'!B:D,3,0),(VLOOKUP(C32,'Leads Sf Origen webDetailers Hs'!A:C,3,0))),"NA")</f>
        <v>Descartado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4" t="str">
        <f>'Miembros de campaña PRVE'!C33</f>
        <v>2369@cataliaga.com</v>
      </c>
      <c r="B33" s="33"/>
      <c r="C33" s="12" t="str">
        <f>IFERROR(__xludf.DUMMYFUNCTION("""COMPUTED_VALUE"""),"2369@cataliaga.com")</f>
        <v>2369@cataliaga.com</v>
      </c>
      <c r="D33" s="12" t="str">
        <f>IFNA(VLOOKUP(C33,'Miembros de campaña PRVE'!C:E,3,0),"NA")</f>
        <v>Contacto</v>
      </c>
      <c r="E33" s="35">
        <f>IFNA(IFNA(VLOOKUP(C33,'Miembros de campaña PRVE'!C:D,2,0),(VLOOKUP(C33,'SIC - FLOW! - Solicitudes BOFU '!B:C,2,0))),"")</f>
        <v>44012</v>
      </c>
      <c r="F33" s="12" t="str">
        <f>IFNA(IFNA(VLOOKUP(C33,'Estado de leads de campaña PRVE'!B:D,3,0),(VLOOKUP(C33,'Leads Sf Origen webDetailers Hs'!A:C,3,0))),"NA")</f>
        <v>NA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4" t="str">
        <f>'Miembros de campaña PRVE'!C34</f>
        <v>768@gmail.com</v>
      </c>
      <c r="B34" s="33"/>
      <c r="C34" s="12" t="str">
        <f>IFERROR(__xludf.DUMMYFUNCTION("""COMPUTED_VALUE"""),"768@gmail.com")</f>
        <v>768@gmail.com</v>
      </c>
      <c r="D34" s="12" t="str">
        <f>IFNA(VLOOKUP(C34,'Miembros de campaña PRVE'!C:E,3,0),"NA")</f>
        <v>Lead</v>
      </c>
      <c r="E34" s="35">
        <f>IFNA(IFNA(VLOOKUP(C34,'Miembros de campaña PRVE'!C:D,2,0),(VLOOKUP(C34,'SIC - FLOW! - Solicitudes BOFU '!B:C,2,0))),"")</f>
        <v>44012</v>
      </c>
      <c r="F34" s="12" t="str">
        <f>IFNA(IFNA(VLOOKUP(C34,'Estado de leads de campaña PRVE'!B:D,3,0),(VLOOKUP(C34,'Leads Sf Origen webDetailers Hs'!A:C,3,0))),"NA")</f>
        <v>Nuevo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4" t="str">
        <f>'Miembros de campaña PRVE'!C35</f>
        <v>2810@sensorstecnics.net</v>
      </c>
      <c r="B35" s="33"/>
      <c r="C35" s="12" t="str">
        <f>IFERROR(__xludf.DUMMYFUNCTION("""COMPUTED_VALUE"""),"2810@sensorstecnics.net")</f>
        <v>2810@sensorstecnics.net</v>
      </c>
      <c r="D35" s="12" t="str">
        <f>IFNA(VLOOKUP(C35,'Miembros de campaña PRVE'!C:E,3,0),"NA")</f>
        <v>Lead</v>
      </c>
      <c r="E35" s="35">
        <f>IFNA(IFNA(VLOOKUP(C35,'Miembros de campaña PRVE'!C:D,2,0),(VLOOKUP(C35,'SIC - FLOW! - Solicitudes BOFU '!B:C,2,0))),"")</f>
        <v>44012</v>
      </c>
      <c r="F35" s="12" t="str">
        <f>IFNA(IFNA(VLOOKUP(C35,'Estado de leads de campaña PRVE'!B:D,3,0),(VLOOKUP(C35,'Leads Sf Origen webDetailers Hs'!A:C,3,0))),"NA")</f>
        <v>Descartado</v>
      </c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4" t="str">
        <f>'Miembros de campaña PRVE'!C36</f>
        <v>2844@alamos.es</v>
      </c>
      <c r="B36" s="33"/>
      <c r="C36" s="12" t="str">
        <f>IFERROR(__xludf.DUMMYFUNCTION("""COMPUTED_VALUE"""),"2844@alamos.es")</f>
        <v>2844@alamos.es</v>
      </c>
      <c r="D36" s="12" t="str">
        <f>IFNA(VLOOKUP(C36,'Miembros de campaña PRVE'!C:E,3,0),"NA")</f>
        <v>Contacto</v>
      </c>
      <c r="E36" s="35">
        <f>IFNA(IFNA(VLOOKUP(C36,'Miembros de campaña PRVE'!C:D,2,0),(VLOOKUP(C36,'SIC - FLOW! - Solicitudes BOFU '!B:C,2,0))),"")</f>
        <v>44012</v>
      </c>
      <c r="F36" s="12" t="str">
        <f>IFNA(IFNA(VLOOKUP(C36,'Estado de leads de campaña PRVE'!B:D,3,0),(VLOOKUP(C36,'Leads Sf Origen webDetailers Hs'!A:C,3,0))),"NA")</f>
        <v>NA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4" t="str">
        <f>'Miembros de campaña PRVE'!C37</f>
        <v>2674@coar.es</v>
      </c>
      <c r="B37" s="33"/>
      <c r="C37" s="12" t="str">
        <f>IFERROR(__xludf.DUMMYFUNCTION("""COMPUTED_VALUE"""),"2674@coar.es")</f>
        <v>2674@coar.es</v>
      </c>
      <c r="D37" s="12" t="str">
        <f>IFNA(VLOOKUP(C37,'Miembros de campaña PRVE'!C:E,3,0),"NA")</f>
        <v>Contacto</v>
      </c>
      <c r="E37" s="35">
        <f>IFNA(IFNA(VLOOKUP(C37,'Miembros de campaña PRVE'!C:D,2,0),(VLOOKUP(C37,'SIC - FLOW! - Solicitudes BOFU '!B:C,2,0))),"")</f>
        <v>44012</v>
      </c>
      <c r="F37" s="12" t="str">
        <f>IFNA(IFNA(VLOOKUP(C37,'Estado de leads de campaña PRVE'!B:D,3,0),(VLOOKUP(C37,'Leads Sf Origen webDetailers Hs'!A:C,3,0))),"NA")</f>
        <v>NA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4" t="str">
        <f>'Miembros de campaña PRVE'!C38</f>
        <v>3098@soc.redcitroen.com</v>
      </c>
      <c r="B38" s="33"/>
      <c r="C38" s="12" t="str">
        <f>IFERROR(__xludf.DUMMYFUNCTION("""COMPUTED_VALUE"""),"3098@soc.redcitroen.com")</f>
        <v>3098@soc.redcitroen.com</v>
      </c>
      <c r="D38" s="12" t="str">
        <f>IFNA(VLOOKUP(C38,'Miembros de campaña PRVE'!C:E,3,0),"NA")</f>
        <v>Contacto</v>
      </c>
      <c r="E38" s="35">
        <f>IFNA(IFNA(VLOOKUP(C38,'Miembros de campaña PRVE'!C:D,2,0),(VLOOKUP(C38,'SIC - FLOW! - Solicitudes BOFU '!B:C,2,0))),"")</f>
        <v>44012</v>
      </c>
      <c r="F38" s="12" t="str">
        <f>IFNA(IFNA(VLOOKUP(C38,'Estado de leads de campaña PRVE'!B:D,3,0),(VLOOKUP(C38,'Leads Sf Origen webDetailers Hs'!A:C,3,0))),"NA")</f>
        <v>Convertido</v>
      </c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4" t="str">
        <f>'Miembros de campaña PRVE'!C39</f>
        <v>667@ces2010.es</v>
      </c>
      <c r="B39" s="33"/>
      <c r="C39" s="12" t="str">
        <f>IFERROR(__xludf.DUMMYFUNCTION("""COMPUTED_VALUE"""),"667@ces2010.es")</f>
        <v>667@ces2010.es</v>
      </c>
      <c r="D39" s="12" t="str">
        <f>IFNA(VLOOKUP(C39,'Miembros de campaña PRVE'!C:E,3,0),"NA")</f>
        <v>Contacto</v>
      </c>
      <c r="E39" s="35">
        <f>IFNA(IFNA(VLOOKUP(C39,'Miembros de campaña PRVE'!C:D,2,0),(VLOOKUP(C39,'SIC - FLOW! - Solicitudes BOFU '!B:C,2,0))),"")</f>
        <v>44012</v>
      </c>
      <c r="F39" s="12" t="str">
        <f>IFNA(IFNA(VLOOKUP(C39,'Estado de leads de campaña PRVE'!B:D,3,0),(VLOOKUP(C39,'Leads Sf Origen webDetailers Hs'!A:C,3,0))),"NA")</f>
        <v>Convertido</v>
      </c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4" t="str">
        <f>'Miembros de campaña PRVE'!C40</f>
        <v>377@nouges.es</v>
      </c>
      <c r="B40" s="33"/>
      <c r="C40" s="12" t="str">
        <f>IFERROR(__xludf.DUMMYFUNCTION("""COMPUTED_VALUE"""),"377@nouges.es")</f>
        <v>377@nouges.es</v>
      </c>
      <c r="D40" s="12" t="str">
        <f>IFNA(VLOOKUP(C40,'Miembros de campaña PRVE'!C:E,3,0),"NA")</f>
        <v>Lead</v>
      </c>
      <c r="E40" s="35">
        <f>IFNA(IFNA(VLOOKUP(C40,'Miembros de campaña PRVE'!C:D,2,0),(VLOOKUP(C40,'SIC - FLOW! - Solicitudes BOFU '!B:C,2,0))),"")</f>
        <v>44012</v>
      </c>
      <c r="F40" s="12" t="str">
        <f>IFNA(IFNA(VLOOKUP(C40,'Estado de leads de campaña PRVE'!B:D,3,0),(VLOOKUP(C40,'Leads Sf Origen webDetailers Hs'!A:C,3,0))),"NA")</f>
        <v>SQL</v>
      </c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4" t="str">
        <f>'Miembros de campaña PRVE'!C41</f>
        <v>4697@yahoo.es</v>
      </c>
      <c r="B41" s="33"/>
      <c r="C41" s="12" t="str">
        <f>IFERROR(__xludf.DUMMYFUNCTION("""COMPUTED_VALUE"""),"4697@yahoo.es")</f>
        <v>4697@yahoo.es</v>
      </c>
      <c r="D41" s="12" t="str">
        <f>IFNA(VLOOKUP(C41,'Miembros de campaña PRVE'!C:E,3,0),"NA")</f>
        <v>Lead</v>
      </c>
      <c r="E41" s="35">
        <f>IFNA(IFNA(VLOOKUP(C41,'Miembros de campaña PRVE'!C:D,2,0),(VLOOKUP(C41,'SIC - FLOW! - Solicitudes BOFU '!B:C,2,0))),"")</f>
        <v>44012</v>
      </c>
      <c r="F41" s="12" t="str">
        <f>IFNA(IFNA(VLOOKUP(C41,'Estado de leads de campaña PRVE'!B:D,3,0),(VLOOKUP(C41,'Leads Sf Origen webDetailers Hs'!A:C,3,0))),"NA")</f>
        <v>Descartado</v>
      </c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4" t="str">
        <f>'Miembros de campaña PRVE'!C42</f>
        <v>2498@adtelcom.es</v>
      </c>
      <c r="B42" s="33"/>
      <c r="C42" s="12" t="str">
        <f>IFERROR(__xludf.DUMMYFUNCTION("""COMPUTED_VALUE"""),"2498@adtelcom.es")</f>
        <v>2498@adtelcom.es</v>
      </c>
      <c r="D42" s="12" t="str">
        <f>IFNA(VLOOKUP(C42,'Miembros de campaña PRVE'!C:E,3,0),"NA")</f>
        <v>Lead</v>
      </c>
      <c r="E42" s="35">
        <f>IFNA(IFNA(VLOOKUP(C42,'Miembros de campaña PRVE'!C:D,2,0),(VLOOKUP(C42,'SIC - FLOW! - Solicitudes BOFU '!B:C,2,0))),"")</f>
        <v>44012</v>
      </c>
      <c r="F42" s="12" t="str">
        <f>IFNA(IFNA(VLOOKUP(C42,'Estado de leads de campaña PRVE'!B:D,3,0),(VLOOKUP(C42,'Leads Sf Origen webDetailers Hs'!A:C,3,0))),"NA")</f>
        <v>Descartado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4" t="str">
        <f>'Miembros de campaña PRVE'!C43</f>
        <v>3026@gmail.com</v>
      </c>
      <c r="B43" s="33"/>
      <c r="C43" s="12" t="str">
        <f>IFERROR(__xludf.DUMMYFUNCTION("""COMPUTED_VALUE"""),"3026@gmail.com")</f>
        <v>3026@gmail.com</v>
      </c>
      <c r="D43" s="12" t="str">
        <f>IFNA(VLOOKUP(C43,'Miembros de campaña PRVE'!C:E,3,0),"NA")</f>
        <v>Lead</v>
      </c>
      <c r="E43" s="35">
        <f>IFNA(IFNA(VLOOKUP(C43,'Miembros de campaña PRVE'!C:D,2,0),(VLOOKUP(C43,'SIC - FLOW! - Solicitudes BOFU '!B:C,2,0))),"")</f>
        <v>44012</v>
      </c>
      <c r="F43" s="12" t="str">
        <f>IFNA(IFNA(VLOOKUP(C43,'Estado de leads de campaña PRVE'!B:D,3,0),(VLOOKUP(C43,'Leads Sf Origen webDetailers Hs'!A:C,3,0))),"NA")</f>
        <v>Descartado</v>
      </c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4" t="str">
        <f>'Miembros de campaña PRVE'!C44</f>
        <v>587@gescogestio.com</v>
      </c>
      <c r="B44" s="33"/>
      <c r="C44" s="12" t="str">
        <f>IFERROR(__xludf.DUMMYFUNCTION("""COMPUTED_VALUE"""),"587@gescogestio.com")</f>
        <v>587@gescogestio.com</v>
      </c>
      <c r="D44" s="12" t="str">
        <f>IFNA(VLOOKUP(C44,'Miembros de campaña PRVE'!C:E,3,0),"NA")</f>
        <v>Contacto</v>
      </c>
      <c r="E44" s="35">
        <f>IFNA(IFNA(VLOOKUP(C44,'Miembros de campaña PRVE'!C:D,2,0),(VLOOKUP(C44,'SIC - FLOW! - Solicitudes BOFU '!B:C,2,0))),"")</f>
        <v>44012</v>
      </c>
      <c r="F44" s="12" t="str">
        <f>IFNA(IFNA(VLOOKUP(C44,'Estado de leads de campaña PRVE'!B:D,3,0),(VLOOKUP(C44,'Leads Sf Origen webDetailers Hs'!A:C,3,0))),"NA")</f>
        <v>NA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4" t="str">
        <f>'Miembros de campaña PRVE'!C45</f>
        <v>4698@ingenieriaconforma.com</v>
      </c>
      <c r="B45" s="33"/>
      <c r="C45" s="12" t="str">
        <f>IFERROR(__xludf.DUMMYFUNCTION("""COMPUTED_VALUE"""),"4698@ingenieriaconforma.com")</f>
        <v>4698@ingenieriaconforma.com</v>
      </c>
      <c r="D45" s="12" t="str">
        <f>IFNA(VLOOKUP(C45,'Miembros de campaña PRVE'!C:E,3,0),"NA")</f>
        <v>Contacto</v>
      </c>
      <c r="E45" s="35">
        <f>IFNA(IFNA(VLOOKUP(C45,'Miembros de campaña PRVE'!C:D,2,0),(VLOOKUP(C45,'SIC - FLOW! - Solicitudes BOFU '!B:C,2,0))),"")</f>
        <v>44012</v>
      </c>
      <c r="F45" s="12" t="str">
        <f>IFNA(IFNA(VLOOKUP(C45,'Estado de leads de campaña PRVE'!B:D,3,0),(VLOOKUP(C45,'Leads Sf Origen webDetailers Hs'!A:C,3,0))),"NA")</f>
        <v>NA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4" t="str">
        <f>'Miembros de campaña PRVE'!C46</f>
        <v>4699@telefonica.net</v>
      </c>
      <c r="B46" s="33"/>
      <c r="C46" s="12" t="str">
        <f>IFERROR(__xludf.DUMMYFUNCTION("""COMPUTED_VALUE"""),"4699@telefonica.net")</f>
        <v>4699@telefonica.net</v>
      </c>
      <c r="D46" s="12" t="str">
        <f>IFNA(VLOOKUP(C46,'Miembros de campaña PRVE'!C:E,3,0),"NA")</f>
        <v>Contacto</v>
      </c>
      <c r="E46" s="35">
        <f>IFNA(IFNA(VLOOKUP(C46,'Miembros de campaña PRVE'!C:D,2,0),(VLOOKUP(C46,'SIC - FLOW! - Solicitudes BOFU '!B:C,2,0))),"")</f>
        <v>44012</v>
      </c>
      <c r="F46" s="12" t="str">
        <f>IFNA(IFNA(VLOOKUP(C46,'Estado de leads de campaña PRVE'!B:D,3,0),(VLOOKUP(C46,'Leads Sf Origen webDetailers Hs'!A:C,3,0))),"NA")</f>
        <v>NA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4" t="str">
        <f>'Miembros de campaña PRVE'!C47</f>
        <v>3240@gmail.com</v>
      </c>
      <c r="B47" s="33"/>
      <c r="C47" s="12" t="str">
        <f>IFERROR(__xludf.DUMMYFUNCTION("""COMPUTED_VALUE"""),"3240@gmail.com")</f>
        <v>3240@gmail.com</v>
      </c>
      <c r="D47" s="12" t="str">
        <f>IFNA(VLOOKUP(C47,'Miembros de campaña PRVE'!C:E,3,0),"NA")</f>
        <v>Contacto</v>
      </c>
      <c r="E47" s="35">
        <f>IFNA(IFNA(VLOOKUP(C47,'Miembros de campaña PRVE'!C:D,2,0),(VLOOKUP(C47,'SIC - FLOW! - Solicitudes BOFU '!B:C,2,0))),"")</f>
        <v>44012</v>
      </c>
      <c r="F47" s="12" t="str">
        <f>IFNA(IFNA(VLOOKUP(C47,'Estado de leads de campaña PRVE'!B:D,3,0),(VLOOKUP(C47,'Leads Sf Origen webDetailers Hs'!A:C,3,0))),"NA")</f>
        <v>Convertido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4" t="str">
        <f>'Miembros de campaña PRVE'!C48</f>
        <v>1233@hotmail.com</v>
      </c>
      <c r="B48" s="33"/>
      <c r="C48" s="12" t="str">
        <f>IFERROR(__xludf.DUMMYFUNCTION("""COMPUTED_VALUE"""),"1233@hotmail.com")</f>
        <v>1233@hotmail.com</v>
      </c>
      <c r="D48" s="12" t="str">
        <f>IFNA(VLOOKUP(C48,'Miembros de campaña PRVE'!C:E,3,0),"NA")</f>
        <v>Contacto</v>
      </c>
      <c r="E48" s="35">
        <f>IFNA(IFNA(VLOOKUP(C48,'Miembros de campaña PRVE'!C:D,2,0),(VLOOKUP(C48,'SIC - FLOW! - Solicitudes BOFU '!B:C,2,0))),"")</f>
        <v>44012</v>
      </c>
      <c r="F48" s="12" t="str">
        <f>IFNA(IFNA(VLOOKUP(C48,'Estado de leads de campaña PRVE'!B:D,3,0),(VLOOKUP(C48,'Leads Sf Origen webDetailers Hs'!A:C,3,0))),"NA")</f>
        <v>Convertido</v>
      </c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4" t="str">
        <f>'Miembros de campaña PRVE'!C49</f>
        <v>946@gmail.com</v>
      </c>
      <c r="B49" s="33"/>
      <c r="C49" s="12" t="str">
        <f>IFERROR(__xludf.DUMMYFUNCTION("""COMPUTED_VALUE"""),"946@gmail.com")</f>
        <v>946@gmail.com</v>
      </c>
      <c r="D49" s="12" t="str">
        <f>IFNA(VLOOKUP(C49,'Miembros de campaña PRVE'!C:E,3,0),"NA")</f>
        <v>Contacto</v>
      </c>
      <c r="E49" s="35">
        <f>IFNA(IFNA(VLOOKUP(C49,'Miembros de campaña PRVE'!C:D,2,0),(VLOOKUP(C49,'SIC - FLOW! - Solicitudes BOFU '!B:C,2,0))),"")</f>
        <v>44012</v>
      </c>
      <c r="F49" s="12" t="str">
        <f>IFNA(IFNA(VLOOKUP(C49,'Estado de leads de campaña PRVE'!B:D,3,0),(VLOOKUP(C49,'Leads Sf Origen webDetailers Hs'!A:C,3,0))),"NA")</f>
        <v>Convertido</v>
      </c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4" t="str">
        <f>'Miembros de campaña PRVE'!C50</f>
        <v>2278@gmail.com</v>
      </c>
      <c r="B50" s="33"/>
      <c r="C50" s="12" t="str">
        <f>IFERROR(__xludf.DUMMYFUNCTION("""COMPUTED_VALUE"""),"2278@gmail.com")</f>
        <v>2278@gmail.com</v>
      </c>
      <c r="D50" s="12" t="str">
        <f>IFNA(VLOOKUP(C50,'Miembros de campaña PRVE'!C:E,3,0),"NA")</f>
        <v>Lead</v>
      </c>
      <c r="E50" s="35">
        <f>IFNA(IFNA(VLOOKUP(C50,'Miembros de campaña PRVE'!C:D,2,0),(VLOOKUP(C50,'SIC - FLOW! - Solicitudes BOFU '!B:C,2,0))),"")</f>
        <v>44012</v>
      </c>
      <c r="F50" s="12" t="str">
        <f>IFNA(IFNA(VLOOKUP(C50,'Estado de leads de campaña PRVE'!B:D,3,0),(VLOOKUP(C50,'Leads Sf Origen webDetailers Hs'!A:C,3,0))),"NA")</f>
        <v>Descartado</v>
      </c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4" t="str">
        <f>'Miembros de campaña PRVE'!C51</f>
        <v>3148@gmail.com</v>
      </c>
      <c r="B51" s="33"/>
      <c r="C51" s="12" t="str">
        <f>IFERROR(__xludf.DUMMYFUNCTION("""COMPUTED_VALUE"""),"3148@gmail.com")</f>
        <v>3148@gmail.com</v>
      </c>
      <c r="D51" s="12" t="str">
        <f>IFNA(VLOOKUP(C51,'Miembros de campaña PRVE'!C:E,3,0),"NA")</f>
        <v>Lead</v>
      </c>
      <c r="E51" s="35">
        <f>IFNA(IFNA(VLOOKUP(C51,'Miembros de campaña PRVE'!C:D,2,0),(VLOOKUP(C51,'SIC - FLOW! - Solicitudes BOFU '!B:C,2,0))),"")</f>
        <v>44012</v>
      </c>
      <c r="F51" s="12" t="str">
        <f>IFNA(IFNA(VLOOKUP(C51,'Estado de leads de campaña PRVE'!B:D,3,0),(VLOOKUP(C51,'Leads Sf Origen webDetailers Hs'!A:C,3,0))),"NA")</f>
        <v>Descartado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4" t="str">
        <f>'Miembros de campaña PRVE'!C52</f>
        <v>802@hotmail.com</v>
      </c>
      <c r="B52" s="33"/>
      <c r="C52" s="12" t="str">
        <f>IFERROR(__xludf.DUMMYFUNCTION("""COMPUTED_VALUE"""),"802@hotmail.com")</f>
        <v>802@hotmail.com</v>
      </c>
      <c r="D52" s="12" t="str">
        <f>IFNA(VLOOKUP(C52,'Miembros de campaña PRVE'!C:E,3,0),"NA")</f>
        <v>Lead</v>
      </c>
      <c r="E52" s="35">
        <f>IFNA(IFNA(VLOOKUP(C52,'Miembros de campaña PRVE'!C:D,2,0),(VLOOKUP(C52,'SIC - FLOW! - Solicitudes BOFU '!B:C,2,0))),"")</f>
        <v>44012</v>
      </c>
      <c r="F52" s="12" t="str">
        <f>IFNA(IFNA(VLOOKUP(C52,'Estado de leads de campaña PRVE'!B:D,3,0),(VLOOKUP(C52,'Leads Sf Origen webDetailers Hs'!A:C,3,0))),"NA")</f>
        <v>Nuevo</v>
      </c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4" t="str">
        <f>'Miembros de campaña PRVE'!C53</f>
        <v>4700@grupoacm.es</v>
      </c>
      <c r="B53" s="33"/>
      <c r="C53" s="12" t="str">
        <f>IFERROR(__xludf.DUMMYFUNCTION("""COMPUTED_VALUE"""),"4700@grupoacm.es")</f>
        <v>4700@grupoacm.es</v>
      </c>
      <c r="D53" s="12" t="str">
        <f>IFNA(VLOOKUP(C53,'Miembros de campaña PRVE'!C:E,3,0),"NA")</f>
        <v>Contacto</v>
      </c>
      <c r="E53" s="35">
        <f>IFNA(IFNA(VLOOKUP(C53,'Miembros de campaña PRVE'!C:D,2,0),(VLOOKUP(C53,'SIC - FLOW! - Solicitudes BOFU '!B:C,2,0))),"")</f>
        <v>44012</v>
      </c>
      <c r="F53" s="12" t="str">
        <f>IFNA(IFNA(VLOOKUP(C53,'Estado de leads de campaña PRVE'!B:D,3,0),(VLOOKUP(C53,'Leads Sf Origen webDetailers Hs'!A:C,3,0))),"NA")</f>
        <v>NA</v>
      </c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4" t="str">
        <f>'Miembros de campaña PRVE'!C54</f>
        <v>1593@gmail.com</v>
      </c>
      <c r="B54" s="33"/>
      <c r="C54" s="12" t="str">
        <f>IFERROR(__xludf.DUMMYFUNCTION("""COMPUTED_VALUE"""),"1593@gmail.com")</f>
        <v>1593@gmail.com</v>
      </c>
      <c r="D54" s="12" t="str">
        <f>IFNA(VLOOKUP(C54,'Miembros de campaña PRVE'!C:E,3,0),"NA")</f>
        <v>Contacto</v>
      </c>
      <c r="E54" s="35">
        <f>IFNA(IFNA(VLOOKUP(C54,'Miembros de campaña PRVE'!C:D,2,0),(VLOOKUP(C54,'SIC - FLOW! - Solicitudes BOFU '!B:C,2,0))),"")</f>
        <v>44012</v>
      </c>
      <c r="F54" s="12" t="str">
        <f>IFNA(IFNA(VLOOKUP(C54,'Estado de leads de campaña PRVE'!B:D,3,0),(VLOOKUP(C54,'Leads Sf Origen webDetailers Hs'!A:C,3,0))),"NA")</f>
        <v>NA</v>
      </c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4" t="str">
        <f>'Miembros de campaña PRVE'!C55</f>
        <v>4701@coiim.es</v>
      </c>
      <c r="B55" s="33"/>
      <c r="C55" s="12" t="str">
        <f>IFERROR(__xludf.DUMMYFUNCTION("""COMPUTED_VALUE"""),"4701@coiim.es")</f>
        <v>4701@coiim.es</v>
      </c>
      <c r="D55" s="12" t="str">
        <f>IFNA(VLOOKUP(C55,'Miembros de campaña PRVE'!C:E,3,0),"NA")</f>
        <v>Contacto</v>
      </c>
      <c r="E55" s="35">
        <f>IFNA(IFNA(VLOOKUP(C55,'Miembros de campaña PRVE'!C:D,2,0),(VLOOKUP(C55,'SIC - FLOW! - Solicitudes BOFU '!B:C,2,0))),"")</f>
        <v>44012</v>
      </c>
      <c r="F55" s="12" t="str">
        <f>IFNA(IFNA(VLOOKUP(C55,'Estado de leads de campaña PRVE'!B:D,3,0),(VLOOKUP(C55,'Leads Sf Origen webDetailers Hs'!A:C,3,0))),"NA")</f>
        <v>NA</v>
      </c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4" t="str">
        <f>'Miembros de campaña PRVE'!C56</f>
        <v>416@dominguezelectricidad.es</v>
      </c>
      <c r="B56" s="33"/>
      <c r="C56" s="12" t="str">
        <f>IFERROR(__xludf.DUMMYFUNCTION("""COMPUTED_VALUE"""),"416@dominguezelectricidad.es")</f>
        <v>416@dominguezelectricidad.es</v>
      </c>
      <c r="D56" s="12" t="str">
        <f>IFNA(VLOOKUP(C56,'Miembros de campaña PRVE'!C:E,3,0),"NA")</f>
        <v>Contacto</v>
      </c>
      <c r="E56" s="35">
        <f>IFNA(IFNA(VLOOKUP(C56,'Miembros de campaña PRVE'!C:D,2,0),(VLOOKUP(C56,'SIC - FLOW! - Solicitudes BOFU '!B:C,2,0))),"")</f>
        <v>44012</v>
      </c>
      <c r="F56" s="12" t="str">
        <f>IFNA(IFNA(VLOOKUP(C56,'Estado de leads de campaña PRVE'!B:D,3,0),(VLOOKUP(C56,'Leads Sf Origen webDetailers Hs'!A:C,3,0))),"NA")</f>
        <v>Convertido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4" t="str">
        <f>'Miembros de campaña PRVE'!C57</f>
        <v>735@serveiskronier55.com</v>
      </c>
      <c r="B57" s="33"/>
      <c r="C57" s="12" t="str">
        <f>IFERROR(__xludf.DUMMYFUNCTION("""COMPUTED_VALUE"""),"735@serveiskronier55.com")</f>
        <v>735@serveiskronier55.com</v>
      </c>
      <c r="D57" s="12" t="str">
        <f>IFNA(VLOOKUP(C57,'Miembros de campaña PRVE'!C:E,3,0),"NA")</f>
        <v>Contacto</v>
      </c>
      <c r="E57" s="35">
        <f>IFNA(IFNA(VLOOKUP(C57,'Miembros de campaña PRVE'!C:D,2,0),(VLOOKUP(C57,'SIC - FLOW! - Solicitudes BOFU '!B:C,2,0))),"")</f>
        <v>44012</v>
      </c>
      <c r="F57" s="12" t="str">
        <f>IFNA(IFNA(VLOOKUP(C57,'Estado de leads de campaña PRVE'!B:D,3,0),(VLOOKUP(C57,'Leads Sf Origen webDetailers Hs'!A:C,3,0))),"NA")</f>
        <v>Convertido</v>
      </c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4" t="str">
        <f>'Miembros de campaña PRVE'!C58</f>
        <v>1756@gmail.com</v>
      </c>
      <c r="B58" s="33"/>
      <c r="C58" s="12" t="str">
        <f>IFERROR(__xludf.DUMMYFUNCTION("""COMPUTED_VALUE"""),"1756@gmail.com")</f>
        <v>1756@gmail.com</v>
      </c>
      <c r="D58" s="12" t="str">
        <f>IFNA(VLOOKUP(C58,'Miembros de campaña PRVE'!C:E,3,0),"NA")</f>
        <v>Lead</v>
      </c>
      <c r="E58" s="35">
        <f>IFNA(IFNA(VLOOKUP(C58,'Miembros de campaña PRVE'!C:D,2,0),(VLOOKUP(C58,'SIC - FLOW! - Solicitudes BOFU '!B:C,2,0))),"")</f>
        <v>44012</v>
      </c>
      <c r="F58" s="12" t="str">
        <f>IFNA(IFNA(VLOOKUP(C58,'Estado de leads de campaña PRVE'!B:D,3,0),(VLOOKUP(C58,'Leads Sf Origen webDetailers Hs'!A:C,3,0))),"NA")</f>
        <v>Descartado</v>
      </c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4" t="str">
        <f>'Miembros de campaña PRVE'!C59</f>
        <v>4702@hotmail.com</v>
      </c>
      <c r="B59" s="33"/>
      <c r="C59" s="12" t="str">
        <f>IFERROR(__xludf.DUMMYFUNCTION("""COMPUTED_VALUE"""),"4702@hotmail.com")</f>
        <v>4702@hotmail.com</v>
      </c>
      <c r="D59" s="12" t="str">
        <f>IFNA(VLOOKUP(C59,'Miembros de campaña PRVE'!C:E,3,0),"NA")</f>
        <v>Lead</v>
      </c>
      <c r="E59" s="35">
        <f>IFNA(IFNA(VLOOKUP(C59,'Miembros de campaña PRVE'!C:D,2,0),(VLOOKUP(C59,'SIC - FLOW! - Solicitudes BOFU '!B:C,2,0))),"")</f>
        <v>44012</v>
      </c>
      <c r="F59" s="12" t="str">
        <f>IFNA(IFNA(VLOOKUP(C59,'Estado de leads de campaña PRVE'!B:D,3,0),(VLOOKUP(C59,'Leads Sf Origen webDetailers Hs'!A:C,3,0))),"NA")</f>
        <v>Descartado</v>
      </c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4" t="str">
        <f>'Miembros de campaña PRVE'!C60</f>
        <v>4703@gmail.com</v>
      </c>
      <c r="B60" s="33"/>
      <c r="C60" s="12" t="str">
        <f>IFERROR(__xludf.DUMMYFUNCTION("""COMPUTED_VALUE"""),"4703@gmail.com")</f>
        <v>4703@gmail.com</v>
      </c>
      <c r="D60" s="12" t="str">
        <f>IFNA(VLOOKUP(C60,'Miembros de campaña PRVE'!C:E,3,0),"NA")</f>
        <v>Lead</v>
      </c>
      <c r="E60" s="35">
        <f>IFNA(IFNA(VLOOKUP(C60,'Miembros de campaña PRVE'!C:D,2,0),(VLOOKUP(C60,'SIC - FLOW! - Solicitudes BOFU '!B:C,2,0))),"")</f>
        <v>44012</v>
      </c>
      <c r="F60" s="12" t="str">
        <f>IFNA(IFNA(VLOOKUP(C60,'Estado de leads de campaña PRVE'!B:D,3,0),(VLOOKUP(C60,'Leads Sf Origen webDetailers Hs'!A:C,3,0))),"NA")</f>
        <v>Descartado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4" t="str">
        <f>'Miembros de campaña PRVE'!C61</f>
        <v>4704@gruponovelec.com</v>
      </c>
      <c r="B61" s="33"/>
      <c r="C61" s="12" t="str">
        <f>IFERROR(__xludf.DUMMYFUNCTION("""COMPUTED_VALUE"""),"4704@gruponovelec.com")</f>
        <v>4704@gruponovelec.com</v>
      </c>
      <c r="D61" s="12" t="str">
        <f>IFNA(VLOOKUP(C61,'Miembros de campaña PRVE'!C:E,3,0),"NA")</f>
        <v>Lead</v>
      </c>
      <c r="E61" s="35">
        <f>IFNA(IFNA(VLOOKUP(C61,'Miembros de campaña PRVE'!C:D,2,0),(VLOOKUP(C61,'SIC - FLOW! - Solicitudes BOFU '!B:C,2,0))),"")</f>
        <v>44012</v>
      </c>
      <c r="F61" s="12" t="str">
        <f>IFNA(IFNA(VLOOKUP(C61,'Estado de leads de campaña PRVE'!B:D,3,0),(VLOOKUP(C61,'Leads Sf Origen webDetailers Hs'!A:C,3,0))),"NA")</f>
        <v>Descartado</v>
      </c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4" t="str">
        <f>'Miembros de campaña PRVE'!C62</f>
        <v>2983@hotmail.com</v>
      </c>
      <c r="B62" s="33"/>
      <c r="C62" s="12" t="str">
        <f>IFERROR(__xludf.DUMMYFUNCTION("""COMPUTED_VALUE"""),"2983@hotmail.com")</f>
        <v>2983@hotmail.com</v>
      </c>
      <c r="D62" s="12" t="str">
        <f>IFNA(VLOOKUP(C62,'Miembros de campaña PRVE'!C:E,3,0),"NA")</f>
        <v>Lead</v>
      </c>
      <c r="E62" s="35">
        <f>IFNA(IFNA(VLOOKUP(C62,'Miembros de campaña PRVE'!C:D,2,0),(VLOOKUP(C62,'SIC - FLOW! - Solicitudes BOFU '!B:C,2,0))),"")</f>
        <v>44012</v>
      </c>
      <c r="F62" s="12" t="str">
        <f>IFNA(IFNA(VLOOKUP(C62,'Estado de leads de campaña PRVE'!B:D,3,0),(VLOOKUP(C62,'Leads Sf Origen webDetailers Hs'!A:C,3,0))),"NA")</f>
        <v>Descartado</v>
      </c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4" t="str">
        <f>'Miembros de campaña PRVE'!C63</f>
        <v>3322@gmail.com</v>
      </c>
      <c r="B63" s="33"/>
      <c r="C63" s="12" t="str">
        <f>IFERROR(__xludf.DUMMYFUNCTION("""COMPUTED_VALUE"""),"3322@gmail.com")</f>
        <v>3322@gmail.com</v>
      </c>
      <c r="D63" s="12" t="str">
        <f>IFNA(VLOOKUP(C63,'Miembros de campaña PRVE'!C:E,3,0),"NA")</f>
        <v>Lead</v>
      </c>
      <c r="E63" s="35">
        <f>IFNA(IFNA(VLOOKUP(C63,'Miembros de campaña PRVE'!C:D,2,0),(VLOOKUP(C63,'SIC - FLOW! - Solicitudes BOFU '!B:C,2,0))),"")</f>
        <v>44012</v>
      </c>
      <c r="F63" s="12" t="str">
        <f>IFNA(IFNA(VLOOKUP(C63,'Estado de leads de campaña PRVE'!B:D,3,0),(VLOOKUP(C63,'Leads Sf Origen webDetailers Hs'!A:C,3,0))),"NA")</f>
        <v>Descartado</v>
      </c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4" t="str">
        <f>'Miembros de campaña PRVE'!C64</f>
        <v>2828@coaatz.org</v>
      </c>
      <c r="B64" s="33"/>
      <c r="C64" s="12" t="str">
        <f>IFERROR(__xludf.DUMMYFUNCTION("""COMPUTED_VALUE"""),"2828@coaatz.org")</f>
        <v>2828@coaatz.org</v>
      </c>
      <c r="D64" s="12" t="str">
        <f>IFNA(VLOOKUP(C64,'Miembros de campaña PRVE'!C:E,3,0),"NA")</f>
        <v>Lead</v>
      </c>
      <c r="E64" s="35">
        <f>IFNA(IFNA(VLOOKUP(C64,'Miembros de campaña PRVE'!C:D,2,0),(VLOOKUP(C64,'SIC - FLOW! - Solicitudes BOFU '!B:C,2,0))),"")</f>
        <v>44012</v>
      </c>
      <c r="F64" s="12" t="str">
        <f>IFNA(IFNA(VLOOKUP(C64,'Estado de leads de campaña PRVE'!B:D,3,0),(VLOOKUP(C64,'Leads Sf Origen webDetailers Hs'!A:C,3,0))),"NA")</f>
        <v>Descartado</v>
      </c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4" t="str">
        <f>'Miembros de campaña PRVE'!C65</f>
        <v>649@yahoo.es</v>
      </c>
      <c r="B65" s="33"/>
      <c r="C65" s="12" t="str">
        <f>IFERROR(__xludf.DUMMYFUNCTION("""COMPUTED_VALUE"""),"649@yahoo.es")</f>
        <v>649@yahoo.es</v>
      </c>
      <c r="D65" s="12" t="str">
        <f>IFNA(VLOOKUP(C65,'Miembros de campaña PRVE'!C:E,3,0),"NA")</f>
        <v>Lead</v>
      </c>
      <c r="E65" s="35">
        <f>IFNA(IFNA(VLOOKUP(C65,'Miembros de campaña PRVE'!C:D,2,0),(VLOOKUP(C65,'SIC - FLOW! - Solicitudes BOFU '!B:C,2,0))),"")</f>
        <v>44012</v>
      </c>
      <c r="F65" s="12" t="str">
        <f>IFNA(IFNA(VLOOKUP(C65,'Estado de leads de campaña PRVE'!B:D,3,0),(VLOOKUP(C65,'Leads Sf Origen webDetailers Hs'!A:C,3,0))),"NA")</f>
        <v>Nuevo</v>
      </c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4" t="str">
        <f>'Miembros de campaña PRVE'!C66</f>
        <v>2679@hotmail.com</v>
      </c>
      <c r="B66" s="33"/>
      <c r="C66" s="12" t="str">
        <f>IFERROR(__xludf.DUMMYFUNCTION("""COMPUTED_VALUE"""),"2679@hotmail.com")</f>
        <v>2679@hotmail.com</v>
      </c>
      <c r="D66" s="12" t="str">
        <f>IFNA(VLOOKUP(C66,'Miembros de campaña PRVE'!C:E,3,0),"NA")</f>
        <v>Lead</v>
      </c>
      <c r="E66" s="35">
        <f>IFNA(IFNA(VLOOKUP(C66,'Miembros de campaña PRVE'!C:D,2,0),(VLOOKUP(C66,'SIC - FLOW! - Solicitudes BOFU '!B:C,2,0))),"")</f>
        <v>44012</v>
      </c>
      <c r="F66" s="12" t="str">
        <f>IFNA(IFNA(VLOOKUP(C66,'Estado de leads de campaña PRVE'!B:D,3,0),(VLOOKUP(C66,'Leads Sf Origen webDetailers Hs'!A:C,3,0))),"NA")</f>
        <v>Descartado</v>
      </c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4" t="str">
        <f>'Miembros de campaña PRVE'!C67</f>
        <v>2966@gmail.com</v>
      </c>
      <c r="B67" s="33"/>
      <c r="C67" s="12" t="str">
        <f>IFERROR(__xludf.DUMMYFUNCTION("""COMPUTED_VALUE"""),"2966@gmail.com")</f>
        <v>2966@gmail.com</v>
      </c>
      <c r="D67" s="12" t="str">
        <f>IFNA(VLOOKUP(C67,'Miembros de campaña PRVE'!C:E,3,0),"NA")</f>
        <v>Lead</v>
      </c>
      <c r="E67" s="35">
        <f>IFNA(IFNA(VLOOKUP(C67,'Miembros de campaña PRVE'!C:D,2,0),(VLOOKUP(C67,'SIC - FLOW! - Solicitudes BOFU '!B:C,2,0))),"")</f>
        <v>44012</v>
      </c>
      <c r="F67" s="12" t="str">
        <f>IFNA(IFNA(VLOOKUP(C67,'Estado de leads de campaña PRVE'!B:D,3,0),(VLOOKUP(C67,'Leads Sf Origen webDetailers Hs'!A:C,3,0))),"NA")</f>
        <v>Descartado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4" t="str">
        <f>'Miembros de campaña PRVE'!C68</f>
        <v>1235@gmail.com</v>
      </c>
      <c r="B68" s="33"/>
      <c r="C68" s="12" t="str">
        <f>IFERROR(__xludf.DUMMYFUNCTION("""COMPUTED_VALUE"""),"1235@gmail.com")</f>
        <v>1235@gmail.com</v>
      </c>
      <c r="D68" s="12" t="str">
        <f>IFNA(VLOOKUP(C68,'Miembros de campaña PRVE'!C:E,3,0),"NA")</f>
        <v>Lead</v>
      </c>
      <c r="E68" s="35">
        <f>IFNA(IFNA(VLOOKUP(C68,'Miembros de campaña PRVE'!C:D,2,0),(VLOOKUP(C68,'SIC - FLOW! - Solicitudes BOFU '!B:C,2,0))),"")</f>
        <v>44012</v>
      </c>
      <c r="F68" s="12" t="str">
        <f>IFNA(IFNA(VLOOKUP(C68,'Estado de leads de campaña PRVE'!B:D,3,0),(VLOOKUP(C68,'Leads Sf Origen webDetailers Hs'!A:C,3,0))),"NA")</f>
        <v>Descartado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4" t="str">
        <f>'Miembros de campaña PRVE'!C69</f>
        <v>3989@gmail.com</v>
      </c>
      <c r="B69" s="33"/>
      <c r="C69" s="12" t="str">
        <f>IFERROR(__xludf.DUMMYFUNCTION("""COMPUTED_VALUE"""),"3989@gmail.com")</f>
        <v>3989@gmail.com</v>
      </c>
      <c r="D69" s="12" t="str">
        <f>IFNA(VLOOKUP(C69,'Miembros de campaña PRVE'!C:E,3,0),"NA")</f>
        <v>Lead</v>
      </c>
      <c r="E69" s="35">
        <f>IFNA(IFNA(VLOOKUP(C69,'Miembros de campaña PRVE'!C:D,2,0),(VLOOKUP(C69,'SIC - FLOW! - Solicitudes BOFU '!B:C,2,0))),"")</f>
        <v>44012</v>
      </c>
      <c r="F69" s="12" t="str">
        <f>IFNA(IFNA(VLOOKUP(C69,'Estado de leads de campaña PRVE'!B:D,3,0),(VLOOKUP(C69,'Leads Sf Origen webDetailers Hs'!A:C,3,0))),"NA")</f>
        <v>Descartado</v>
      </c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4" t="str">
        <f>'Miembros de campaña PRVE'!C70</f>
        <v>207@tecnicasyrecursos.com</v>
      </c>
      <c r="B70" s="33"/>
      <c r="C70" s="12" t="str">
        <f>IFERROR(__xludf.DUMMYFUNCTION("""COMPUTED_VALUE"""),"207@tecnicasyrecursos.com")</f>
        <v>207@tecnicasyrecursos.com</v>
      </c>
      <c r="D70" s="12" t="str">
        <f>IFNA(VLOOKUP(C70,'Miembros de campaña PRVE'!C:E,3,0),"NA")</f>
        <v>Lead</v>
      </c>
      <c r="E70" s="35">
        <f>IFNA(IFNA(VLOOKUP(C70,'Miembros de campaña PRVE'!C:D,2,0),(VLOOKUP(C70,'SIC - FLOW! - Solicitudes BOFU '!B:C,2,0))),"")</f>
        <v>44012</v>
      </c>
      <c r="F70" s="12" t="str">
        <f>IFNA(IFNA(VLOOKUP(C70,'Estado de leads de campaña PRVE'!B:D,3,0),(VLOOKUP(C70,'Leads Sf Origen webDetailers Hs'!A:C,3,0))),"NA")</f>
        <v>Descartado</v>
      </c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4" t="str">
        <f>'Miembros de campaña PRVE'!C71</f>
        <v>3025@ingenierosvigo.com</v>
      </c>
      <c r="B71" s="33"/>
      <c r="C71" s="12" t="str">
        <f>IFERROR(__xludf.DUMMYFUNCTION("""COMPUTED_VALUE"""),"3025@ingenierosvigo.com")</f>
        <v>3025@ingenierosvigo.com</v>
      </c>
      <c r="D71" s="12" t="str">
        <f>IFNA(VLOOKUP(C71,'Miembros de campaña PRVE'!C:E,3,0),"NA")</f>
        <v>Lead</v>
      </c>
      <c r="E71" s="35">
        <f>IFNA(IFNA(VLOOKUP(C71,'Miembros de campaña PRVE'!C:D,2,0),(VLOOKUP(C71,'SIC - FLOW! - Solicitudes BOFU '!B:C,2,0))),"")</f>
        <v>44012</v>
      </c>
      <c r="F71" s="12" t="str">
        <f>IFNA(IFNA(VLOOKUP(C71,'Estado de leads de campaña PRVE'!B:D,3,0),(VLOOKUP(C71,'Leads Sf Origen webDetailers Hs'!A:C,3,0))),"NA")</f>
        <v>Descartado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4" t="str">
        <f>'Miembros de campaña PRVE'!C72</f>
        <v>4705@jssassociats.com</v>
      </c>
      <c r="B72" s="33"/>
      <c r="C72" s="12" t="str">
        <f>IFERROR(__xludf.DUMMYFUNCTION("""COMPUTED_VALUE"""),"4705@jssassociats.com")</f>
        <v>4705@jssassociats.com</v>
      </c>
      <c r="D72" s="12" t="str">
        <f>IFNA(VLOOKUP(C72,'Miembros de campaña PRVE'!C:E,3,0),"NA")</f>
        <v>Contacto</v>
      </c>
      <c r="E72" s="35">
        <f>IFNA(IFNA(VLOOKUP(C72,'Miembros de campaña PRVE'!C:D,2,0),(VLOOKUP(C72,'SIC - FLOW! - Solicitudes BOFU '!B:C,2,0))),"")</f>
        <v>44012</v>
      </c>
      <c r="F72" s="12" t="str">
        <f>IFNA(IFNA(VLOOKUP(C72,'Estado de leads de campaña PRVE'!B:D,3,0),(VLOOKUP(C72,'Leads Sf Origen webDetailers Hs'!A:C,3,0))),"NA")</f>
        <v>NA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4" t="str">
        <f>'Miembros de campaña PRVE'!C73</f>
        <v>4706@construccionesalma.com</v>
      </c>
      <c r="B73" s="33"/>
      <c r="C73" s="12" t="str">
        <f>IFERROR(__xludf.DUMMYFUNCTION("""COMPUTED_VALUE"""),"4706@construccionesalma.com")</f>
        <v>4706@construccionesalma.com</v>
      </c>
      <c r="D73" s="12" t="str">
        <f>IFNA(VLOOKUP(C73,'Miembros de campaña PRVE'!C:E,3,0),"NA")</f>
        <v>Contacto</v>
      </c>
      <c r="E73" s="35">
        <f>IFNA(IFNA(VLOOKUP(C73,'Miembros de campaña PRVE'!C:D,2,0),(VLOOKUP(C73,'SIC - FLOW! - Solicitudes BOFU '!B:C,2,0))),"")</f>
        <v>44012</v>
      </c>
      <c r="F73" s="12" t="str">
        <f>IFNA(IFNA(VLOOKUP(C73,'Estado de leads de campaña PRVE'!B:D,3,0),(VLOOKUP(C73,'Leads Sf Origen webDetailers Hs'!A:C,3,0))),"NA")</f>
        <v>NA</v>
      </c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4" t="str">
        <f>'Miembros de campaña PRVE'!C74</f>
        <v>1826@gestionservicios.com</v>
      </c>
      <c r="B74" s="33"/>
      <c r="C74" s="12" t="str">
        <f>IFERROR(__xludf.DUMMYFUNCTION("""COMPUTED_VALUE"""),"1826@gestionservicios.com")</f>
        <v>1826@gestionservicios.com</v>
      </c>
      <c r="D74" s="12" t="str">
        <f>IFNA(VLOOKUP(C74,'Miembros de campaña PRVE'!C:E,3,0),"NA")</f>
        <v>Contacto</v>
      </c>
      <c r="E74" s="35">
        <f>IFNA(IFNA(VLOOKUP(C74,'Miembros de campaña PRVE'!C:D,2,0),(VLOOKUP(C74,'SIC - FLOW! - Solicitudes BOFU '!B:C,2,0))),"")</f>
        <v>44012</v>
      </c>
      <c r="F74" s="12" t="str">
        <f>IFNA(IFNA(VLOOKUP(C74,'Estado de leads de campaña PRVE'!B:D,3,0),(VLOOKUP(C74,'Leads Sf Origen webDetailers Hs'!A:C,3,0))),"NA")</f>
        <v>NA</v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4" t="str">
        <f>'Miembros de campaña PRVE'!C75</f>
        <v>3033@gmail.com</v>
      </c>
      <c r="B75" s="33"/>
      <c r="C75" s="12" t="str">
        <f>IFERROR(__xludf.DUMMYFUNCTION("""COMPUTED_VALUE"""),"3033@gmail.com")</f>
        <v>3033@gmail.com</v>
      </c>
      <c r="D75" s="12" t="str">
        <f>IFNA(VLOOKUP(C75,'Miembros de campaña PRVE'!C:E,3,0),"NA")</f>
        <v>Contacto</v>
      </c>
      <c r="E75" s="35">
        <f>IFNA(IFNA(VLOOKUP(C75,'Miembros de campaña PRVE'!C:D,2,0),(VLOOKUP(C75,'SIC - FLOW! - Solicitudes BOFU '!B:C,2,0))),"")</f>
        <v>44012</v>
      </c>
      <c r="F75" s="12" t="str">
        <f>IFNA(IFNA(VLOOKUP(C75,'Estado de leads de campaña PRVE'!B:D,3,0),(VLOOKUP(C75,'Leads Sf Origen webDetailers Hs'!A:C,3,0))),"NA")</f>
        <v>NA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4" t="str">
        <f>'Miembros de campaña PRVE'!C76</f>
        <v>4707@ilumarket.com.mx</v>
      </c>
      <c r="B76" s="33"/>
      <c r="C76" s="12" t="str">
        <f>IFERROR(__xludf.DUMMYFUNCTION("""COMPUTED_VALUE"""),"4707@ilumarket.com.mx")</f>
        <v>4707@ilumarket.com.mx</v>
      </c>
      <c r="D76" s="12" t="str">
        <f>IFNA(VLOOKUP(C76,'Miembros de campaña PRVE'!C:E,3,0),"NA")</f>
        <v>Lead</v>
      </c>
      <c r="E76" s="35">
        <f>IFNA(IFNA(VLOOKUP(C76,'Miembros de campaña PRVE'!C:D,2,0),(VLOOKUP(C76,'SIC - FLOW! - Solicitudes BOFU '!B:C,2,0))),"")</f>
        <v>44012</v>
      </c>
      <c r="F76" s="12" t="str">
        <f>IFNA(IFNA(VLOOKUP(C76,'Estado de leads de campaña PRVE'!B:D,3,0),(VLOOKUP(C76,'Leads Sf Origen webDetailers Hs'!A:C,3,0))),"NA")</f>
        <v>NA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4" t="str">
        <f>'Miembros de campaña PRVE'!C77</f>
        <v>4708@logrosan.es</v>
      </c>
      <c r="B77" s="33"/>
      <c r="C77" s="12" t="str">
        <f>IFERROR(__xludf.DUMMYFUNCTION("""COMPUTED_VALUE"""),"4708@logrosan.es")</f>
        <v>4708@logrosan.es</v>
      </c>
      <c r="D77" s="12" t="str">
        <f>IFNA(VLOOKUP(C77,'Miembros de campaña PRVE'!C:E,3,0),"NA")</f>
        <v>Lead</v>
      </c>
      <c r="E77" s="35">
        <f>IFNA(IFNA(VLOOKUP(C77,'Miembros de campaña PRVE'!C:D,2,0),(VLOOKUP(C77,'SIC - FLOW! - Solicitudes BOFU '!B:C,2,0))),"")</f>
        <v>44012</v>
      </c>
      <c r="F77" s="12" t="str">
        <f>IFNA(IFNA(VLOOKUP(C77,'Estado de leads de campaña PRVE'!B:D,3,0),(VLOOKUP(C77,'Leads Sf Origen webDetailers Hs'!A:C,3,0))),"NA")</f>
        <v>Descartado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4" t="str">
        <f>'Miembros de campaña PRVE'!C78</f>
        <v>4709@gmail.com</v>
      </c>
      <c r="B78" s="33"/>
      <c r="C78" s="12" t="str">
        <f>IFERROR(__xludf.DUMMYFUNCTION("""COMPUTED_VALUE"""),"4709@gmail.com")</f>
        <v>4709@gmail.com</v>
      </c>
      <c r="D78" s="12" t="str">
        <f>IFNA(VLOOKUP(C78,'Miembros de campaña PRVE'!C:E,3,0),"NA")</f>
        <v>Lead</v>
      </c>
      <c r="E78" s="35">
        <f>IFNA(IFNA(VLOOKUP(C78,'Miembros de campaña PRVE'!C:D,2,0),(VLOOKUP(C78,'SIC - FLOW! - Solicitudes BOFU '!B:C,2,0))),"")</f>
        <v>44012</v>
      </c>
      <c r="F78" s="12" t="str">
        <f>IFNA(IFNA(VLOOKUP(C78,'Estado de leads de campaña PRVE'!B:D,3,0),(VLOOKUP(C78,'Leads Sf Origen webDetailers Hs'!A:C,3,0))),"NA")</f>
        <v>NA</v>
      </c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4" t="str">
        <f>'Miembros de campaña PRVE'!C79</f>
        <v>4710@hotmail.com</v>
      </c>
      <c r="B79" s="33"/>
      <c r="C79" s="12" t="str">
        <f>IFERROR(__xludf.DUMMYFUNCTION("""COMPUTED_VALUE"""),"4710@hotmail.com")</f>
        <v>4710@hotmail.com</v>
      </c>
      <c r="D79" s="12" t="str">
        <f>IFNA(VLOOKUP(C79,'Miembros de campaña PRVE'!C:E,3,0),"NA")</f>
        <v>Lead</v>
      </c>
      <c r="E79" s="35">
        <f>IFNA(IFNA(VLOOKUP(C79,'Miembros de campaña PRVE'!C:D,2,0),(VLOOKUP(C79,'SIC - FLOW! - Solicitudes BOFU '!B:C,2,0))),"")</f>
        <v>44012</v>
      </c>
      <c r="F79" s="12" t="str">
        <f>IFNA(IFNA(VLOOKUP(C79,'Estado de leads de campaña PRVE'!B:D,3,0),(VLOOKUP(C79,'Leads Sf Origen webDetailers Hs'!A:C,3,0))),"NA")</f>
        <v>Nuevo</v>
      </c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4" t="str">
        <f>'Miembros de campaña PRVE'!C80</f>
        <v>623@gmail.com</v>
      </c>
      <c r="B80" s="33"/>
      <c r="C80" s="12" t="str">
        <f>IFERROR(__xludf.DUMMYFUNCTION("""COMPUTED_VALUE"""),"623@gmail.com")</f>
        <v>623@gmail.com</v>
      </c>
      <c r="D80" s="12" t="str">
        <f>IFNA(VLOOKUP(C80,'Miembros de campaña PRVE'!C:E,3,0),"NA")</f>
        <v>Contacto</v>
      </c>
      <c r="E80" s="35">
        <f>IFNA(IFNA(VLOOKUP(C80,'Miembros de campaña PRVE'!C:D,2,0),(VLOOKUP(C80,'SIC - FLOW! - Solicitudes BOFU '!B:C,2,0))),"")</f>
        <v>44012</v>
      </c>
      <c r="F80" s="12" t="str">
        <f>IFNA(IFNA(VLOOKUP(C80,'Estado de leads de campaña PRVE'!B:D,3,0),(VLOOKUP(C80,'Leads Sf Origen webDetailers Hs'!A:C,3,0))),"NA")</f>
        <v>NA</v>
      </c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4" t="str">
        <f>'Miembros de campaña PRVE'!C81</f>
        <v>4711@hotmail.com</v>
      </c>
      <c r="B81" s="33"/>
      <c r="C81" s="12" t="str">
        <f>IFERROR(__xludf.DUMMYFUNCTION("""COMPUTED_VALUE"""),"4711@hotmail.com")</f>
        <v>4711@hotmail.com</v>
      </c>
      <c r="D81" s="12" t="str">
        <f>IFNA(VLOOKUP(C81,'Miembros de campaña PRVE'!C:E,3,0),"NA")</f>
        <v>Contacto</v>
      </c>
      <c r="E81" s="35">
        <f>IFNA(IFNA(VLOOKUP(C81,'Miembros de campaña PRVE'!C:D,2,0),(VLOOKUP(C81,'SIC - FLOW! - Solicitudes BOFU '!B:C,2,0))),"")</f>
        <v>44012</v>
      </c>
      <c r="F81" s="12" t="str">
        <f>IFNA(IFNA(VLOOKUP(C81,'Estado de leads de campaña PRVE'!B:D,3,0),(VLOOKUP(C81,'Leads Sf Origen webDetailers Hs'!A:C,3,0))),"NA")</f>
        <v>NA</v>
      </c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4" t="str">
        <f>'Miembros de campaña PRVE'!C82</f>
        <v>4712@yahoo.es</v>
      </c>
      <c r="B82" s="33"/>
      <c r="C82" s="12" t="str">
        <f>IFERROR(__xludf.DUMMYFUNCTION("""COMPUTED_VALUE"""),"4712@yahoo.es")</f>
        <v>4712@yahoo.es</v>
      </c>
      <c r="D82" s="12" t="str">
        <f>IFNA(VLOOKUP(C82,'Miembros de campaña PRVE'!C:E,3,0),"NA")</f>
        <v>Contacto</v>
      </c>
      <c r="E82" s="35">
        <f>IFNA(IFNA(VLOOKUP(C82,'Miembros de campaña PRVE'!C:D,2,0),(VLOOKUP(C82,'SIC - FLOW! - Solicitudes BOFU '!B:C,2,0))),"")</f>
        <v>44012</v>
      </c>
      <c r="F82" s="12" t="str">
        <f>IFNA(IFNA(VLOOKUP(C82,'Estado de leads de campaña PRVE'!B:D,3,0),(VLOOKUP(C82,'Leads Sf Origen webDetailers Hs'!A:C,3,0))),"NA")</f>
        <v>NA</v>
      </c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4" t="str">
        <f>'Miembros de campaña PRVE'!C83</f>
        <v>4713@enviroline.es</v>
      </c>
      <c r="B83" s="33"/>
      <c r="C83" s="12" t="str">
        <f>IFERROR(__xludf.DUMMYFUNCTION("""COMPUTED_VALUE"""),"4713@enviroline.es")</f>
        <v>4713@enviroline.es</v>
      </c>
      <c r="D83" s="12" t="str">
        <f>IFNA(VLOOKUP(C83,'Miembros de campaña PRVE'!C:E,3,0),"NA")</f>
        <v>Contacto</v>
      </c>
      <c r="E83" s="35">
        <f>IFNA(IFNA(VLOOKUP(C83,'Miembros de campaña PRVE'!C:D,2,0),(VLOOKUP(C83,'SIC - FLOW! - Solicitudes BOFU '!B:C,2,0))),"")</f>
        <v>44012</v>
      </c>
      <c r="F83" s="12" t="str">
        <f>IFNA(IFNA(VLOOKUP(C83,'Estado de leads de campaña PRVE'!B:D,3,0),(VLOOKUP(C83,'Leads Sf Origen webDetailers Hs'!A:C,3,0))),"NA")</f>
        <v>NA</v>
      </c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4" t="str">
        <f>'Miembros de campaña PRVE'!C84</f>
        <v>4714@gmail.com</v>
      </c>
      <c r="B84" s="33"/>
      <c r="C84" s="12" t="str">
        <f>IFERROR(__xludf.DUMMYFUNCTION("""COMPUTED_VALUE"""),"4714@gmail.com")</f>
        <v>4714@gmail.com</v>
      </c>
      <c r="D84" s="12" t="str">
        <f>IFNA(VLOOKUP(C84,'Miembros de campaña PRVE'!C:E,3,0),"NA")</f>
        <v>Lead</v>
      </c>
      <c r="E84" s="35">
        <f>IFNA(IFNA(VLOOKUP(C84,'Miembros de campaña PRVE'!C:D,2,0),(VLOOKUP(C84,'SIC - FLOW! - Solicitudes BOFU '!B:C,2,0))),"")</f>
        <v>44012</v>
      </c>
      <c r="F84" s="12" t="str">
        <f>IFNA(IFNA(VLOOKUP(C84,'Estado de leads de campaña PRVE'!B:D,3,0),(VLOOKUP(C84,'Leads Sf Origen webDetailers Hs'!A:C,3,0))),"NA")</f>
        <v>Descartado</v>
      </c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4" t="str">
        <f>'Miembros de campaña PRVE'!C85</f>
        <v>4715@chemacampos.com</v>
      </c>
      <c r="B85" s="33"/>
      <c r="C85" s="12" t="str">
        <f>IFERROR(__xludf.DUMMYFUNCTION("""COMPUTED_VALUE"""),"4715@chemacampos.com")</f>
        <v>4715@chemacampos.com</v>
      </c>
      <c r="D85" s="12" t="str">
        <f>IFNA(VLOOKUP(C85,'Miembros de campaña PRVE'!C:E,3,0),"NA")</f>
        <v>Lead</v>
      </c>
      <c r="E85" s="35">
        <f>IFNA(IFNA(VLOOKUP(C85,'Miembros de campaña PRVE'!C:D,2,0),(VLOOKUP(C85,'SIC - FLOW! - Solicitudes BOFU '!B:C,2,0))),"")</f>
        <v>44012</v>
      </c>
      <c r="F85" s="12" t="str">
        <f>IFNA(IFNA(VLOOKUP(C85,'Estado de leads de campaña PRVE'!B:D,3,0),(VLOOKUP(C85,'Leads Sf Origen webDetailers Hs'!A:C,3,0))),"NA")</f>
        <v>Descartado</v>
      </c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4" t="str">
        <f>'Miembros de campaña PRVE'!C86</f>
        <v>3139@coitt.es</v>
      </c>
      <c r="B86" s="33"/>
      <c r="C86" s="12" t="str">
        <f>IFERROR(__xludf.DUMMYFUNCTION("""COMPUTED_VALUE"""),"3139@coitt.es")</f>
        <v>3139@coitt.es</v>
      </c>
      <c r="D86" s="12" t="str">
        <f>IFNA(VLOOKUP(C86,'Miembros de campaña PRVE'!C:E,3,0),"NA")</f>
        <v>Lead</v>
      </c>
      <c r="E86" s="35">
        <f>IFNA(IFNA(VLOOKUP(C86,'Miembros de campaña PRVE'!C:D,2,0),(VLOOKUP(C86,'SIC - FLOW! - Solicitudes BOFU '!B:C,2,0))),"")</f>
        <v>44012</v>
      </c>
      <c r="F86" s="12" t="str">
        <f>IFNA(IFNA(VLOOKUP(C86,'Estado de leads de campaña PRVE'!B:D,3,0),(VLOOKUP(C86,'Leads Sf Origen webDetailers Hs'!A:C,3,0))),"NA")</f>
        <v>Descartado</v>
      </c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4" t="str">
        <f>'Miembros de campaña PRVE'!C87</f>
        <v>713@gmail.com</v>
      </c>
      <c r="B87" s="33"/>
      <c r="C87" s="12" t="str">
        <f>IFERROR(__xludf.DUMMYFUNCTION("""COMPUTED_VALUE"""),"713@gmail.com")</f>
        <v>713@gmail.com</v>
      </c>
      <c r="D87" s="12" t="str">
        <f>IFNA(VLOOKUP(C87,'Miembros de campaña PRVE'!C:E,3,0),"NA")</f>
        <v>Lead</v>
      </c>
      <c r="E87" s="35">
        <f>IFNA(IFNA(VLOOKUP(C87,'Miembros de campaña PRVE'!C:D,2,0),(VLOOKUP(C87,'SIC - FLOW! - Solicitudes BOFU '!B:C,2,0))),"")</f>
        <v>44012</v>
      </c>
      <c r="F87" s="12" t="str">
        <f>IFNA(IFNA(VLOOKUP(C87,'Estado de leads de campaña PRVE'!B:D,3,0),(VLOOKUP(C87,'Leads Sf Origen webDetailers Hs'!A:C,3,0))),"NA")</f>
        <v>Descartado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4" t="str">
        <f>'Miembros de campaña PRVE'!C88</f>
        <v>3766@outlook.com</v>
      </c>
      <c r="B88" s="33"/>
      <c r="C88" s="12" t="str">
        <f>IFERROR(__xludf.DUMMYFUNCTION("""COMPUTED_VALUE"""),"3766@outlook.com")</f>
        <v>3766@outlook.com</v>
      </c>
      <c r="D88" s="12" t="str">
        <f>IFNA(VLOOKUP(C88,'Miembros de campaña PRVE'!C:E,3,0),"NA")</f>
        <v>Lead</v>
      </c>
      <c r="E88" s="35">
        <f>IFNA(IFNA(VLOOKUP(C88,'Miembros de campaña PRVE'!C:D,2,0),(VLOOKUP(C88,'SIC - FLOW! - Solicitudes BOFU '!B:C,2,0))),"")</f>
        <v>44012</v>
      </c>
      <c r="F88" s="12" t="str">
        <f>IFNA(IFNA(VLOOKUP(C88,'Estado de leads de campaña PRVE'!B:D,3,0),(VLOOKUP(C88,'Leads Sf Origen webDetailers Hs'!A:C,3,0))),"NA")</f>
        <v>Descartado</v>
      </c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4" t="str">
        <f>'Miembros de campaña PRVE'!C89</f>
        <v>608@sgingenieros.es</v>
      </c>
      <c r="B89" s="33"/>
      <c r="C89" s="12" t="str">
        <f>IFERROR(__xludf.DUMMYFUNCTION("""COMPUTED_VALUE"""),"608@sgingenieros.es")</f>
        <v>608@sgingenieros.es</v>
      </c>
      <c r="D89" s="12" t="str">
        <f>IFNA(VLOOKUP(C89,'Miembros de campaña PRVE'!C:E,3,0),"NA")</f>
        <v>Lead</v>
      </c>
      <c r="E89" s="35">
        <f>IFNA(IFNA(VLOOKUP(C89,'Miembros de campaña PRVE'!C:D,2,0),(VLOOKUP(C89,'SIC - FLOW! - Solicitudes BOFU '!B:C,2,0))),"")</f>
        <v>44012</v>
      </c>
      <c r="F89" s="12" t="str">
        <f>IFNA(IFNA(VLOOKUP(C89,'Estado de leads de campaña PRVE'!B:D,3,0),(VLOOKUP(C89,'Leads Sf Origen webDetailers Hs'!A:C,3,0))),"NA")</f>
        <v>Descartado</v>
      </c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4" t="str">
        <f>'Miembros de campaña PRVE'!C90</f>
        <v>2935@hotellosllanos.es</v>
      </c>
      <c r="B90" s="33"/>
      <c r="C90" s="12" t="str">
        <f>IFERROR(__xludf.DUMMYFUNCTION("""COMPUTED_VALUE"""),"2935@hotellosllanos.es")</f>
        <v>2935@hotellosllanos.es</v>
      </c>
      <c r="D90" s="12" t="str">
        <f>IFNA(VLOOKUP(C90,'Miembros de campaña PRVE'!C:E,3,0),"NA")</f>
        <v>Contacto</v>
      </c>
      <c r="E90" s="35">
        <f>IFNA(IFNA(VLOOKUP(C90,'Miembros de campaña PRVE'!C:D,2,0),(VLOOKUP(C90,'SIC - FLOW! - Solicitudes BOFU '!B:C,2,0))),"")</f>
        <v>44012</v>
      </c>
      <c r="F90" s="12" t="str">
        <f>IFNA(IFNA(VLOOKUP(C90,'Estado de leads de campaña PRVE'!B:D,3,0),(VLOOKUP(C90,'Leads Sf Origen webDetailers Hs'!A:C,3,0))),"NA")</f>
        <v>NA</v>
      </c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4" t="str">
        <f>'Miembros de campaña PRVE'!C91</f>
        <v>757@integra-sti.com</v>
      </c>
      <c r="B91" s="33"/>
      <c r="C91" s="12" t="str">
        <f>IFERROR(__xludf.DUMMYFUNCTION("""COMPUTED_VALUE"""),"757@integra-sti.com")</f>
        <v>757@integra-sti.com</v>
      </c>
      <c r="D91" s="12" t="str">
        <f>IFNA(VLOOKUP(C91,'Miembros de campaña PRVE'!C:E,3,0),"NA")</f>
        <v>Contacto</v>
      </c>
      <c r="E91" s="35">
        <f>IFNA(IFNA(VLOOKUP(C91,'Miembros de campaña PRVE'!C:D,2,0),(VLOOKUP(C91,'SIC - FLOW! - Solicitudes BOFU '!B:C,2,0))),"")</f>
        <v>44012</v>
      </c>
      <c r="F91" s="12" t="str">
        <f>IFNA(IFNA(VLOOKUP(C91,'Estado de leads de campaña PRVE'!B:D,3,0),(VLOOKUP(C91,'Leads Sf Origen webDetailers Hs'!A:C,3,0))),"NA")</f>
        <v>NA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4" t="str">
        <f>'Miembros de campaña PRVE'!C92</f>
        <v>4716@josepblesa.com</v>
      </c>
      <c r="B92" s="33"/>
      <c r="C92" s="12" t="str">
        <f>IFERROR(__xludf.DUMMYFUNCTION("""COMPUTED_VALUE"""),"4716@josepblesa.com")</f>
        <v>4716@josepblesa.com</v>
      </c>
      <c r="D92" s="12" t="str">
        <f>IFNA(VLOOKUP(C92,'Miembros de campaña PRVE'!C:E,3,0),"NA")</f>
        <v>Contacto</v>
      </c>
      <c r="E92" s="35">
        <f>IFNA(IFNA(VLOOKUP(C92,'Miembros de campaña PRVE'!C:D,2,0),(VLOOKUP(C92,'SIC - FLOW! - Solicitudes BOFU '!B:C,2,0))),"")</f>
        <v>44012</v>
      </c>
      <c r="F92" s="12" t="str">
        <f>IFNA(IFNA(VLOOKUP(C92,'Estado de leads de campaña PRVE'!B:D,3,0),(VLOOKUP(C92,'Leads Sf Origen webDetailers Hs'!A:C,3,0))),"NA")</f>
        <v>NA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4" t="str">
        <f>'Miembros de campaña PRVE'!C93</f>
        <v>4717@sinergiaenergia.com</v>
      </c>
      <c r="B93" s="33"/>
      <c r="C93" s="12" t="str">
        <f>IFERROR(__xludf.DUMMYFUNCTION("""COMPUTED_VALUE"""),"4717@sinergiaenergia.com")</f>
        <v>4717@sinergiaenergia.com</v>
      </c>
      <c r="D93" s="12" t="str">
        <f>IFNA(VLOOKUP(C93,'Miembros de campaña PRVE'!C:E,3,0),"NA")</f>
        <v>Contacto</v>
      </c>
      <c r="E93" s="35">
        <f>IFNA(IFNA(VLOOKUP(C93,'Miembros de campaña PRVE'!C:D,2,0),(VLOOKUP(C93,'SIC - FLOW! - Solicitudes BOFU '!B:C,2,0))),"")</f>
        <v>44012</v>
      </c>
      <c r="F93" s="12" t="str">
        <f>IFNA(IFNA(VLOOKUP(C93,'Estado de leads de campaña PRVE'!B:D,3,0),(VLOOKUP(C93,'Leads Sf Origen webDetailers Hs'!A:C,3,0))),"NA")</f>
        <v>NA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4" t="str">
        <f>'Miembros de campaña PRVE'!C94</f>
        <v>2372@gmail.com</v>
      </c>
      <c r="B94" s="33"/>
      <c r="C94" s="12" t="str">
        <f>IFERROR(__xludf.DUMMYFUNCTION("""COMPUTED_VALUE"""),"2372@gmail.com")</f>
        <v>2372@gmail.com</v>
      </c>
      <c r="D94" s="12" t="str">
        <f>IFNA(VLOOKUP(C94,'Miembros de campaña PRVE'!C:E,3,0),"NA")</f>
        <v>Contacto</v>
      </c>
      <c r="E94" s="35">
        <f>IFNA(IFNA(VLOOKUP(C94,'Miembros de campaña PRVE'!C:D,2,0),(VLOOKUP(C94,'SIC - FLOW! - Solicitudes BOFU '!B:C,2,0))),"")</f>
        <v>44012</v>
      </c>
      <c r="F94" s="12" t="str">
        <f>IFNA(IFNA(VLOOKUP(C94,'Estado de leads de campaña PRVE'!B:D,3,0),(VLOOKUP(C94,'Leads Sf Origen webDetailers Hs'!A:C,3,0))),"NA")</f>
        <v>NA</v>
      </c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4" t="str">
        <f>'Miembros de campaña PRVE'!C95</f>
        <v>2958@gmail.com</v>
      </c>
      <c r="B95" s="33"/>
      <c r="C95" s="12" t="str">
        <f>IFERROR(__xludf.DUMMYFUNCTION("""COMPUTED_VALUE"""),"2958@gmail.com")</f>
        <v>2958@gmail.com</v>
      </c>
      <c r="D95" s="12" t="str">
        <f>IFNA(VLOOKUP(C95,'Miembros de campaña PRVE'!C:E,3,0),"NA")</f>
        <v>Contacto</v>
      </c>
      <c r="E95" s="35">
        <f>IFNA(IFNA(VLOOKUP(C95,'Miembros de campaña PRVE'!C:D,2,0),(VLOOKUP(C95,'SIC - FLOW! - Solicitudes BOFU '!B:C,2,0))),"")</f>
        <v>44012</v>
      </c>
      <c r="F95" s="12" t="str">
        <f>IFNA(IFNA(VLOOKUP(C95,'Estado de leads de campaña PRVE'!B:D,3,0),(VLOOKUP(C95,'Leads Sf Origen webDetailers Hs'!A:C,3,0))),"NA")</f>
        <v>Convertido</v>
      </c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4" t="str">
        <f>'Miembros de campaña PRVE'!C96</f>
        <v>4718@gmail.com</v>
      </c>
      <c r="B96" s="33"/>
      <c r="C96" s="12" t="str">
        <f>IFERROR(__xludf.DUMMYFUNCTION("""COMPUTED_VALUE"""),"4718@gmail.com")</f>
        <v>4718@gmail.com</v>
      </c>
      <c r="D96" s="12" t="str">
        <f>IFNA(VLOOKUP(C96,'Miembros de campaña PRVE'!C:E,3,0),"NA")</f>
        <v>Lead</v>
      </c>
      <c r="E96" s="35">
        <f>IFNA(IFNA(VLOOKUP(C96,'Miembros de campaña PRVE'!C:D,2,0),(VLOOKUP(C96,'SIC - FLOW! - Solicitudes BOFU '!B:C,2,0))),"")</f>
        <v>44012</v>
      </c>
      <c r="F96" s="12" t="str">
        <f>IFNA(IFNA(VLOOKUP(C96,'Estado de leads de campaña PRVE'!B:D,3,0),(VLOOKUP(C96,'Leads Sf Origen webDetailers Hs'!A:C,3,0))),"NA")</f>
        <v>Descartado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4" t="str">
        <f>'Miembros de campaña PRVE'!C97</f>
        <v>4719@hthomassen.com</v>
      </c>
      <c r="B97" s="33"/>
      <c r="C97" s="12" t="str">
        <f>IFERROR(__xludf.DUMMYFUNCTION("""COMPUTED_VALUE"""),"4719@hthomassen.com")</f>
        <v>4719@hthomassen.com</v>
      </c>
      <c r="D97" s="12" t="str">
        <f>IFNA(VLOOKUP(C97,'Miembros de campaña PRVE'!C:E,3,0),"NA")</f>
        <v>Lead</v>
      </c>
      <c r="E97" s="35">
        <f>IFNA(IFNA(VLOOKUP(C97,'Miembros de campaña PRVE'!C:D,2,0),(VLOOKUP(C97,'SIC - FLOW! - Solicitudes BOFU '!B:C,2,0))),"")</f>
        <v>44012</v>
      </c>
      <c r="F97" s="12" t="str">
        <f>IFNA(IFNA(VLOOKUP(C97,'Estado de leads de campaña PRVE'!B:D,3,0),(VLOOKUP(C97,'Leads Sf Origen webDetailers Hs'!A:C,3,0))),"NA")</f>
        <v>Descartado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4" t="str">
        <f>'Miembros de campaña PRVE'!C98</f>
        <v>4720@hotmail.com</v>
      </c>
      <c r="B98" s="33"/>
      <c r="C98" s="12" t="str">
        <f>IFERROR(__xludf.DUMMYFUNCTION("""COMPUTED_VALUE"""),"4720@hotmail.com")</f>
        <v>4720@hotmail.com</v>
      </c>
      <c r="D98" s="12" t="str">
        <f>IFNA(VLOOKUP(C98,'Miembros de campaña PRVE'!C:E,3,0),"NA")</f>
        <v>Lead</v>
      </c>
      <c r="E98" s="35">
        <f>IFNA(IFNA(VLOOKUP(C98,'Miembros de campaña PRVE'!C:D,2,0),(VLOOKUP(C98,'SIC - FLOW! - Solicitudes BOFU '!B:C,2,0))),"")</f>
        <v>44012</v>
      </c>
      <c r="F98" s="12" t="str">
        <f>IFNA(IFNA(VLOOKUP(C98,'Estado de leads de campaña PRVE'!B:D,3,0),(VLOOKUP(C98,'Leads Sf Origen webDetailers Hs'!A:C,3,0))),"NA")</f>
        <v>Descartado</v>
      </c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4" t="str">
        <f>'Miembros de campaña PRVE'!C99</f>
        <v>4721@hotmail.com</v>
      </c>
      <c r="B99" s="33"/>
      <c r="C99" s="12" t="str">
        <f>IFERROR(__xludf.DUMMYFUNCTION("""COMPUTED_VALUE"""),"4721@hotmail.com")</f>
        <v>4721@hotmail.com</v>
      </c>
      <c r="D99" s="12" t="str">
        <f>IFNA(VLOOKUP(C99,'Miembros de campaña PRVE'!C:E,3,0),"NA")</f>
        <v>Lead</v>
      </c>
      <c r="E99" s="35">
        <f>IFNA(IFNA(VLOOKUP(C99,'Miembros de campaña PRVE'!C:D,2,0),(VLOOKUP(C99,'SIC - FLOW! - Solicitudes BOFU '!B:C,2,0))),"")</f>
        <v>44012</v>
      </c>
      <c r="F99" s="12" t="str">
        <f>IFNA(IFNA(VLOOKUP(C99,'Estado de leads de campaña PRVE'!B:D,3,0),(VLOOKUP(C99,'Leads Sf Origen webDetailers Hs'!A:C,3,0))),"NA")</f>
        <v>Descartado</v>
      </c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4" t="str">
        <f>'Miembros de campaña PRVE'!C100</f>
        <v>2950@telematel.com</v>
      </c>
      <c r="B100" s="33"/>
      <c r="C100" s="12" t="str">
        <f>IFERROR(__xludf.DUMMYFUNCTION("""COMPUTED_VALUE"""),"2950@telematel.com")</f>
        <v>2950@telematel.com</v>
      </c>
      <c r="D100" s="12" t="str">
        <f>IFNA(VLOOKUP(C100,'Miembros de campaña PRVE'!C:E,3,0),"NA")</f>
        <v>Lead</v>
      </c>
      <c r="E100" s="35">
        <f>IFNA(IFNA(VLOOKUP(C100,'Miembros de campaña PRVE'!C:D,2,0),(VLOOKUP(C100,'SIC - FLOW! - Solicitudes BOFU '!B:C,2,0))),"")</f>
        <v>44012</v>
      </c>
      <c r="F100" s="12" t="str">
        <f>IFNA(IFNA(VLOOKUP(C100,'Estado de leads de campaña PRVE'!B:D,3,0),(VLOOKUP(C100,'Leads Sf Origen webDetailers Hs'!A:C,3,0))),"NA")</f>
        <v>Descartado</v>
      </c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4" t="str">
        <f>'Miembros de campaña PRVE'!C101</f>
        <v>4722@gmail.com</v>
      </c>
      <c r="B101" s="33"/>
      <c r="C101" s="12" t="str">
        <f>IFERROR(__xludf.DUMMYFUNCTION("""COMPUTED_VALUE"""),"4722@gmail.com")</f>
        <v>4722@gmail.com</v>
      </c>
      <c r="D101" s="12" t="str">
        <f>IFNA(VLOOKUP(C101,'Miembros de campaña PRVE'!C:E,3,0),"NA")</f>
        <v>Lead</v>
      </c>
      <c r="E101" s="35">
        <f>IFNA(IFNA(VLOOKUP(C101,'Miembros de campaña PRVE'!C:D,2,0),(VLOOKUP(C101,'SIC - FLOW! - Solicitudes BOFU '!B:C,2,0))),"")</f>
        <v>44012</v>
      </c>
      <c r="F101" s="12" t="str">
        <f>IFNA(IFNA(VLOOKUP(C101,'Estado de leads de campaña PRVE'!B:D,3,0),(VLOOKUP(C101,'Leads Sf Origen webDetailers Hs'!A:C,3,0))),"NA")</f>
        <v>Descartado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4" t="str">
        <f>'Miembros de campaña PRVE'!C102</f>
        <v>1273@telefonica.net</v>
      </c>
      <c r="B102" s="33"/>
      <c r="C102" s="12" t="str">
        <f>IFERROR(__xludf.DUMMYFUNCTION("""COMPUTED_VALUE"""),"1273@telefonica.net")</f>
        <v>1273@telefonica.net</v>
      </c>
      <c r="D102" s="12" t="str">
        <f>IFNA(VLOOKUP(C102,'Miembros de campaña PRVE'!C:E,3,0),"NA")</f>
        <v>Lead</v>
      </c>
      <c r="E102" s="35">
        <f>IFNA(IFNA(VLOOKUP(C102,'Miembros de campaña PRVE'!C:D,2,0),(VLOOKUP(C102,'SIC - FLOW! - Solicitudes BOFU '!B:C,2,0))),"")</f>
        <v>44012</v>
      </c>
      <c r="F102" s="12" t="str">
        <f>IFNA(IFNA(VLOOKUP(C102,'Estado de leads de campaña PRVE'!B:D,3,0),(VLOOKUP(C102,'Leads Sf Origen webDetailers Hs'!A:C,3,0))),"NA")</f>
        <v>Nuevo</v>
      </c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4" t="str">
        <f>'Miembros de campaña PRVE'!C103</f>
        <v>3367@gmail.com</v>
      </c>
      <c r="B103" s="33"/>
      <c r="C103" s="12" t="str">
        <f>IFERROR(__xludf.DUMMYFUNCTION("""COMPUTED_VALUE"""),"3367@gmail.com")</f>
        <v>3367@gmail.com</v>
      </c>
      <c r="D103" s="12" t="str">
        <f>IFNA(VLOOKUP(C103,'Miembros de campaña PRVE'!C:E,3,0),"NA")</f>
        <v>Lead</v>
      </c>
      <c r="E103" s="35">
        <f>IFNA(IFNA(VLOOKUP(C103,'Miembros de campaña PRVE'!C:D,2,0),(VLOOKUP(C103,'SIC - FLOW! - Solicitudes BOFU '!B:C,2,0))),"")</f>
        <v>44012</v>
      </c>
      <c r="F103" s="12" t="str">
        <f>IFNA(IFNA(VLOOKUP(C103,'Estado de leads de campaña PRVE'!B:D,3,0),(VLOOKUP(C103,'Leads Sf Origen webDetailers Hs'!A:C,3,0))),"NA")</f>
        <v>Descartado</v>
      </c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4" t="str">
        <f>'Miembros de campaña PRVE'!C104</f>
        <v>731@bonoboenergy.com</v>
      </c>
      <c r="B104" s="33"/>
      <c r="C104" s="12" t="str">
        <f>IFERROR(__xludf.DUMMYFUNCTION("""COMPUTED_VALUE"""),"731@bonoboenergy.com")</f>
        <v>731@bonoboenergy.com</v>
      </c>
      <c r="D104" s="12" t="str">
        <f>IFNA(VLOOKUP(C104,'Miembros de campaña PRVE'!C:E,3,0),"NA")</f>
        <v>Lead</v>
      </c>
      <c r="E104" s="35">
        <f>IFNA(IFNA(VLOOKUP(C104,'Miembros de campaña PRVE'!C:D,2,0),(VLOOKUP(C104,'SIC - FLOW! - Solicitudes BOFU '!B:C,2,0))),"")</f>
        <v>44012</v>
      </c>
      <c r="F104" s="12" t="str">
        <f>IFNA(IFNA(VLOOKUP(C104,'Estado de leads de campaña PRVE'!B:D,3,0),(VLOOKUP(C104,'Leads Sf Origen webDetailers Hs'!A:C,3,0))),"NA")</f>
        <v>Nuevo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4" t="str">
        <f>'Miembros de campaña PRVE'!C105</f>
        <v>448@gmail.com</v>
      </c>
      <c r="B105" s="33"/>
      <c r="C105" s="12" t="str">
        <f>IFERROR(__xludf.DUMMYFUNCTION("""COMPUTED_VALUE"""),"448@gmail.com")</f>
        <v>448@gmail.com</v>
      </c>
      <c r="D105" s="12" t="str">
        <f>IFNA(VLOOKUP(C105,'Miembros de campaña PRVE'!C:E,3,0),"NA")</f>
        <v>Lead</v>
      </c>
      <c r="E105" s="35">
        <f>IFNA(IFNA(VLOOKUP(C105,'Miembros de campaña PRVE'!C:D,2,0),(VLOOKUP(C105,'SIC - FLOW! - Solicitudes BOFU '!B:C,2,0))),"")</f>
        <v>44012</v>
      </c>
      <c r="F105" s="12" t="str">
        <f>IFNA(IFNA(VLOOKUP(C105,'Estado de leads de campaña PRVE'!B:D,3,0),(VLOOKUP(C105,'Leads Sf Origen webDetailers Hs'!A:C,3,0))),"NA")</f>
        <v>Descartado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4" t="str">
        <f>'Miembros de campaña PRVE'!C106</f>
        <v>847@lodeal.es</v>
      </c>
      <c r="B106" s="33"/>
      <c r="C106" s="12" t="str">
        <f>IFERROR(__xludf.DUMMYFUNCTION("""COMPUTED_VALUE"""),"847@lodeal.es")</f>
        <v>847@lodeal.es</v>
      </c>
      <c r="D106" s="12" t="str">
        <f>IFNA(VLOOKUP(C106,'Miembros de campaña PRVE'!C:E,3,0),"NA")</f>
        <v>Contacto</v>
      </c>
      <c r="E106" s="35">
        <f>IFNA(IFNA(VLOOKUP(C106,'Miembros de campaña PRVE'!C:D,2,0),(VLOOKUP(C106,'SIC - FLOW! - Solicitudes BOFU '!B:C,2,0))),"")</f>
        <v>44012</v>
      </c>
      <c r="F106" s="12" t="str">
        <f>IFNA(IFNA(VLOOKUP(C106,'Estado de leads de campaña PRVE'!B:D,3,0),(VLOOKUP(C106,'Leads Sf Origen webDetailers Hs'!A:C,3,0))),"NA")</f>
        <v>NA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4" t="str">
        <f>'Miembros de campaña PRVE'!C107</f>
        <v>2970@sonepar.es</v>
      </c>
      <c r="B107" s="33"/>
      <c r="C107" s="12" t="str">
        <f>IFERROR(__xludf.DUMMYFUNCTION("""COMPUTED_VALUE"""),"2970@sonepar.es")</f>
        <v>2970@sonepar.es</v>
      </c>
      <c r="D107" s="12" t="str">
        <f>IFNA(VLOOKUP(C107,'Miembros de campaña PRVE'!C:E,3,0),"NA")</f>
        <v>Contacto</v>
      </c>
      <c r="E107" s="35">
        <f>IFNA(IFNA(VLOOKUP(C107,'Miembros de campaña PRVE'!C:D,2,0),(VLOOKUP(C107,'SIC - FLOW! - Solicitudes BOFU '!B:C,2,0))),"")</f>
        <v>44012</v>
      </c>
      <c r="F107" s="12" t="str">
        <f>IFNA(IFNA(VLOOKUP(C107,'Estado de leads de campaña PRVE'!B:D,3,0),(VLOOKUP(C107,'Leads Sf Origen webDetailers Hs'!A:C,3,0))),"NA")</f>
        <v>NA</v>
      </c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4" t="str">
        <f>'Miembros de campaña PRVE'!C108</f>
        <v>611@santacruzdetenerife.es</v>
      </c>
      <c r="B108" s="33"/>
      <c r="C108" s="12" t="str">
        <f>IFERROR(__xludf.DUMMYFUNCTION("""COMPUTED_VALUE"""),"611@santacruzdetenerife.es")</f>
        <v>611@santacruzdetenerife.es</v>
      </c>
      <c r="D108" s="12" t="str">
        <f>IFNA(VLOOKUP(C108,'Miembros de campaña PRVE'!C:E,3,0),"NA")</f>
        <v>Contacto</v>
      </c>
      <c r="E108" s="35">
        <f>IFNA(IFNA(VLOOKUP(C108,'Miembros de campaña PRVE'!C:D,2,0),(VLOOKUP(C108,'SIC - FLOW! - Solicitudes BOFU '!B:C,2,0))),"")</f>
        <v>44012</v>
      </c>
      <c r="F108" s="12" t="str">
        <f>IFNA(IFNA(VLOOKUP(C108,'Estado de leads de campaña PRVE'!B:D,3,0),(VLOOKUP(C108,'Leads Sf Origen webDetailers Hs'!A:C,3,0))),"NA")</f>
        <v>NA</v>
      </c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4" t="str">
        <f>'Miembros de campaña PRVE'!C109</f>
        <v>4723@gmail.com</v>
      </c>
      <c r="B109" s="33"/>
      <c r="C109" s="12" t="str">
        <f>IFERROR(__xludf.DUMMYFUNCTION("""COMPUTED_VALUE"""),"4723@gmail.com")</f>
        <v>4723@gmail.com</v>
      </c>
      <c r="D109" s="12" t="str">
        <f>IFNA(VLOOKUP(C109,'Miembros de campaña PRVE'!C:E,3,0),"NA")</f>
        <v>Contacto</v>
      </c>
      <c r="E109" s="35">
        <f>IFNA(IFNA(VLOOKUP(C109,'Miembros de campaña PRVE'!C:D,2,0),(VLOOKUP(C109,'SIC - FLOW! - Solicitudes BOFU '!B:C,2,0))),"")</f>
        <v>44012</v>
      </c>
      <c r="F109" s="12" t="str">
        <f>IFNA(IFNA(VLOOKUP(C109,'Estado de leads de campaña PRVE'!B:D,3,0),(VLOOKUP(C109,'Leads Sf Origen webDetailers Hs'!A:C,3,0))),"NA")</f>
        <v>NA</v>
      </c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4" t="str">
        <f>'Miembros de campaña PRVE'!C110</f>
        <v>1516@gmail.com</v>
      </c>
      <c r="B110" s="33"/>
      <c r="C110" s="12" t="str">
        <f>IFERROR(__xludf.DUMMYFUNCTION("""COMPUTED_VALUE"""),"1516@gmail.com")</f>
        <v>1516@gmail.com</v>
      </c>
      <c r="D110" s="12" t="str">
        <f>IFNA(VLOOKUP(C110,'Miembros de campaña PRVE'!C:E,3,0),"NA")</f>
        <v>Contacto</v>
      </c>
      <c r="E110" s="35">
        <f>IFNA(IFNA(VLOOKUP(C110,'Miembros de campaña PRVE'!C:D,2,0),(VLOOKUP(C110,'SIC - FLOW! - Solicitudes BOFU '!B:C,2,0))),"")</f>
        <v>44012</v>
      </c>
      <c r="F110" s="12" t="str">
        <f>IFNA(IFNA(VLOOKUP(C110,'Estado de leads de campaña PRVE'!B:D,3,0),(VLOOKUP(C110,'Leads Sf Origen webDetailers Hs'!A:C,3,0))),"NA")</f>
        <v>NA</v>
      </c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4" t="str">
        <f>'Miembros de campaña PRVE'!C111</f>
        <v>2995@suris.es</v>
      </c>
      <c r="B111" s="33"/>
      <c r="C111" s="12" t="str">
        <f>IFERROR(__xludf.DUMMYFUNCTION("""COMPUTED_VALUE"""),"2995@suris.es")</f>
        <v>2995@suris.es</v>
      </c>
      <c r="D111" s="12" t="str">
        <f>IFNA(VLOOKUP(C111,'Miembros de campaña PRVE'!C:E,3,0),"NA")</f>
        <v>Contacto</v>
      </c>
      <c r="E111" s="35">
        <f>IFNA(IFNA(VLOOKUP(C111,'Miembros de campaña PRVE'!C:D,2,0),(VLOOKUP(C111,'SIC - FLOW! - Solicitudes BOFU '!B:C,2,0))),"")</f>
        <v>44012</v>
      </c>
      <c r="F111" s="12" t="str">
        <f>IFNA(IFNA(VLOOKUP(C111,'Estado de leads de campaña PRVE'!B:D,3,0),(VLOOKUP(C111,'Leads Sf Origen webDetailers Hs'!A:C,3,0))),"NA")</f>
        <v>NA</v>
      </c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4" t="str">
        <f>'Miembros de campaña PRVE'!C112</f>
        <v>2806@jdingenieria.com</v>
      </c>
      <c r="B112" s="33"/>
      <c r="C112" s="12" t="str">
        <f>IFERROR(__xludf.DUMMYFUNCTION("""COMPUTED_VALUE"""),"2806@jdingenieria.com")</f>
        <v>2806@jdingenieria.com</v>
      </c>
      <c r="D112" s="12" t="str">
        <f>IFNA(VLOOKUP(C112,'Miembros de campaña PRVE'!C:E,3,0),"NA")</f>
        <v>Contacto</v>
      </c>
      <c r="E112" s="35">
        <f>IFNA(IFNA(VLOOKUP(C112,'Miembros de campaña PRVE'!C:D,2,0),(VLOOKUP(C112,'SIC - FLOW! - Solicitudes BOFU '!B:C,2,0))),"")</f>
        <v>44012</v>
      </c>
      <c r="F112" s="12" t="str">
        <f>IFNA(IFNA(VLOOKUP(C112,'Estado de leads de campaña PRVE'!B:D,3,0),(VLOOKUP(C112,'Leads Sf Origen webDetailers Hs'!A:C,3,0))),"NA")</f>
        <v>NA</v>
      </c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4" t="str">
        <f>'Miembros de campaña PRVE'!C113</f>
        <v>3001@gmail.com</v>
      </c>
      <c r="B113" s="33"/>
      <c r="C113" s="12" t="str">
        <f>IFERROR(__xludf.DUMMYFUNCTION("""COMPUTED_VALUE"""),"3001@gmail.com")</f>
        <v>3001@gmail.com</v>
      </c>
      <c r="D113" s="12" t="str">
        <f>IFNA(VLOOKUP(C113,'Miembros de campaña PRVE'!C:E,3,0),"NA")</f>
        <v>Contacto</v>
      </c>
      <c r="E113" s="35">
        <f>IFNA(IFNA(VLOOKUP(C113,'Miembros de campaña PRVE'!C:D,2,0),(VLOOKUP(C113,'SIC - FLOW! - Solicitudes BOFU '!B:C,2,0))),"")</f>
        <v>44012</v>
      </c>
      <c r="F113" s="12" t="str">
        <f>IFNA(IFNA(VLOOKUP(C113,'Estado de leads de campaña PRVE'!B:D,3,0),(VLOOKUP(C113,'Leads Sf Origen webDetailers Hs'!A:C,3,0))),"NA")</f>
        <v>NA</v>
      </c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4" t="str">
        <f>'Miembros de campaña PRVE'!C114</f>
        <v>3847@engin.cat</v>
      </c>
      <c r="B114" s="33"/>
      <c r="C114" s="12" t="str">
        <f>IFERROR(__xludf.DUMMYFUNCTION("""COMPUTED_VALUE"""),"3847@engin.cat")</f>
        <v>3847@engin.cat</v>
      </c>
      <c r="D114" s="12" t="str">
        <f>IFNA(VLOOKUP(C114,'Miembros de campaña PRVE'!C:E,3,0),"NA")</f>
        <v>Contacto</v>
      </c>
      <c r="E114" s="35">
        <f>IFNA(IFNA(VLOOKUP(C114,'Miembros de campaña PRVE'!C:D,2,0),(VLOOKUP(C114,'SIC - FLOW! - Solicitudes BOFU '!B:C,2,0))),"")</f>
        <v>44012</v>
      </c>
      <c r="F114" s="12" t="str">
        <f>IFNA(IFNA(VLOOKUP(C114,'Estado de leads de campaña PRVE'!B:D,3,0),(VLOOKUP(C114,'Leads Sf Origen webDetailers Hs'!A:C,3,0))),"NA")</f>
        <v>Convertido</v>
      </c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4" t="str">
        <f>'Miembros de campaña PRVE'!C115</f>
        <v>2442@gmail.com</v>
      </c>
      <c r="B115" s="33"/>
      <c r="C115" s="12" t="str">
        <f>IFERROR(__xludf.DUMMYFUNCTION("""COMPUTED_VALUE"""),"2442@gmail.com")</f>
        <v>2442@gmail.com</v>
      </c>
      <c r="D115" s="12" t="str">
        <f>IFNA(VLOOKUP(C115,'Miembros de campaña PRVE'!C:E,3,0),"NA")</f>
        <v>Contacto</v>
      </c>
      <c r="E115" s="35">
        <f>IFNA(IFNA(VLOOKUP(C115,'Miembros de campaña PRVE'!C:D,2,0),(VLOOKUP(C115,'SIC - FLOW! - Solicitudes BOFU '!B:C,2,0))),"")</f>
        <v>44012</v>
      </c>
      <c r="F115" s="12" t="str">
        <f>IFNA(IFNA(VLOOKUP(C115,'Estado de leads de campaña PRVE'!B:D,3,0),(VLOOKUP(C115,'Leads Sf Origen webDetailers Hs'!A:C,3,0))),"NA")</f>
        <v>Convertido</v>
      </c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4" t="str">
        <f>'Miembros de campaña PRVE'!C116</f>
        <v>1226@agiceringenieros.es</v>
      </c>
      <c r="B116" s="33"/>
      <c r="C116" s="12" t="str">
        <f>IFERROR(__xludf.DUMMYFUNCTION("""COMPUTED_VALUE"""),"1226@agiceringenieros.es")</f>
        <v>1226@agiceringenieros.es</v>
      </c>
      <c r="D116" s="12" t="str">
        <f>IFNA(VLOOKUP(C116,'Miembros de campaña PRVE'!C:E,3,0),"NA")</f>
        <v>Contacto</v>
      </c>
      <c r="E116" s="35">
        <f>IFNA(IFNA(VLOOKUP(C116,'Miembros de campaña PRVE'!C:D,2,0),(VLOOKUP(C116,'SIC - FLOW! - Solicitudes BOFU '!B:C,2,0))),"")</f>
        <v>44012</v>
      </c>
      <c r="F116" s="12" t="str">
        <f>IFNA(IFNA(VLOOKUP(C116,'Estado de leads de campaña PRVE'!B:D,3,0),(VLOOKUP(C116,'Leads Sf Origen webDetailers Hs'!A:C,3,0))),"NA")</f>
        <v>Convertido</v>
      </c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4" t="str">
        <f>'Miembros de campaña PRVE'!C117</f>
        <v>2338@gmail.com</v>
      </c>
      <c r="B117" s="33"/>
      <c r="C117" s="12" t="str">
        <f>IFERROR(__xludf.DUMMYFUNCTION("""COMPUTED_VALUE"""),"2338@gmail.com")</f>
        <v>2338@gmail.com</v>
      </c>
      <c r="D117" s="12" t="str">
        <f>IFNA(VLOOKUP(C117,'Miembros de campaña PRVE'!C:E,3,0),"NA")</f>
        <v>Lead</v>
      </c>
      <c r="E117" s="35">
        <f>IFNA(IFNA(VLOOKUP(C117,'Miembros de campaña PRVE'!C:D,2,0),(VLOOKUP(C117,'SIC - FLOW! - Solicitudes BOFU '!B:C,2,0))),"")</f>
        <v>44012</v>
      </c>
      <c r="F117" s="12" t="str">
        <f>IFNA(IFNA(VLOOKUP(C117,'Estado de leads de campaña PRVE'!B:D,3,0),(VLOOKUP(C117,'Leads Sf Origen webDetailers Hs'!A:C,3,0))),"NA")</f>
        <v>NA</v>
      </c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4" t="str">
        <f>'Miembros de campaña PRVE'!C118</f>
        <v>643@gmail.com</v>
      </c>
      <c r="B118" s="33"/>
      <c r="C118" s="12" t="str">
        <f>IFERROR(__xludf.DUMMYFUNCTION("""COMPUTED_VALUE"""),"643@gmail.com")</f>
        <v>643@gmail.com</v>
      </c>
      <c r="D118" s="12" t="str">
        <f>IFNA(VLOOKUP(C118,'Miembros de campaña PRVE'!C:E,3,0),"NA")</f>
        <v>Lead</v>
      </c>
      <c r="E118" s="35">
        <f>IFNA(IFNA(VLOOKUP(C118,'Miembros de campaña PRVE'!C:D,2,0),(VLOOKUP(C118,'SIC - FLOW! - Solicitudes BOFU '!B:C,2,0))),"")</f>
        <v>44012</v>
      </c>
      <c r="F118" s="12" t="str">
        <f>IFNA(IFNA(VLOOKUP(C118,'Estado de leads de campaña PRVE'!B:D,3,0),(VLOOKUP(C118,'Leads Sf Origen webDetailers Hs'!A:C,3,0))),"NA")</f>
        <v>Descartado</v>
      </c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4" t="str">
        <f>'Miembros de campaña PRVE'!C119</f>
        <v>1628@solbesingenieros.com</v>
      </c>
      <c r="B119" s="33"/>
      <c r="C119" s="12" t="str">
        <f>IFERROR(__xludf.DUMMYFUNCTION("""COMPUTED_VALUE"""),"1628@solbesingenieros.com")</f>
        <v>1628@solbesingenieros.com</v>
      </c>
      <c r="D119" s="12" t="str">
        <f>IFNA(VLOOKUP(C119,'Miembros de campaña PRVE'!C:E,3,0),"NA")</f>
        <v>Lead</v>
      </c>
      <c r="E119" s="35">
        <f>IFNA(IFNA(VLOOKUP(C119,'Miembros de campaña PRVE'!C:D,2,0),(VLOOKUP(C119,'SIC - FLOW! - Solicitudes BOFU '!B:C,2,0))),"")</f>
        <v>44012</v>
      </c>
      <c r="F119" s="12" t="str">
        <f>IFNA(IFNA(VLOOKUP(C119,'Estado de leads de campaña PRVE'!B:D,3,0),(VLOOKUP(C119,'Leads Sf Origen webDetailers Hs'!A:C,3,0))),"NA")</f>
        <v>Descartado</v>
      </c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4" t="str">
        <f>'Miembros de campaña PRVE'!C120</f>
        <v>4724@gmail.com</v>
      </c>
      <c r="B120" s="33"/>
      <c r="C120" s="12" t="str">
        <f>IFERROR(__xludf.DUMMYFUNCTION("""COMPUTED_VALUE"""),"4724@gmail.com")</f>
        <v>4724@gmail.com</v>
      </c>
      <c r="D120" s="12" t="str">
        <f>IFNA(VLOOKUP(C120,'Miembros de campaña PRVE'!C:E,3,0),"NA")</f>
        <v>Lead</v>
      </c>
      <c r="E120" s="35">
        <f>IFNA(IFNA(VLOOKUP(C120,'Miembros de campaña PRVE'!C:D,2,0),(VLOOKUP(C120,'SIC - FLOW! - Solicitudes BOFU '!B:C,2,0))),"")</f>
        <v>44012</v>
      </c>
      <c r="F120" s="12" t="str">
        <f>IFNA(IFNA(VLOOKUP(C120,'Estado de leads de campaña PRVE'!B:D,3,0),(VLOOKUP(C120,'Leads Sf Origen webDetailers Hs'!A:C,3,0))),"NA")</f>
        <v>Descartado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4" t="str">
        <f>'Miembros de campaña PRVE'!C121</f>
        <v>4725@iftem.com</v>
      </c>
      <c r="B121" s="33"/>
      <c r="C121" s="12" t="str">
        <f>IFERROR(__xludf.DUMMYFUNCTION("""COMPUTED_VALUE"""),"4725@iftem.com")</f>
        <v>4725@iftem.com</v>
      </c>
      <c r="D121" s="12" t="str">
        <f>IFNA(VLOOKUP(C121,'Miembros de campaña PRVE'!C:E,3,0),"NA")</f>
        <v>Lead</v>
      </c>
      <c r="E121" s="35">
        <f>IFNA(IFNA(VLOOKUP(C121,'Miembros de campaña PRVE'!C:D,2,0),(VLOOKUP(C121,'SIC - FLOW! - Solicitudes BOFU '!B:C,2,0))),"")</f>
        <v>44012</v>
      </c>
      <c r="F121" s="12" t="str">
        <f>IFNA(IFNA(VLOOKUP(C121,'Estado de leads de campaña PRVE'!B:D,3,0),(VLOOKUP(C121,'Leads Sf Origen webDetailers Hs'!A:C,3,0))),"NA")</f>
        <v>Descartado</v>
      </c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4" t="str">
        <f>'Miembros de campaña PRVE'!C122</f>
        <v>4726@hotmail.com</v>
      </c>
      <c r="B122" s="33"/>
      <c r="C122" s="12" t="str">
        <f>IFERROR(__xludf.DUMMYFUNCTION("""COMPUTED_VALUE"""),"4726@hotmail.com")</f>
        <v>4726@hotmail.com</v>
      </c>
      <c r="D122" s="12" t="str">
        <f>IFNA(VLOOKUP(C122,'Miembros de campaña PRVE'!C:E,3,0),"NA")</f>
        <v>Lead</v>
      </c>
      <c r="E122" s="35">
        <f>IFNA(IFNA(VLOOKUP(C122,'Miembros de campaña PRVE'!C:D,2,0),(VLOOKUP(C122,'SIC - FLOW! - Solicitudes BOFU '!B:C,2,0))),"")</f>
        <v>44012</v>
      </c>
      <c r="F122" s="12" t="str">
        <f>IFNA(IFNA(VLOOKUP(C122,'Estado de leads de campaña PRVE'!B:D,3,0),(VLOOKUP(C122,'Leads Sf Origen webDetailers Hs'!A:C,3,0))),"NA")</f>
        <v>Descartado</v>
      </c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4" t="str">
        <f>'Miembros de campaña PRVE'!C123</f>
        <v>3655@outlook.com</v>
      </c>
      <c r="B123" s="33"/>
      <c r="C123" s="12" t="str">
        <f>IFERROR(__xludf.DUMMYFUNCTION("""COMPUTED_VALUE"""),"3655@outlook.com")</f>
        <v>3655@outlook.com</v>
      </c>
      <c r="D123" s="12" t="str">
        <f>IFNA(VLOOKUP(C123,'Miembros de campaña PRVE'!C:E,3,0),"NA")</f>
        <v>Lead</v>
      </c>
      <c r="E123" s="35">
        <f>IFNA(IFNA(VLOOKUP(C123,'Miembros de campaña PRVE'!C:D,2,0),(VLOOKUP(C123,'SIC - FLOW! - Solicitudes BOFU '!B:C,2,0))),"")</f>
        <v>44012</v>
      </c>
      <c r="F123" s="12" t="str">
        <f>IFNA(IFNA(VLOOKUP(C123,'Estado de leads de campaña PRVE'!B:D,3,0),(VLOOKUP(C123,'Leads Sf Origen webDetailers Hs'!A:C,3,0))),"NA")</f>
        <v>Descartado</v>
      </c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4" t="str">
        <f>'Miembros de campaña PRVE'!C124</f>
        <v>4610@gmail.com</v>
      </c>
      <c r="B124" s="33"/>
      <c r="C124" s="12" t="str">
        <f>IFERROR(__xludf.DUMMYFUNCTION("""COMPUTED_VALUE"""),"4610@gmail.com")</f>
        <v>4610@gmail.com</v>
      </c>
      <c r="D124" s="12" t="str">
        <f>IFNA(VLOOKUP(C124,'Miembros de campaña PRVE'!C:E,3,0),"NA")</f>
        <v>Lead</v>
      </c>
      <c r="E124" s="35">
        <f>IFNA(IFNA(VLOOKUP(C124,'Miembros de campaña PRVE'!C:D,2,0),(VLOOKUP(C124,'SIC - FLOW! - Solicitudes BOFU '!B:C,2,0))),"")</f>
        <v>44012</v>
      </c>
      <c r="F124" s="12" t="str">
        <f>IFNA(IFNA(VLOOKUP(C124,'Estado de leads de campaña PRVE'!B:D,3,0),(VLOOKUP(C124,'Leads Sf Origen webDetailers Hs'!A:C,3,0))),"NA")</f>
        <v>Nuevo</v>
      </c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4" t="str">
        <f>'Miembros de campaña PRVE'!C125</f>
        <v>1607@talesingenieria.es</v>
      </c>
      <c r="B125" s="33"/>
      <c r="C125" s="12" t="str">
        <f>IFERROR(__xludf.DUMMYFUNCTION("""COMPUTED_VALUE"""),"1607@talesingenieria.es")</f>
        <v>1607@talesingenieria.es</v>
      </c>
      <c r="D125" s="12" t="str">
        <f>IFNA(VLOOKUP(C125,'Miembros de campaña PRVE'!C:E,3,0),"NA")</f>
        <v>Lead</v>
      </c>
      <c r="E125" s="35">
        <f>IFNA(IFNA(VLOOKUP(C125,'Miembros de campaña PRVE'!C:D,2,0),(VLOOKUP(C125,'SIC - FLOW! - Solicitudes BOFU '!B:C,2,0))),"")</f>
        <v>44012</v>
      </c>
      <c r="F125" s="12" t="str">
        <f>IFNA(IFNA(VLOOKUP(C125,'Estado de leads de campaña PRVE'!B:D,3,0),(VLOOKUP(C125,'Leads Sf Origen webDetailers Hs'!A:C,3,0))),"NA")</f>
        <v>Descartado</v>
      </c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4" t="str">
        <f>'Miembros de campaña PRVE'!C126</f>
        <v>4727@ponferrada.org</v>
      </c>
      <c r="B126" s="33"/>
      <c r="C126" s="12" t="str">
        <f>IFERROR(__xludf.DUMMYFUNCTION("""COMPUTED_VALUE"""),"4727@ponferrada.org")</f>
        <v>4727@ponferrada.org</v>
      </c>
      <c r="D126" s="12" t="str">
        <f>IFNA(VLOOKUP(C126,'Miembros de campaña PRVE'!C:E,3,0),"NA")</f>
        <v>Lead</v>
      </c>
      <c r="E126" s="35">
        <f>IFNA(IFNA(VLOOKUP(C126,'Miembros de campaña PRVE'!C:D,2,0),(VLOOKUP(C126,'SIC - FLOW! - Solicitudes BOFU '!B:C,2,0))),"")</f>
        <v>44012</v>
      </c>
      <c r="F126" s="12" t="str">
        <f>IFNA(IFNA(VLOOKUP(C126,'Estado de leads de campaña PRVE'!B:D,3,0),(VLOOKUP(C126,'Leads Sf Origen webDetailers Hs'!A:C,3,0))),"NA")</f>
        <v>Nuevo</v>
      </c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4" t="str">
        <f>'Miembros de campaña PRVE'!C127</f>
        <v>3193@metalux.es</v>
      </c>
      <c r="B127" s="33"/>
      <c r="C127" s="12" t="str">
        <f>IFERROR(__xludf.DUMMYFUNCTION("""COMPUTED_VALUE"""),"3193@metalux.es")</f>
        <v>3193@metalux.es</v>
      </c>
      <c r="D127" s="12" t="str">
        <f>IFNA(VLOOKUP(C127,'Miembros de campaña PRVE'!C:E,3,0),"NA")</f>
        <v>Lead</v>
      </c>
      <c r="E127" s="35">
        <f>IFNA(IFNA(VLOOKUP(C127,'Miembros de campaña PRVE'!C:D,2,0),(VLOOKUP(C127,'SIC - FLOW! - Solicitudes BOFU '!B:C,2,0))),"")</f>
        <v>44012</v>
      </c>
      <c r="F127" s="12" t="str">
        <f>IFNA(IFNA(VLOOKUP(C127,'Estado de leads de campaña PRVE'!B:D,3,0),(VLOOKUP(C127,'Leads Sf Origen webDetailers Hs'!A:C,3,0))),"NA")</f>
        <v>Descartado</v>
      </c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4" t="str">
        <f>'Miembros de campaña PRVE'!C128</f>
        <v>2749@gmail.com</v>
      </c>
      <c r="B128" s="33"/>
      <c r="C128" s="12" t="str">
        <f>IFERROR(__xludf.DUMMYFUNCTION("""COMPUTED_VALUE"""),"2749@gmail.com")</f>
        <v>2749@gmail.com</v>
      </c>
      <c r="D128" s="12" t="str">
        <f>IFNA(VLOOKUP(C128,'Miembros de campaña PRVE'!C:E,3,0),"NA")</f>
        <v>Lead</v>
      </c>
      <c r="E128" s="35">
        <f>IFNA(IFNA(VLOOKUP(C128,'Miembros de campaña PRVE'!C:D,2,0),(VLOOKUP(C128,'SIC - FLOW! - Solicitudes BOFU '!B:C,2,0))),"")</f>
        <v>44012</v>
      </c>
      <c r="F128" s="12" t="str">
        <f>IFNA(IFNA(VLOOKUP(C128,'Estado de leads de campaña PRVE'!B:D,3,0),(VLOOKUP(C128,'Leads Sf Origen webDetailers Hs'!A:C,3,0))),"NA")</f>
        <v>Descartado</v>
      </c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4" t="str">
        <f>'Miembros de campaña PRVE'!C129</f>
        <v>3130@gmail.com</v>
      </c>
      <c r="B129" s="33"/>
      <c r="C129" s="12" t="str">
        <f>IFERROR(__xludf.DUMMYFUNCTION("""COMPUTED_VALUE"""),"3130@gmail.com")</f>
        <v>3130@gmail.com</v>
      </c>
      <c r="D129" s="12" t="str">
        <f>IFNA(VLOOKUP(C129,'Miembros de campaña PRVE'!C:E,3,0),"NA")</f>
        <v>Lead</v>
      </c>
      <c r="E129" s="35">
        <f>IFNA(IFNA(VLOOKUP(C129,'Miembros de campaña PRVE'!C:D,2,0),(VLOOKUP(C129,'SIC - FLOW! - Solicitudes BOFU '!B:C,2,0))),"")</f>
        <v>44012</v>
      </c>
      <c r="F129" s="12" t="str">
        <f>IFNA(IFNA(VLOOKUP(C129,'Estado de leads de campaña PRVE'!B:D,3,0),(VLOOKUP(C129,'Leads Sf Origen webDetailers Hs'!A:C,3,0))),"NA")</f>
        <v>Descartado</v>
      </c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4" t="str">
        <f>'Miembros de campaña PRVE'!C130</f>
        <v>2283@hotmail.com</v>
      </c>
      <c r="B130" s="33"/>
      <c r="C130" s="12" t="str">
        <f>IFERROR(__xludf.DUMMYFUNCTION("""COMPUTED_VALUE"""),"2283@hotmail.com")</f>
        <v>2283@hotmail.com</v>
      </c>
      <c r="D130" s="12" t="str">
        <f>IFNA(VLOOKUP(C130,'Miembros de campaña PRVE'!C:E,3,0),"NA")</f>
        <v>Lead</v>
      </c>
      <c r="E130" s="35">
        <f>IFNA(IFNA(VLOOKUP(C130,'Miembros de campaña PRVE'!C:D,2,0),(VLOOKUP(C130,'SIC - FLOW! - Solicitudes BOFU '!B:C,2,0))),"")</f>
        <v>44012</v>
      </c>
      <c r="F130" s="12" t="str">
        <f>IFNA(IFNA(VLOOKUP(C130,'Estado de leads de campaña PRVE'!B:D,3,0),(VLOOKUP(C130,'Leads Sf Origen webDetailers Hs'!A:C,3,0))),"NA")</f>
        <v>Descartado</v>
      </c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4" t="str">
        <f>'Miembros de campaña PRVE'!C131</f>
        <v>567@sonovatec.com</v>
      </c>
      <c r="B131" s="33"/>
      <c r="C131" s="12" t="str">
        <f>IFERROR(__xludf.DUMMYFUNCTION("""COMPUTED_VALUE"""),"567@sonovatec.com")</f>
        <v>567@sonovatec.com</v>
      </c>
      <c r="D131" s="12" t="str">
        <f>IFNA(VLOOKUP(C131,'Miembros de campaña PRVE'!C:E,3,0),"NA")</f>
        <v>Lead</v>
      </c>
      <c r="E131" s="35">
        <f>IFNA(IFNA(VLOOKUP(C131,'Miembros de campaña PRVE'!C:D,2,0),(VLOOKUP(C131,'SIC - FLOW! - Solicitudes BOFU '!B:C,2,0))),"")</f>
        <v>44012</v>
      </c>
      <c r="F131" s="12" t="str">
        <f>IFNA(IFNA(VLOOKUP(C131,'Estado de leads de campaña PRVE'!B:D,3,0),(VLOOKUP(C131,'Leads Sf Origen webDetailers Hs'!A:C,3,0))),"NA")</f>
        <v>Descartado</v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4" t="str">
        <f>'Miembros de campaña PRVE'!C132</f>
        <v>1051@gmail.com</v>
      </c>
      <c r="B132" s="33"/>
      <c r="C132" s="12" t="str">
        <f>IFERROR(__xludf.DUMMYFUNCTION("""COMPUTED_VALUE"""),"1051@gmail.com")</f>
        <v>1051@gmail.com</v>
      </c>
      <c r="D132" s="12" t="str">
        <f>IFNA(VLOOKUP(C132,'Miembros de campaña PRVE'!C:E,3,0),"NA")</f>
        <v>Contacto</v>
      </c>
      <c r="E132" s="35">
        <f>IFNA(IFNA(VLOOKUP(C132,'Miembros de campaña PRVE'!C:D,2,0),(VLOOKUP(C132,'SIC - FLOW! - Solicitudes BOFU '!B:C,2,0))),"")</f>
        <v>44012</v>
      </c>
      <c r="F132" s="12" t="str">
        <f>IFNA(IFNA(VLOOKUP(C132,'Estado de leads de campaña PRVE'!B:D,3,0),(VLOOKUP(C132,'Leads Sf Origen webDetailers Hs'!A:C,3,0))),"NA")</f>
        <v>NA</v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4" t="str">
        <f>'Miembros de campaña PRVE'!C133</f>
        <v>2209@elecem.es</v>
      </c>
      <c r="B133" s="33"/>
      <c r="C133" s="12" t="str">
        <f>IFERROR(__xludf.DUMMYFUNCTION("""COMPUTED_VALUE"""),"2209@elecem.es")</f>
        <v>2209@elecem.es</v>
      </c>
      <c r="D133" s="12" t="str">
        <f>IFNA(VLOOKUP(C133,'Miembros de campaña PRVE'!C:E,3,0),"NA")</f>
        <v>Lead</v>
      </c>
      <c r="E133" s="35">
        <f>IFNA(IFNA(VLOOKUP(C133,'Miembros de campaña PRVE'!C:D,2,0),(VLOOKUP(C133,'SIC - FLOW! - Solicitudes BOFU '!B:C,2,0))),"")</f>
        <v>44012</v>
      </c>
      <c r="F133" s="12" t="str">
        <f>IFNA(IFNA(VLOOKUP(C133,'Estado de leads de campaña PRVE'!B:D,3,0),(VLOOKUP(C133,'Leads Sf Origen webDetailers Hs'!A:C,3,0))),"NA")</f>
        <v>NA</v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4" t="str">
        <f>'Miembros de campaña PRVE'!C134</f>
        <v>12@gmail.com</v>
      </c>
      <c r="B134" s="33"/>
      <c r="C134" s="12" t="str">
        <f>IFERROR(__xludf.DUMMYFUNCTION("""COMPUTED_VALUE"""),"12@gmail.com")</f>
        <v>12@gmail.com</v>
      </c>
      <c r="D134" s="12" t="str">
        <f>IFNA(VLOOKUP(C134,'Miembros de campaña PRVE'!C:E,3,0),"NA")</f>
        <v>Lead</v>
      </c>
      <c r="E134" s="35">
        <f>IFNA(IFNA(VLOOKUP(C134,'Miembros de campaña PRVE'!C:D,2,0),(VLOOKUP(C134,'SIC - FLOW! - Solicitudes BOFU '!B:C,2,0))),"")</f>
        <v>44012</v>
      </c>
      <c r="F134" s="12" t="str">
        <f>IFNA(IFNA(VLOOKUP(C134,'Estado de leads de campaña PRVE'!B:D,3,0),(VLOOKUP(C134,'Leads Sf Origen webDetailers Hs'!A:C,3,0))),"NA")</f>
        <v>Descartado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4" t="str">
        <f>'Miembros de campaña PRVE'!C135</f>
        <v>24@gmail.com</v>
      </c>
      <c r="B135" s="33"/>
      <c r="C135" s="12" t="str">
        <f>IFERROR(__xludf.DUMMYFUNCTION("""COMPUTED_VALUE"""),"24@gmail.com")</f>
        <v>24@gmail.com</v>
      </c>
      <c r="D135" s="12" t="str">
        <f>IFNA(VLOOKUP(C135,'Miembros de campaña PRVE'!C:E,3,0),"NA")</f>
        <v>Lead</v>
      </c>
      <c r="E135" s="35">
        <f>IFNA(IFNA(VLOOKUP(C135,'Miembros de campaña PRVE'!C:D,2,0),(VLOOKUP(C135,'SIC - FLOW! - Solicitudes BOFU '!B:C,2,0))),"")</f>
        <v>44010</v>
      </c>
      <c r="F135" s="12" t="str">
        <f>IFNA(IFNA(VLOOKUP(C135,'Estado de leads de campaña PRVE'!B:D,3,0),(VLOOKUP(C135,'Leads Sf Origen webDetailers Hs'!A:C,3,0))),"NA")</f>
        <v>Nuevo</v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4" t="str">
        <f>'Miembros de campaña PRVE'!C136</f>
        <v>45@acotech.es</v>
      </c>
      <c r="B136" s="33"/>
      <c r="C136" s="12" t="str">
        <f>IFERROR(__xludf.DUMMYFUNCTION("""COMPUTED_VALUE"""),"45@acotech.es")</f>
        <v>45@acotech.es</v>
      </c>
      <c r="D136" s="12" t="str">
        <f>IFNA(VLOOKUP(C136,'Miembros de campaña PRVE'!C:E,3,0),"NA")</f>
        <v>Lead</v>
      </c>
      <c r="E136" s="35">
        <f>IFNA(IFNA(VLOOKUP(C136,'Miembros de campaña PRVE'!C:D,2,0),(VLOOKUP(C136,'SIC - FLOW! - Solicitudes BOFU '!B:C,2,0))),"")</f>
        <v>44007</v>
      </c>
      <c r="F136" s="12" t="str">
        <f>IFNA(IFNA(VLOOKUP(C136,'Estado de leads de campaña PRVE'!B:D,3,0),(VLOOKUP(C136,'Leads Sf Origen webDetailers Hs'!A:C,3,0))),"NA")</f>
        <v>Descartado</v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4" t="str">
        <f>'Miembros de campaña PRVE'!C137</f>
        <v>51@yahoo.es</v>
      </c>
      <c r="B137" s="33"/>
      <c r="C137" s="12" t="str">
        <f>IFERROR(__xludf.DUMMYFUNCTION("""COMPUTED_VALUE"""),"51@yahoo.es")</f>
        <v>51@yahoo.es</v>
      </c>
      <c r="D137" s="12" t="str">
        <f>IFNA(VLOOKUP(C137,'Miembros de campaña PRVE'!C:E,3,0),"NA")</f>
        <v>Contacto</v>
      </c>
      <c r="E137" s="35">
        <f>IFNA(IFNA(VLOOKUP(C137,'Miembros de campaña PRVE'!C:D,2,0),(VLOOKUP(C137,'SIC - FLOW! - Solicitudes BOFU '!B:C,2,0))),"")</f>
        <v>44006</v>
      </c>
      <c r="F137" s="12" t="str">
        <f>IFNA(IFNA(VLOOKUP(C137,'Estado de leads de campaña PRVE'!B:D,3,0),(VLOOKUP(C137,'Leads Sf Origen webDetailers Hs'!A:C,3,0))),"NA")</f>
        <v>Convertido</v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4" t="str">
        <f>'Miembros de campaña PRVE'!C138</f>
        <v>140@yahoo.es</v>
      </c>
      <c r="B138" s="33"/>
      <c r="C138" s="12" t="str">
        <f>IFERROR(__xludf.DUMMYFUNCTION("""COMPUTED_VALUE"""),"140@yahoo.es")</f>
        <v>140@yahoo.es</v>
      </c>
      <c r="D138" s="12" t="str">
        <f>IFNA(VLOOKUP(C138,'Miembros de campaña PRVE'!C:E,3,0),"NA")</f>
        <v>Lead</v>
      </c>
      <c r="E138" s="35">
        <f>IFNA(IFNA(VLOOKUP(C138,'Miembros de campaña PRVE'!C:D,2,0),(VLOOKUP(C138,'SIC - FLOW! - Solicitudes BOFU '!B:C,2,0))),"")</f>
        <v>44001</v>
      </c>
      <c r="F138" s="12" t="str">
        <f>IFNA(IFNA(VLOOKUP(C138,'Estado de leads de campaña PRVE'!B:D,3,0),(VLOOKUP(C138,'Leads Sf Origen webDetailers Hs'!A:C,3,0))),"NA")</f>
        <v>Descartado</v>
      </c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4" t="str">
        <f>'Miembros de campaña PRVE'!C139</f>
        <v>151@gmail.com</v>
      </c>
      <c r="B139" s="33"/>
      <c r="C139" s="12" t="str">
        <f>IFERROR(__xludf.DUMMYFUNCTION("""COMPUTED_VALUE"""),"151@gmail.com")</f>
        <v>151@gmail.com</v>
      </c>
      <c r="D139" s="12" t="str">
        <f>IFNA(VLOOKUP(C139,'Miembros de campaña PRVE'!C:E,3,0),"NA")</f>
        <v>Lead</v>
      </c>
      <c r="E139" s="35">
        <f>IFNA(IFNA(VLOOKUP(C139,'Miembros de campaña PRVE'!C:D,2,0),(VLOOKUP(C139,'SIC - FLOW! - Solicitudes BOFU '!B:C,2,0))),"")</f>
        <v>44001</v>
      </c>
      <c r="F139" s="12" t="str">
        <f>IFNA(IFNA(VLOOKUP(C139,'Estado de leads de campaña PRVE'!B:D,3,0),(VLOOKUP(C139,'Leads Sf Origen webDetailers Hs'!A:C,3,0))),"NA")</f>
        <v>Descartado</v>
      </c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4" t="str">
        <f>'Miembros de campaña PRVE'!C140</f>
        <v>185@asintec.info</v>
      </c>
      <c r="B140" s="33"/>
      <c r="C140" s="12" t="str">
        <f>IFERROR(__xludf.DUMMYFUNCTION("""COMPUTED_VALUE"""),"185@asintec.info")</f>
        <v>185@asintec.info</v>
      </c>
      <c r="D140" s="12" t="str">
        <f>IFNA(VLOOKUP(C140,'Miembros de campaña PRVE'!C:E,3,0),"NA")</f>
        <v>Lead</v>
      </c>
      <c r="E140" s="35">
        <f>IFNA(IFNA(VLOOKUP(C140,'Miembros de campaña PRVE'!C:D,2,0),(VLOOKUP(C140,'SIC - FLOW! - Solicitudes BOFU '!B:C,2,0))),"")</f>
        <v>44000</v>
      </c>
      <c r="F140" s="12" t="str">
        <f>IFNA(IFNA(VLOOKUP(C140,'Estado de leads de campaña PRVE'!B:D,3,0),(VLOOKUP(C140,'Leads Sf Origen webDetailers Hs'!A:C,3,0))),"NA")</f>
        <v>Descartado</v>
      </c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4" t="str">
        <f>'Miembros de campaña PRVE'!C141</f>
        <v>201@gmail.com</v>
      </c>
      <c r="B141" s="33"/>
      <c r="C141" s="12" t="str">
        <f>IFERROR(__xludf.DUMMYFUNCTION("""COMPUTED_VALUE"""),"201@gmail.com")</f>
        <v>201@gmail.com</v>
      </c>
      <c r="D141" s="12" t="str">
        <f>IFNA(VLOOKUP(C141,'Miembros de campaña PRVE'!C:E,3,0),"NA")</f>
        <v>Lead</v>
      </c>
      <c r="E141" s="35">
        <f>IFNA(IFNA(VLOOKUP(C141,'Miembros de campaña PRVE'!C:D,2,0),(VLOOKUP(C141,'SIC - FLOW! - Solicitudes BOFU '!B:C,2,0))),"")</f>
        <v>44000</v>
      </c>
      <c r="F141" s="12" t="str">
        <f>IFNA(IFNA(VLOOKUP(C141,'Estado de leads de campaña PRVE'!B:D,3,0),(VLOOKUP(C141,'Leads Sf Origen webDetailers Hs'!A:C,3,0))),"NA")</f>
        <v>Descartado</v>
      </c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4" t="str">
        <f>'Miembros de campaña PRVE'!C142</f>
        <v>212@gmail.com</v>
      </c>
      <c r="B142" s="33"/>
      <c r="C142" s="12" t="str">
        <f>IFERROR(__xludf.DUMMYFUNCTION("""COMPUTED_VALUE"""),"212@gmail.com")</f>
        <v>212@gmail.com</v>
      </c>
      <c r="D142" s="12" t="str">
        <f>IFNA(VLOOKUP(C142,'Miembros de campaña PRVE'!C:E,3,0),"NA")</f>
        <v>Lead</v>
      </c>
      <c r="E142" s="35">
        <f>IFNA(IFNA(VLOOKUP(C142,'Miembros de campaña PRVE'!C:D,2,0),(VLOOKUP(C142,'SIC - FLOW! - Solicitudes BOFU '!B:C,2,0))),"")</f>
        <v>44000</v>
      </c>
      <c r="F142" s="12" t="str">
        <f>IFNA(IFNA(VLOOKUP(C142,'Estado de leads de campaña PRVE'!B:D,3,0),(VLOOKUP(C142,'Leads Sf Origen webDetailers Hs'!A:C,3,0))),"NA")</f>
        <v>Descartado</v>
      </c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4" t="str">
        <f>'Miembros de campaña PRVE'!C143</f>
        <v>213@guidogroup.com</v>
      </c>
      <c r="B143" s="33"/>
      <c r="C143" s="12" t="str">
        <f>IFERROR(__xludf.DUMMYFUNCTION("""COMPUTED_VALUE"""),"213@guidogroup.com")</f>
        <v>213@guidogroup.com</v>
      </c>
      <c r="D143" s="12" t="str">
        <f>IFNA(VLOOKUP(C143,'Miembros de campaña PRVE'!C:E,3,0),"NA")</f>
        <v>Contacto</v>
      </c>
      <c r="E143" s="35">
        <f>IFNA(IFNA(VLOOKUP(C143,'Miembros de campaña PRVE'!C:D,2,0),(VLOOKUP(C143,'SIC - FLOW! - Solicitudes BOFU '!B:C,2,0))),"")</f>
        <v>44000</v>
      </c>
      <c r="F143" s="12" t="str">
        <f>IFNA(IFNA(VLOOKUP(C143,'Estado de leads de campaña PRVE'!B:D,3,0),(VLOOKUP(C143,'Leads Sf Origen webDetailers Hs'!A:C,3,0))),"NA")</f>
        <v>Convertido</v>
      </c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4" t="str">
        <f>'Miembros de campaña PRVE'!C144</f>
        <v>242@outlook.es</v>
      </c>
      <c r="B144" s="33"/>
      <c r="C144" s="12" t="str">
        <f>IFERROR(__xludf.DUMMYFUNCTION("""COMPUTED_VALUE"""),"242@outlook.es")</f>
        <v>242@outlook.es</v>
      </c>
      <c r="D144" s="12" t="str">
        <f>IFNA(VLOOKUP(C144,'Miembros de campaña PRVE'!C:E,3,0),"NA")</f>
        <v>Lead</v>
      </c>
      <c r="E144" s="35">
        <f>IFNA(IFNA(VLOOKUP(C144,'Miembros de campaña PRVE'!C:D,2,0),(VLOOKUP(C144,'SIC - FLOW! - Solicitudes BOFU '!B:C,2,0))),"")</f>
        <v>44000</v>
      </c>
      <c r="F144" s="12" t="str">
        <f>IFNA(IFNA(VLOOKUP(C144,'Estado de leads de campaña PRVE'!B:D,3,0),(VLOOKUP(C144,'Leads Sf Origen webDetailers Hs'!A:C,3,0))),"NA")</f>
        <v>Descartado</v>
      </c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4" t="str">
        <f>'Miembros de campaña PRVE'!C145</f>
        <v>245@gmail.com</v>
      </c>
      <c r="B145" s="33"/>
      <c r="C145" s="12" t="str">
        <f>IFERROR(__xludf.DUMMYFUNCTION("""COMPUTED_VALUE"""),"245@gmail.com")</f>
        <v>245@gmail.com</v>
      </c>
      <c r="D145" s="12" t="str">
        <f>IFNA(VLOOKUP(C145,'Miembros de campaña PRVE'!C:E,3,0),"NA")</f>
        <v>Lead</v>
      </c>
      <c r="E145" s="35">
        <f>IFNA(IFNA(VLOOKUP(C145,'Miembros de campaña PRVE'!C:D,2,0),(VLOOKUP(C145,'SIC - FLOW! - Solicitudes BOFU '!B:C,2,0))),"")</f>
        <v>44000</v>
      </c>
      <c r="F145" s="12" t="str">
        <f>IFNA(IFNA(VLOOKUP(C145,'Estado de leads de campaña PRVE'!B:D,3,0),(VLOOKUP(C145,'Leads Sf Origen webDetailers Hs'!A:C,3,0))),"NA")</f>
        <v>Descartado</v>
      </c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4" t="str">
        <f>'Miembros de campaña PRVE'!C146</f>
        <v>249@herreroingenieros.com</v>
      </c>
      <c r="B146" s="33"/>
      <c r="C146" s="12" t="str">
        <f>IFERROR(__xludf.DUMMYFUNCTION("""COMPUTED_VALUE"""),"249@herreroingenieros.com")</f>
        <v>249@herreroingenieros.com</v>
      </c>
      <c r="D146" s="12" t="str">
        <f>IFNA(VLOOKUP(C146,'Miembros de campaña PRVE'!C:E,3,0),"NA")</f>
        <v>Contacto</v>
      </c>
      <c r="E146" s="35">
        <f>IFNA(IFNA(VLOOKUP(C146,'Miembros de campaña PRVE'!C:D,2,0),(VLOOKUP(C146,'SIC - FLOW! - Solicitudes BOFU '!B:C,2,0))),"")</f>
        <v>43999</v>
      </c>
      <c r="F146" s="12" t="str">
        <f>IFNA(IFNA(VLOOKUP(C146,'Estado de leads de campaña PRVE'!B:D,3,0),(VLOOKUP(C146,'Leads Sf Origen webDetailers Hs'!A:C,3,0))),"NA")</f>
        <v>NA</v>
      </c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4" t="str">
        <f>'Miembros de campaña PRVE'!C147</f>
        <v>250@inacces.com</v>
      </c>
      <c r="B147" s="33"/>
      <c r="C147" s="12" t="str">
        <f>IFERROR(__xludf.DUMMYFUNCTION("""COMPUTED_VALUE"""),"250@inacces.com")</f>
        <v>250@inacces.com</v>
      </c>
      <c r="D147" s="12" t="str">
        <f>IFNA(VLOOKUP(C147,'Miembros de campaña PRVE'!C:E,3,0),"NA")</f>
        <v>Lead</v>
      </c>
      <c r="E147" s="35">
        <f>IFNA(IFNA(VLOOKUP(C147,'Miembros de campaña PRVE'!C:D,2,0),(VLOOKUP(C147,'SIC - FLOW! - Solicitudes BOFU '!B:C,2,0))),"")</f>
        <v>43999</v>
      </c>
      <c r="F147" s="12" t="str">
        <f>IFNA(IFNA(VLOOKUP(C147,'Estado de leads de campaña PRVE'!B:D,3,0),(VLOOKUP(C147,'Leads Sf Origen webDetailers Hs'!A:C,3,0))),"NA")</f>
        <v>Descartado</v>
      </c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4" t="str">
        <f>'Miembros de campaña PRVE'!C148</f>
        <v>985@jesnar2011.es</v>
      </c>
      <c r="B148" s="33"/>
      <c r="C148" s="12" t="str">
        <f>IFERROR(__xludf.DUMMYFUNCTION("""COMPUTED_VALUE"""),"985@jesnar2011.es")</f>
        <v>985@jesnar2011.es</v>
      </c>
      <c r="D148" s="12" t="str">
        <f>IFNA(VLOOKUP(C148,'Miembros de campaña PRVE'!C:E,3,0),"NA")</f>
        <v>Contacto</v>
      </c>
      <c r="E148" s="35">
        <f>IFNA(IFNA(VLOOKUP(C148,'Miembros de campaña PRVE'!C:D,2,0),(VLOOKUP(C148,'SIC - FLOW! - Solicitudes BOFU '!B:C,2,0))),"")</f>
        <v>43998</v>
      </c>
      <c r="F148" s="12" t="str">
        <f>IFNA(IFNA(VLOOKUP(C148,'Estado de leads de campaña PRVE'!B:D,3,0),(VLOOKUP(C148,'Leads Sf Origen webDetailers Hs'!A:C,3,0))),"NA")</f>
        <v>NA</v>
      </c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4" t="str">
        <f>'Miembros de campaña PRVE'!C149</f>
        <v>273@gmail.com</v>
      </c>
      <c r="B149" s="33"/>
      <c r="C149" s="12" t="str">
        <f>IFERROR(__xludf.DUMMYFUNCTION("""COMPUTED_VALUE"""),"273@gmail.com")</f>
        <v>273@gmail.com</v>
      </c>
      <c r="D149" s="12" t="str">
        <f>IFNA(VLOOKUP(C149,'Miembros de campaña PRVE'!C:E,3,0),"NA")</f>
        <v>Lead</v>
      </c>
      <c r="E149" s="35">
        <f>IFNA(IFNA(VLOOKUP(C149,'Miembros de campaña PRVE'!C:D,2,0),(VLOOKUP(C149,'SIC - FLOW! - Solicitudes BOFU '!B:C,2,0))),"")</f>
        <v>43997</v>
      </c>
      <c r="F149" s="12" t="str">
        <f>IFNA(IFNA(VLOOKUP(C149,'Estado de leads de campaña PRVE'!B:D,3,0),(VLOOKUP(C149,'Leads Sf Origen webDetailers Hs'!A:C,3,0))),"NA")</f>
        <v>Descartado</v>
      </c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4" t="str">
        <f>'Miembros de campaña PRVE'!C150</f>
        <v>278@urbaser.com</v>
      </c>
      <c r="B150" s="33"/>
      <c r="C150" s="12" t="str">
        <f>IFERROR(__xludf.DUMMYFUNCTION("""COMPUTED_VALUE"""),"278@urbaser.com")</f>
        <v>278@urbaser.com</v>
      </c>
      <c r="D150" s="12" t="str">
        <f>IFNA(VLOOKUP(C150,'Miembros de campaña PRVE'!C:E,3,0),"NA")</f>
        <v>Lead</v>
      </c>
      <c r="E150" s="35">
        <f>IFNA(IFNA(VLOOKUP(C150,'Miembros de campaña PRVE'!C:D,2,0),(VLOOKUP(C150,'SIC - FLOW! - Solicitudes BOFU '!B:C,2,0))),"")</f>
        <v>43997</v>
      </c>
      <c r="F150" s="12" t="str">
        <f>IFNA(IFNA(VLOOKUP(C150,'Estado de leads de campaña PRVE'!B:D,3,0),(VLOOKUP(C150,'Leads Sf Origen webDetailers Hs'!A:C,3,0))),"NA")</f>
        <v>Descartado</v>
      </c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4" t="str">
        <f>'Miembros de campaña PRVE'!C151</f>
        <v>296@gmail.com</v>
      </c>
      <c r="B151" s="33"/>
      <c r="C151" s="12" t="str">
        <f>IFERROR(__xludf.DUMMYFUNCTION("""COMPUTED_VALUE"""),"296@gmail.com")</f>
        <v>296@gmail.com</v>
      </c>
      <c r="D151" s="12" t="str">
        <f>IFNA(VLOOKUP(C151,'Miembros de campaña PRVE'!C:E,3,0),"NA")</f>
        <v>Lead</v>
      </c>
      <c r="E151" s="35">
        <f>IFNA(IFNA(VLOOKUP(C151,'Miembros de campaña PRVE'!C:D,2,0),(VLOOKUP(C151,'SIC - FLOW! - Solicitudes BOFU '!B:C,2,0))),"")</f>
        <v>43997</v>
      </c>
      <c r="F151" s="12" t="str">
        <f>IFNA(IFNA(VLOOKUP(C151,'Estado de leads de campaña PRVE'!B:D,3,0),(VLOOKUP(C151,'Leads Sf Origen webDetailers Hs'!A:C,3,0))),"NA")</f>
        <v>Descartado</v>
      </c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4" t="str">
        <f>'Miembros de campaña PRVE'!C152</f>
        <v>267@fiberlec.com</v>
      </c>
      <c r="B152" s="33"/>
      <c r="C152" s="12" t="str">
        <f>IFERROR(__xludf.DUMMYFUNCTION("""COMPUTED_VALUE"""),"267@fiberlec.com")</f>
        <v>267@fiberlec.com</v>
      </c>
      <c r="D152" s="12" t="str">
        <f>IFNA(VLOOKUP(C152,'Miembros de campaña PRVE'!C:E,3,0),"NA")</f>
        <v>Contacto</v>
      </c>
      <c r="E152" s="35">
        <f>IFNA(IFNA(VLOOKUP(C152,'Miembros de campaña PRVE'!C:D,2,0),(VLOOKUP(C152,'SIC - FLOW! - Solicitudes BOFU '!B:C,2,0))),"")</f>
        <v>43997</v>
      </c>
      <c r="F152" s="12" t="str">
        <f>IFNA(IFNA(VLOOKUP(C152,'Estado de leads de campaña PRVE'!B:D,3,0),(VLOOKUP(C152,'Leads Sf Origen webDetailers Hs'!A:C,3,0))),"NA")</f>
        <v>Convertido</v>
      </c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4" t="str">
        <f>'Miembros de campaña PRVE'!C153</f>
        <v>3032@gmail.com</v>
      </c>
      <c r="B153" s="33"/>
      <c r="C153" s="12" t="str">
        <f>IFERROR(__xludf.DUMMYFUNCTION("""COMPUTED_VALUE"""),"3032@gmail.com")</f>
        <v>3032@gmail.com</v>
      </c>
      <c r="D153" s="12" t="str">
        <f>IFNA(VLOOKUP(C153,'Miembros de campaña PRVE'!C:E,3,0),"NA")</f>
        <v>Contacto</v>
      </c>
      <c r="E153" s="35">
        <f>IFNA(IFNA(VLOOKUP(C153,'Miembros de campaña PRVE'!C:D,2,0),(VLOOKUP(C153,'SIC - FLOW! - Solicitudes BOFU '!B:C,2,0))),"")</f>
        <v>43993</v>
      </c>
      <c r="F153" s="12" t="str">
        <f>IFNA(IFNA(VLOOKUP(C153,'Estado de leads de campaña PRVE'!B:D,3,0),(VLOOKUP(C153,'Leads Sf Origen webDetailers Hs'!A:C,3,0))),"NA")</f>
        <v>NA</v>
      </c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4" t="str">
        <f>'Miembros de campaña PRVE'!C154</f>
        <v>324@onsaze.es</v>
      </c>
      <c r="B154" s="33"/>
      <c r="C154" s="12" t="str">
        <f>IFERROR(__xludf.DUMMYFUNCTION("""COMPUTED_VALUE"""),"324@onsaze.es")</f>
        <v>324@onsaze.es</v>
      </c>
      <c r="D154" s="12" t="str">
        <f>IFNA(VLOOKUP(C154,'Miembros de campaña PRVE'!C:E,3,0),"NA")</f>
        <v>Lead</v>
      </c>
      <c r="E154" s="35">
        <f>IFNA(IFNA(VLOOKUP(C154,'Miembros de campaña PRVE'!C:D,2,0),(VLOOKUP(C154,'SIC - FLOW! - Solicitudes BOFU '!B:C,2,0))),"")</f>
        <v>43990</v>
      </c>
      <c r="F154" s="12" t="str">
        <f>IFNA(IFNA(VLOOKUP(C154,'Estado de leads de campaña PRVE'!B:D,3,0),(VLOOKUP(C154,'Leads Sf Origen webDetailers Hs'!A:C,3,0))),"NA")</f>
        <v>SQL</v>
      </c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4" t="str">
        <f>'Miembros de campaña PRVE'!C155</f>
        <v>361@trabajosadomicilio.es</v>
      </c>
      <c r="B155" s="33"/>
      <c r="C155" s="12" t="str">
        <f>IFERROR(__xludf.DUMMYFUNCTION("""COMPUTED_VALUE"""),"361@trabajosadomicilio.es")</f>
        <v>361@trabajosadomicilio.es</v>
      </c>
      <c r="D155" s="12" t="str">
        <f>IFNA(VLOOKUP(C155,'Miembros de campaña PRVE'!C:E,3,0),"NA")</f>
        <v>Lead</v>
      </c>
      <c r="E155" s="35">
        <f>IFNA(IFNA(VLOOKUP(C155,'Miembros de campaña PRVE'!C:D,2,0),(VLOOKUP(C155,'SIC - FLOW! - Solicitudes BOFU '!B:C,2,0))),"")</f>
        <v>43986</v>
      </c>
      <c r="F155" s="12" t="str">
        <f>IFNA(IFNA(VLOOKUP(C155,'Estado de leads de campaña PRVE'!B:D,3,0),(VLOOKUP(C155,'Leads Sf Origen webDetailers Hs'!A:C,3,0))),"NA")</f>
        <v>Descartado</v>
      </c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4" t="str">
        <f>'Miembros de campaña PRVE'!C156</f>
        <v>373@eling.es</v>
      </c>
      <c r="B156" s="33"/>
      <c r="C156" s="12" t="str">
        <f>IFERROR(__xludf.DUMMYFUNCTION("""COMPUTED_VALUE"""),"373@eling.es")</f>
        <v>373@eling.es</v>
      </c>
      <c r="D156" s="12" t="str">
        <f>IFNA(VLOOKUP(C156,'Miembros de campaña PRVE'!C:E,3,0),"NA")</f>
        <v>Lead</v>
      </c>
      <c r="E156" s="35">
        <f>IFNA(IFNA(VLOOKUP(C156,'Miembros de campaña PRVE'!C:D,2,0),(VLOOKUP(C156,'SIC - FLOW! - Solicitudes BOFU '!B:C,2,0))),"")</f>
        <v>43986</v>
      </c>
      <c r="F156" s="12" t="str">
        <f>IFNA(IFNA(VLOOKUP(C156,'Estado de leads de campaña PRVE'!B:D,3,0),(VLOOKUP(C156,'Leads Sf Origen webDetailers Hs'!A:C,3,0))),"NA")</f>
        <v>Descartado</v>
      </c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4" t="str">
        <f>'Miembros de campaña PRVE'!C157</f>
        <v>260@hotmail.com</v>
      </c>
      <c r="B157" s="33"/>
      <c r="C157" s="12" t="str">
        <f>IFERROR(__xludf.DUMMYFUNCTION("""COMPUTED_VALUE"""),"260@hotmail.com")</f>
        <v>260@hotmail.com</v>
      </c>
      <c r="D157" s="12" t="str">
        <f>IFNA(VLOOKUP(C157,'Miembros de campaña PRVE'!C:E,3,0),"NA")</f>
        <v>Lead</v>
      </c>
      <c r="E157" s="35">
        <f>IFNA(IFNA(VLOOKUP(C157,'Miembros de campaña PRVE'!C:D,2,0),(VLOOKUP(C157,'SIC - FLOW! - Solicitudes BOFU '!B:C,2,0))),"")</f>
        <v>43985</v>
      </c>
      <c r="F157" s="12" t="str">
        <f>IFNA(IFNA(VLOOKUP(C157,'Estado de leads de campaña PRVE'!B:D,3,0),(VLOOKUP(C157,'Leads Sf Origen webDetailers Hs'!A:C,3,0))),"NA")</f>
        <v>Descartado</v>
      </c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4" t="str">
        <f>'Miembros de campaña PRVE'!C158</f>
        <v>427@gmail.com</v>
      </c>
      <c r="B158" s="33"/>
      <c r="C158" s="12" t="str">
        <f>IFERROR(__xludf.DUMMYFUNCTION("""COMPUTED_VALUE"""),"427@gmail.com")</f>
        <v>427@gmail.com</v>
      </c>
      <c r="D158" s="12" t="str">
        <f>IFNA(VLOOKUP(C158,'Miembros de campaña PRVE'!C:E,3,0),"NA")</f>
        <v>Lead</v>
      </c>
      <c r="E158" s="35">
        <f>IFNA(IFNA(VLOOKUP(C158,'Miembros de campaña PRVE'!C:D,2,0),(VLOOKUP(C158,'SIC - FLOW! - Solicitudes BOFU '!B:C,2,0))),"")</f>
        <v>43985</v>
      </c>
      <c r="F158" s="12" t="str">
        <f>IFNA(IFNA(VLOOKUP(C158,'Estado de leads de campaña PRVE'!B:D,3,0),(VLOOKUP(C158,'Leads Sf Origen webDetailers Hs'!A:C,3,0))),"NA")</f>
        <v>Descartado</v>
      </c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4" t="str">
        <f>'Miembros de campaña PRVE'!C159</f>
        <v>450@gmail.com</v>
      </c>
      <c r="B159" s="33"/>
      <c r="C159" s="12" t="str">
        <f>IFERROR(__xludf.DUMMYFUNCTION("""COMPUTED_VALUE"""),"450@gmail.com")</f>
        <v>450@gmail.com</v>
      </c>
      <c r="D159" s="12" t="str">
        <f>IFNA(VLOOKUP(C159,'Miembros de campaña PRVE'!C:E,3,0),"NA")</f>
        <v>Lead</v>
      </c>
      <c r="E159" s="35">
        <f>IFNA(IFNA(VLOOKUP(C159,'Miembros de campaña PRVE'!C:D,2,0),(VLOOKUP(C159,'SIC - FLOW! - Solicitudes BOFU '!B:C,2,0))),"")</f>
        <v>43985</v>
      </c>
      <c r="F159" s="12" t="str">
        <f>IFNA(IFNA(VLOOKUP(C159,'Estado de leads de campaña PRVE'!B:D,3,0),(VLOOKUP(C159,'Leads Sf Origen webDetailers Hs'!A:C,3,0))),"NA")</f>
        <v>Descartado</v>
      </c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4" t="str">
        <f>'Miembros de campaña PRVE'!C160</f>
        <v>454@gmail.com</v>
      </c>
      <c r="B160" s="33"/>
      <c r="C160" s="12" t="str">
        <f>IFERROR(__xludf.DUMMYFUNCTION("""COMPUTED_VALUE"""),"454@gmail.com")</f>
        <v>454@gmail.com</v>
      </c>
      <c r="D160" s="12" t="str">
        <f>IFNA(VLOOKUP(C160,'Miembros de campaña PRVE'!C:E,3,0),"NA")</f>
        <v>Lead</v>
      </c>
      <c r="E160" s="35">
        <f>IFNA(IFNA(VLOOKUP(C160,'Miembros de campaña PRVE'!C:D,2,0),(VLOOKUP(C160,'SIC - FLOW! - Solicitudes BOFU '!B:C,2,0))),"")</f>
        <v>43985</v>
      </c>
      <c r="F160" s="12" t="str">
        <f>IFNA(IFNA(VLOOKUP(C160,'Estado de leads de campaña PRVE'!B:D,3,0),(VLOOKUP(C160,'Leads Sf Origen webDetailers Hs'!A:C,3,0))),"NA")</f>
        <v>Nuevo</v>
      </c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4" t="str">
        <f>'Miembros de campaña PRVE'!C161</f>
        <v>468@yahoo.es</v>
      </c>
      <c r="B161" s="33"/>
      <c r="C161" s="12" t="str">
        <f>IFERROR(__xludf.DUMMYFUNCTION("""COMPUTED_VALUE"""),"468@yahoo.es")</f>
        <v>468@yahoo.es</v>
      </c>
      <c r="D161" s="12" t="str">
        <f>IFNA(VLOOKUP(C161,'Miembros de campaña PRVE'!C:E,3,0),"NA")</f>
        <v>Lead</v>
      </c>
      <c r="E161" s="35">
        <f>IFNA(IFNA(VLOOKUP(C161,'Miembros de campaña PRVE'!C:D,2,0),(VLOOKUP(C161,'SIC - FLOW! - Solicitudes BOFU '!B:C,2,0))),"")</f>
        <v>43983</v>
      </c>
      <c r="F161" s="12" t="str">
        <f>IFNA(IFNA(VLOOKUP(C161,'Estado de leads de campaña PRVE'!B:D,3,0),(VLOOKUP(C161,'Leads Sf Origen webDetailers Hs'!A:C,3,0))),"NA")</f>
        <v>Descartado</v>
      </c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4" t="str">
        <f>'Miembros de campaña PRVE'!C162</f>
        <v>470@gmail.com</v>
      </c>
      <c r="B162" s="33"/>
      <c r="C162" s="12" t="str">
        <f>IFERROR(__xludf.DUMMYFUNCTION("""COMPUTED_VALUE"""),"470@gmail.com")</f>
        <v>470@gmail.com</v>
      </c>
      <c r="D162" s="12" t="str">
        <f>IFNA(VLOOKUP(C162,'Miembros de campaña PRVE'!C:E,3,0),"NA")</f>
        <v>Lead</v>
      </c>
      <c r="E162" s="35">
        <f>IFNA(IFNA(VLOOKUP(C162,'Miembros de campaña PRVE'!C:D,2,0),(VLOOKUP(C162,'SIC - FLOW! - Solicitudes BOFU '!B:C,2,0))),"")</f>
        <v>43983</v>
      </c>
      <c r="F162" s="12" t="str">
        <f>IFNA(IFNA(VLOOKUP(C162,'Estado de leads de campaña PRVE'!B:D,3,0),(VLOOKUP(C162,'Leads Sf Origen webDetailers Hs'!A:C,3,0))),"NA")</f>
        <v>Descartado</v>
      </c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4" t="str">
        <f>'Miembros de campaña PRVE'!C163</f>
        <v>481@gmail.com</v>
      </c>
      <c r="B163" s="33"/>
      <c r="C163" s="12" t="str">
        <f>IFERROR(__xludf.DUMMYFUNCTION("""COMPUTED_VALUE"""),"481@gmail.com")</f>
        <v>481@gmail.com</v>
      </c>
      <c r="D163" s="12" t="str">
        <f>IFNA(VLOOKUP(C163,'Miembros de campaña PRVE'!C:E,3,0),"NA")</f>
        <v>Contacto</v>
      </c>
      <c r="E163" s="35">
        <f>IFNA(IFNA(VLOOKUP(C163,'Miembros de campaña PRVE'!C:D,2,0),(VLOOKUP(C163,'SIC - FLOW! - Solicitudes BOFU '!B:C,2,0))),"")</f>
        <v>43981</v>
      </c>
      <c r="F163" s="12" t="str">
        <f>IFNA(IFNA(VLOOKUP(C163,'Estado de leads de campaña PRVE'!B:D,3,0),(VLOOKUP(C163,'Leads Sf Origen webDetailers Hs'!A:C,3,0))),"NA")</f>
        <v>NA</v>
      </c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4" t="str">
        <f>'Miembros de campaña PRVE'!C164</f>
        <v>521@gmail.com</v>
      </c>
      <c r="B164" s="33"/>
      <c r="C164" s="12" t="str">
        <f>IFERROR(__xludf.DUMMYFUNCTION("""COMPUTED_VALUE"""),"521@gmail.com")</f>
        <v>521@gmail.com</v>
      </c>
      <c r="D164" s="12" t="str">
        <f>IFNA(VLOOKUP(C164,'Miembros de campaña PRVE'!C:E,3,0),"NA")</f>
        <v>Lead</v>
      </c>
      <c r="E164" s="35">
        <f>IFNA(IFNA(VLOOKUP(C164,'Miembros de campaña PRVE'!C:D,2,0),(VLOOKUP(C164,'SIC - FLOW! - Solicitudes BOFU '!B:C,2,0))),"")</f>
        <v>43976</v>
      </c>
      <c r="F164" s="12" t="str">
        <f>IFNA(IFNA(VLOOKUP(C164,'Estado de leads de campaña PRVE'!B:D,3,0),(VLOOKUP(C164,'Leads Sf Origen webDetailers Hs'!A:C,3,0))),"NA")</f>
        <v>Descartado</v>
      </c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4" t="str">
        <f>'Miembros de campaña PRVE'!C165</f>
        <v>526@gmail.com</v>
      </c>
      <c r="B165" s="33"/>
      <c r="C165" s="12" t="str">
        <f>IFERROR(__xludf.DUMMYFUNCTION("""COMPUTED_VALUE"""),"526@gmail.com")</f>
        <v>526@gmail.com</v>
      </c>
      <c r="D165" s="12" t="str">
        <f>IFNA(VLOOKUP(C165,'Miembros de campaña PRVE'!C:E,3,0),"NA")</f>
        <v>Lead</v>
      </c>
      <c r="E165" s="35">
        <f>IFNA(IFNA(VLOOKUP(C165,'Miembros de campaña PRVE'!C:D,2,0),(VLOOKUP(C165,'SIC - FLOW! - Solicitudes BOFU '!B:C,2,0))),"")</f>
        <v>43976</v>
      </c>
      <c r="F165" s="12" t="str">
        <f>IFNA(IFNA(VLOOKUP(C165,'Estado de leads de campaña PRVE'!B:D,3,0),(VLOOKUP(C165,'Leads Sf Origen webDetailers Hs'!A:C,3,0))),"NA")</f>
        <v>Descartado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4" t="str">
        <f>'Miembros de campaña PRVE'!C166</f>
        <v>565@gmail.com</v>
      </c>
      <c r="B166" s="33"/>
      <c r="C166" s="12" t="str">
        <f>IFERROR(__xludf.DUMMYFUNCTION("""COMPUTED_VALUE"""),"565@gmail.com")</f>
        <v>565@gmail.com</v>
      </c>
      <c r="D166" s="12" t="str">
        <f>IFNA(VLOOKUP(C166,'Miembros de campaña PRVE'!C:E,3,0),"NA")</f>
        <v>Lead</v>
      </c>
      <c r="E166" s="35">
        <f>IFNA(IFNA(VLOOKUP(C166,'Miembros de campaña PRVE'!C:D,2,0),(VLOOKUP(C166,'SIC - FLOW! - Solicitudes BOFU '!B:C,2,0))),"")</f>
        <v>43975</v>
      </c>
      <c r="F166" s="12" t="str">
        <f>IFNA(IFNA(VLOOKUP(C166,'Estado de leads de campaña PRVE'!B:D,3,0),(VLOOKUP(C166,'Leads Sf Origen webDetailers Hs'!A:C,3,0))),"NA")</f>
        <v>Descartado</v>
      </c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4" t="str">
        <f>'Miembros de campaña PRVE'!C167</f>
        <v>569@hotmail.com</v>
      </c>
      <c r="B167" s="33"/>
      <c r="C167" s="12" t="str">
        <f>IFERROR(__xludf.DUMMYFUNCTION("""COMPUTED_VALUE"""),"569@hotmail.com")</f>
        <v>569@hotmail.com</v>
      </c>
      <c r="D167" s="12" t="str">
        <f>IFNA(VLOOKUP(C167,'Miembros de campaña PRVE'!C:E,3,0),"NA")</f>
        <v>Lead</v>
      </c>
      <c r="E167" s="35">
        <f>IFNA(IFNA(VLOOKUP(C167,'Miembros de campaña PRVE'!C:D,2,0),(VLOOKUP(C167,'SIC - FLOW! - Solicitudes BOFU '!B:C,2,0))),"")</f>
        <v>43975</v>
      </c>
      <c r="F167" s="12" t="str">
        <f>IFNA(IFNA(VLOOKUP(C167,'Estado de leads de campaña PRVE'!B:D,3,0),(VLOOKUP(C167,'Leads Sf Origen webDetailers Hs'!A:C,3,0))),"NA")</f>
        <v>Descartado</v>
      </c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4" t="str">
        <f>'Miembros de campaña PRVE'!C168</f>
        <v>4070@hotmail.com</v>
      </c>
      <c r="B168" s="33"/>
      <c r="C168" s="12" t="str">
        <f>IFERROR(__xludf.DUMMYFUNCTION("""COMPUTED_VALUE"""),"4070@hotmail.com")</f>
        <v>4070@hotmail.com</v>
      </c>
      <c r="D168" s="12" t="str">
        <f>IFNA(VLOOKUP(C168,'Miembros de campaña PRVE'!C:E,3,0),"NA")</f>
        <v>Lead</v>
      </c>
      <c r="E168" s="35">
        <f>IFNA(IFNA(VLOOKUP(C168,'Miembros de campaña PRVE'!C:D,2,0),(VLOOKUP(C168,'SIC - FLOW! - Solicitudes BOFU '!B:C,2,0))),"")</f>
        <v>43974</v>
      </c>
      <c r="F168" s="12" t="str">
        <f>IFNA(IFNA(VLOOKUP(C168,'Estado de leads de campaña PRVE'!B:D,3,0),(VLOOKUP(C168,'Leads Sf Origen webDetailers Hs'!A:C,3,0))),"NA")</f>
        <v>Descartado</v>
      </c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4" t="str">
        <f>'Miembros de campaña PRVE'!C169</f>
        <v>583@iesmontsia.org</v>
      </c>
      <c r="B169" s="33"/>
      <c r="C169" s="12" t="str">
        <f>IFERROR(__xludf.DUMMYFUNCTION("""COMPUTED_VALUE"""),"583@iesmontsia.org")</f>
        <v>583@iesmontsia.org</v>
      </c>
      <c r="D169" s="12" t="str">
        <f>IFNA(VLOOKUP(C169,'Miembros de campaña PRVE'!C:E,3,0),"NA")</f>
        <v>Lead</v>
      </c>
      <c r="E169" s="35">
        <f>IFNA(IFNA(VLOOKUP(C169,'Miembros de campaña PRVE'!C:D,2,0),(VLOOKUP(C169,'SIC - FLOW! - Solicitudes BOFU '!B:C,2,0))),"")</f>
        <v>43974</v>
      </c>
      <c r="F169" s="12" t="str">
        <f>IFNA(IFNA(VLOOKUP(C169,'Estado de leads de campaña PRVE'!B:D,3,0),(VLOOKUP(C169,'Leads Sf Origen webDetailers Hs'!A:C,3,0))),"NA")</f>
        <v>Descartado</v>
      </c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4" t="str">
        <f>'Miembros de campaña PRVE'!C170</f>
        <v>615@iealcazar.com</v>
      </c>
      <c r="B170" s="33"/>
      <c r="C170" s="12" t="str">
        <f>IFERROR(__xludf.DUMMYFUNCTION("""COMPUTED_VALUE"""),"615@iealcazar.com")</f>
        <v>615@iealcazar.com</v>
      </c>
      <c r="D170" s="12" t="str">
        <f>IFNA(VLOOKUP(C170,'Miembros de campaña PRVE'!C:E,3,0),"NA")</f>
        <v>Contacto</v>
      </c>
      <c r="E170" s="35">
        <f>IFNA(IFNA(VLOOKUP(C170,'Miembros de campaña PRVE'!C:D,2,0),(VLOOKUP(C170,'SIC - FLOW! - Solicitudes BOFU '!B:C,2,0))),"")</f>
        <v>43973</v>
      </c>
      <c r="F170" s="12" t="str">
        <f>IFNA(IFNA(VLOOKUP(C170,'Estado de leads de campaña PRVE'!B:D,3,0),(VLOOKUP(C170,'Leads Sf Origen webDetailers Hs'!A:C,3,0))),"NA")</f>
        <v>NA</v>
      </c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4" t="str">
        <f>'Miembros de campaña PRVE'!C171</f>
        <v>3190@aprenergia.es</v>
      </c>
      <c r="B171" s="33"/>
      <c r="C171" s="12" t="str">
        <f>IFERROR(__xludf.DUMMYFUNCTION("""COMPUTED_VALUE"""),"3190@aprenergia.es")</f>
        <v>3190@aprenergia.es</v>
      </c>
      <c r="D171" s="12" t="str">
        <f>IFNA(VLOOKUP(C171,'Miembros de campaña PRVE'!C:E,3,0),"NA")</f>
        <v>Lead</v>
      </c>
      <c r="E171" s="35">
        <f>IFNA(IFNA(VLOOKUP(C171,'Miembros de campaña PRVE'!C:D,2,0),(VLOOKUP(C171,'SIC - FLOW! - Solicitudes BOFU '!B:C,2,0))),"")</f>
        <v>43973</v>
      </c>
      <c r="F171" s="12" t="str">
        <f>IFNA(IFNA(VLOOKUP(C171,'Estado de leads de campaña PRVE'!B:D,3,0),(VLOOKUP(C171,'Leads Sf Origen webDetailers Hs'!A:C,3,0))),"NA")</f>
        <v>Descartado</v>
      </c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4" t="str">
        <f>'Miembros de campaña PRVE'!C172</f>
        <v>635@coneq.es</v>
      </c>
      <c r="B172" s="33"/>
      <c r="C172" s="12" t="str">
        <f>IFERROR(__xludf.DUMMYFUNCTION("""COMPUTED_VALUE"""),"635@coneq.es")</f>
        <v>635@coneq.es</v>
      </c>
      <c r="D172" s="12" t="str">
        <f>IFNA(VLOOKUP(C172,'Miembros de campaña PRVE'!C:E,3,0),"NA")</f>
        <v>Lead</v>
      </c>
      <c r="E172" s="35">
        <f>IFNA(IFNA(VLOOKUP(C172,'Miembros de campaña PRVE'!C:D,2,0),(VLOOKUP(C172,'SIC - FLOW! - Solicitudes BOFU '!B:C,2,0))),"")</f>
        <v>43973</v>
      </c>
      <c r="F172" s="12" t="str">
        <f>IFNA(IFNA(VLOOKUP(C172,'Estado de leads de campaña PRVE'!B:D,3,0),(VLOOKUP(C172,'Leads Sf Origen webDetailers Hs'!A:C,3,0))),"NA")</f>
        <v>Descartado</v>
      </c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4" t="str">
        <f>'Miembros de campaña PRVE'!C173</f>
        <v>701@gmail.com</v>
      </c>
      <c r="B173" s="33"/>
      <c r="C173" s="12" t="str">
        <f>IFERROR(__xludf.DUMMYFUNCTION("""COMPUTED_VALUE"""),"701@gmail.com")</f>
        <v>701@gmail.com</v>
      </c>
      <c r="D173" s="12" t="str">
        <f>IFNA(VLOOKUP(C173,'Miembros de campaña PRVE'!C:E,3,0),"NA")</f>
        <v>Lead</v>
      </c>
      <c r="E173" s="35">
        <f>IFNA(IFNA(VLOOKUP(C173,'Miembros de campaña PRVE'!C:D,2,0),(VLOOKUP(C173,'SIC - FLOW! - Solicitudes BOFU '!B:C,2,0))),"")</f>
        <v>43972</v>
      </c>
      <c r="F173" s="12" t="str">
        <f>IFNA(IFNA(VLOOKUP(C173,'Estado de leads de campaña PRVE'!B:D,3,0),(VLOOKUP(C173,'Leads Sf Origen webDetailers Hs'!A:C,3,0))),"NA")</f>
        <v>Nuevo</v>
      </c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4" t="str">
        <f>'Miembros de campaña PRVE'!C174</f>
        <v>3037@gmail.com</v>
      </c>
      <c r="B174" s="33"/>
      <c r="C174" s="12" t="str">
        <f>IFERROR(__xludf.DUMMYFUNCTION("""COMPUTED_VALUE"""),"3037@gmail.com")</f>
        <v>3037@gmail.com</v>
      </c>
      <c r="D174" s="12" t="str">
        <f>IFNA(VLOOKUP(C174,'Miembros de campaña PRVE'!C:E,3,0),"NA")</f>
        <v>Contacto</v>
      </c>
      <c r="E174" s="35">
        <f>IFNA(IFNA(VLOOKUP(C174,'Miembros de campaña PRVE'!C:D,2,0),(VLOOKUP(C174,'SIC - FLOW! - Solicitudes BOFU '!B:C,2,0))),"")</f>
        <v>43972</v>
      </c>
      <c r="F174" s="12" t="str">
        <f>IFNA(IFNA(VLOOKUP(C174,'Estado de leads de campaña PRVE'!B:D,3,0),(VLOOKUP(C174,'Leads Sf Origen webDetailers Hs'!A:C,3,0))),"NA")</f>
        <v>Convertido</v>
      </c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4" t="str">
        <f>'Miembros de campaña PRVE'!C175</f>
        <v>642@ecoviv.eu</v>
      </c>
      <c r="B175" s="33"/>
      <c r="C175" s="12" t="str">
        <f>IFERROR(__xludf.DUMMYFUNCTION("""COMPUTED_VALUE"""),"642@ecoviv.eu")</f>
        <v>642@ecoviv.eu</v>
      </c>
      <c r="D175" s="12" t="str">
        <f>IFNA(VLOOKUP(C175,'Miembros de campaña PRVE'!C:E,3,0),"NA")</f>
        <v>Contacto</v>
      </c>
      <c r="E175" s="35">
        <f>IFNA(IFNA(VLOOKUP(C175,'Miembros de campaña PRVE'!C:D,2,0),(VLOOKUP(C175,'SIC - FLOW! - Solicitudes BOFU '!B:C,2,0))),"")</f>
        <v>43972</v>
      </c>
      <c r="F175" s="12" t="str">
        <f>IFNA(IFNA(VLOOKUP(C175,'Estado de leads de campaña PRVE'!B:D,3,0),(VLOOKUP(C175,'Leads Sf Origen webDetailers Hs'!A:C,3,0))),"NA")</f>
        <v>Convertido</v>
      </c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4" t="str">
        <f>'Miembros de campaña PRVE'!C176</f>
        <v>733@gmail.com</v>
      </c>
      <c r="B176" s="33"/>
      <c r="C176" s="12" t="str">
        <f>IFERROR(__xludf.DUMMYFUNCTION("""COMPUTED_VALUE"""),"733@gmail.com")</f>
        <v>733@gmail.com</v>
      </c>
      <c r="D176" s="12" t="str">
        <f>IFNA(VLOOKUP(C176,'Miembros de campaña PRVE'!C:E,3,0),"NA")</f>
        <v>Contacto</v>
      </c>
      <c r="E176" s="35">
        <f>IFNA(IFNA(VLOOKUP(C176,'Miembros de campaña PRVE'!C:D,2,0),(VLOOKUP(C176,'SIC - FLOW! - Solicitudes BOFU '!B:C,2,0))),"")</f>
        <v>43972</v>
      </c>
      <c r="F176" s="12" t="str">
        <f>IFNA(IFNA(VLOOKUP(C176,'Estado de leads de campaña PRVE'!B:D,3,0),(VLOOKUP(C176,'Leads Sf Origen webDetailers Hs'!A:C,3,0))),"NA")</f>
        <v>NA</v>
      </c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4" t="str">
        <f>'Miembros de campaña PRVE'!C177</f>
        <v>668@dipucordoba.es</v>
      </c>
      <c r="B177" s="33"/>
      <c r="C177" s="12" t="str">
        <f>IFERROR(__xludf.DUMMYFUNCTION("""COMPUTED_VALUE"""),"668@dipucordoba.es")</f>
        <v>668@dipucordoba.es</v>
      </c>
      <c r="D177" s="12" t="str">
        <f>IFNA(VLOOKUP(C177,'Miembros de campaña PRVE'!C:E,3,0),"NA")</f>
        <v>Contacto</v>
      </c>
      <c r="E177" s="35">
        <f>IFNA(IFNA(VLOOKUP(C177,'Miembros de campaña PRVE'!C:D,2,0),(VLOOKUP(C177,'SIC - FLOW! - Solicitudes BOFU '!B:C,2,0))),"")</f>
        <v>43972</v>
      </c>
      <c r="F177" s="12" t="str">
        <f>IFNA(IFNA(VLOOKUP(C177,'Estado de leads de campaña PRVE'!B:D,3,0),(VLOOKUP(C177,'Leads Sf Origen webDetailers Hs'!A:C,3,0))),"NA")</f>
        <v>Convertido</v>
      </c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4" t="str">
        <f>'Miembros de campaña PRVE'!C178</f>
        <v>3028@gmail.com</v>
      </c>
      <c r="B178" s="33"/>
      <c r="C178" s="12" t="str">
        <f>IFERROR(__xludf.DUMMYFUNCTION("""COMPUTED_VALUE"""),"3028@gmail.com")</f>
        <v>3028@gmail.com</v>
      </c>
      <c r="D178" s="12" t="str">
        <f>IFNA(VLOOKUP(C178,'Miembros de campaña PRVE'!C:E,3,0),"NA")</f>
        <v>Contacto</v>
      </c>
      <c r="E178" s="35">
        <f>IFNA(IFNA(VLOOKUP(C178,'Miembros de campaña PRVE'!C:D,2,0),(VLOOKUP(C178,'SIC - FLOW! - Solicitudes BOFU '!B:C,2,0))),"")</f>
        <v>43972</v>
      </c>
      <c r="F178" s="12" t="str">
        <f>IFNA(IFNA(VLOOKUP(C178,'Estado de leads de campaña PRVE'!B:D,3,0),(VLOOKUP(C178,'Leads Sf Origen webDetailers Hs'!A:C,3,0))),"NA")</f>
        <v>NA</v>
      </c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4" t="str">
        <f>'Miembros de campaña PRVE'!C179</f>
        <v>749@gmail.com</v>
      </c>
      <c r="B179" s="33"/>
      <c r="C179" s="12" t="str">
        <f>IFERROR(__xludf.DUMMYFUNCTION("""COMPUTED_VALUE"""),"749@gmail.com")</f>
        <v>749@gmail.com</v>
      </c>
      <c r="D179" s="12" t="str">
        <f>IFNA(VLOOKUP(C179,'Miembros de campaña PRVE'!C:E,3,0),"NA")</f>
        <v>Lead</v>
      </c>
      <c r="E179" s="35">
        <f>IFNA(IFNA(VLOOKUP(C179,'Miembros de campaña PRVE'!C:D,2,0),(VLOOKUP(C179,'SIC - FLOW! - Solicitudes BOFU '!B:C,2,0))),"")</f>
        <v>43971</v>
      </c>
      <c r="F179" s="12" t="str">
        <f>IFNA(IFNA(VLOOKUP(C179,'Estado de leads de campaña PRVE'!B:D,3,0),(VLOOKUP(C179,'Leads Sf Origen webDetailers Hs'!A:C,3,0))),"NA")</f>
        <v>Descartado</v>
      </c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4" t="str">
        <f>'Miembros de campaña PRVE'!C180</f>
        <v>957@germaniaweb.com</v>
      </c>
      <c r="B180" s="33"/>
      <c r="C180" s="12" t="str">
        <f>IFERROR(__xludf.DUMMYFUNCTION("""COMPUTED_VALUE"""),"957@germaniaweb.com")</f>
        <v>957@germaniaweb.com</v>
      </c>
      <c r="D180" s="12" t="str">
        <f>IFNA(VLOOKUP(C180,'Miembros de campaña PRVE'!C:E,3,0),"NA")</f>
        <v>Contacto</v>
      </c>
      <c r="E180" s="35">
        <f>IFNA(IFNA(VLOOKUP(C180,'Miembros de campaña PRVE'!C:D,2,0),(VLOOKUP(C180,'SIC - FLOW! - Solicitudes BOFU '!B:C,2,0))),"")</f>
        <v>43971</v>
      </c>
      <c r="F180" s="12" t="str">
        <f>IFNA(IFNA(VLOOKUP(C180,'Estado de leads de campaña PRVE'!B:D,3,0),(VLOOKUP(C180,'Leads Sf Origen webDetailers Hs'!A:C,3,0))),"NA")</f>
        <v>NA</v>
      </c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4" t="str">
        <f>'Miembros de campaña PRVE'!C181</f>
        <v>684@gmail.com</v>
      </c>
      <c r="B181" s="33"/>
      <c r="C181" s="12" t="str">
        <f>IFERROR(__xludf.DUMMYFUNCTION("""COMPUTED_VALUE"""),"684@gmail.com")</f>
        <v>684@gmail.com</v>
      </c>
      <c r="D181" s="12" t="str">
        <f>IFNA(VLOOKUP(C181,'Miembros de campaña PRVE'!C:E,3,0),"NA")</f>
        <v>Lead</v>
      </c>
      <c r="E181" s="35">
        <f>IFNA(IFNA(VLOOKUP(C181,'Miembros de campaña PRVE'!C:D,2,0),(VLOOKUP(C181,'SIC - FLOW! - Solicitudes BOFU '!B:C,2,0))),"")</f>
        <v>43971</v>
      </c>
      <c r="F181" s="12" t="str">
        <f>IFNA(IFNA(VLOOKUP(C181,'Estado de leads de campaña PRVE'!B:D,3,0),(VLOOKUP(C181,'Leads Sf Origen webDetailers Hs'!A:C,3,0))),"NA")</f>
        <v>Descartado</v>
      </c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4" t="str">
        <f>'Miembros de campaña PRVE'!C182</f>
        <v>2082@hotmail.com</v>
      </c>
      <c r="B182" s="33"/>
      <c r="C182" s="12" t="str">
        <f>IFERROR(__xludf.DUMMYFUNCTION("""COMPUTED_VALUE"""),"2082@hotmail.com")</f>
        <v>2082@hotmail.com</v>
      </c>
      <c r="D182" s="12" t="str">
        <f>IFNA(VLOOKUP(C182,'Miembros de campaña PRVE'!C:E,3,0),"NA")</f>
        <v>Lead</v>
      </c>
      <c r="E182" s="35">
        <f>IFNA(IFNA(VLOOKUP(C182,'Miembros de campaña PRVE'!C:D,2,0),(VLOOKUP(C182,'SIC - FLOW! - Solicitudes BOFU '!B:C,2,0))),"")</f>
        <v>43971</v>
      </c>
      <c r="F182" s="12" t="str">
        <f>IFNA(IFNA(VLOOKUP(C182,'Estado de leads de campaña PRVE'!B:D,3,0),(VLOOKUP(C182,'Leads Sf Origen webDetailers Hs'!A:C,3,0))),"NA")</f>
        <v>Descartado</v>
      </c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4" t="str">
        <f>'Miembros de campaña PRVE'!C183</f>
        <v>3519@gmail.com</v>
      </c>
      <c r="B183" s="33"/>
      <c r="C183" s="12" t="str">
        <f>IFERROR(__xludf.DUMMYFUNCTION("""COMPUTED_VALUE"""),"3519@gmail.com")</f>
        <v>3519@gmail.com</v>
      </c>
      <c r="D183" s="12" t="str">
        <f>IFNA(VLOOKUP(C183,'Miembros de campaña PRVE'!C:E,3,0),"NA")</f>
        <v>Contacto</v>
      </c>
      <c r="E183" s="35">
        <f>IFNA(IFNA(VLOOKUP(C183,'Miembros de campaña PRVE'!C:D,2,0),(VLOOKUP(C183,'SIC - FLOW! - Solicitudes BOFU '!B:C,2,0))),"")</f>
        <v>43971</v>
      </c>
      <c r="F183" s="12" t="str">
        <f>IFNA(IFNA(VLOOKUP(C183,'Estado de leads de campaña PRVE'!B:D,3,0),(VLOOKUP(C183,'Leads Sf Origen webDetailers Hs'!A:C,3,0))),"NA")</f>
        <v>Convertido</v>
      </c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4" t="str">
        <f>'Miembros de campaña PRVE'!C184</f>
        <v>3030@a6ingenieria.es</v>
      </c>
      <c r="B184" s="33"/>
      <c r="C184" s="12" t="str">
        <f>IFERROR(__xludf.DUMMYFUNCTION("""COMPUTED_VALUE"""),"3030@a6ingenieria.es")</f>
        <v>3030@a6ingenieria.es</v>
      </c>
      <c r="D184" s="12" t="str">
        <f>IFNA(VLOOKUP(C184,'Miembros de campaña PRVE'!C:E,3,0),"NA")</f>
        <v>Contacto</v>
      </c>
      <c r="E184" s="35">
        <f>IFNA(IFNA(VLOOKUP(C184,'Miembros de campaña PRVE'!C:D,2,0),(VLOOKUP(C184,'SIC - FLOW! - Solicitudes BOFU '!B:C,2,0))),"")</f>
        <v>43971</v>
      </c>
      <c r="F184" s="12" t="str">
        <f>IFNA(IFNA(VLOOKUP(C184,'Estado de leads de campaña PRVE'!B:D,3,0),(VLOOKUP(C184,'Leads Sf Origen webDetailers Hs'!A:C,3,0))),"NA")</f>
        <v>NA</v>
      </c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4" t="str">
        <f>'Miembros de campaña PRVE'!C185</f>
        <v>634@easycharger.es</v>
      </c>
      <c r="B185" s="33"/>
      <c r="C185" s="12" t="str">
        <f>IFERROR(__xludf.DUMMYFUNCTION("""COMPUTED_VALUE"""),"634@easycharger.es")</f>
        <v>634@easycharger.es</v>
      </c>
      <c r="D185" s="12" t="str">
        <f>IFNA(VLOOKUP(C185,'Miembros de campaña PRVE'!C:E,3,0),"NA")</f>
        <v>Lead</v>
      </c>
      <c r="E185" s="35">
        <f>IFNA(IFNA(VLOOKUP(C185,'Miembros de campaña PRVE'!C:D,2,0),(VLOOKUP(C185,'SIC - FLOW! - Solicitudes BOFU '!B:C,2,0))),"")</f>
        <v>43971</v>
      </c>
      <c r="F185" s="12" t="str">
        <f>IFNA(IFNA(VLOOKUP(C185,'Estado de leads de campaña PRVE'!B:D,3,0),(VLOOKUP(C185,'Leads Sf Origen webDetailers Hs'!A:C,3,0))),"NA")</f>
        <v>Descartado</v>
      </c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4" t="str">
        <f>'Miembros de campaña PRVE'!C186</f>
        <v>773@perequart.com</v>
      </c>
      <c r="B186" s="33"/>
      <c r="C186" s="12" t="str">
        <f>IFERROR(__xludf.DUMMYFUNCTION("""COMPUTED_VALUE"""),"773@perequart.com")</f>
        <v>773@perequart.com</v>
      </c>
      <c r="D186" s="12" t="str">
        <f>IFNA(VLOOKUP(C186,'Miembros de campaña PRVE'!C:E,3,0),"NA")</f>
        <v>Lead</v>
      </c>
      <c r="E186" s="35">
        <f>IFNA(IFNA(VLOOKUP(C186,'Miembros de campaña PRVE'!C:D,2,0),(VLOOKUP(C186,'SIC - FLOW! - Solicitudes BOFU '!B:C,2,0))),"")</f>
        <v>43971</v>
      </c>
      <c r="F186" s="12" t="str">
        <f>IFNA(IFNA(VLOOKUP(C186,'Estado de leads de campaña PRVE'!B:D,3,0),(VLOOKUP(C186,'Leads Sf Origen webDetailers Hs'!A:C,3,0))),"NA")</f>
        <v>Descartado</v>
      </c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4" t="str">
        <f>'Miembros de campaña PRVE'!C187</f>
        <v>781@gmail.com</v>
      </c>
      <c r="B187" s="33"/>
      <c r="C187" s="12" t="str">
        <f>IFERROR(__xludf.DUMMYFUNCTION("""COMPUTED_VALUE"""),"781@gmail.com")</f>
        <v>781@gmail.com</v>
      </c>
      <c r="D187" s="12" t="str">
        <f>IFNA(VLOOKUP(C187,'Miembros de campaña PRVE'!C:E,3,0),"NA")</f>
        <v>Lead</v>
      </c>
      <c r="E187" s="35">
        <f>IFNA(IFNA(VLOOKUP(C187,'Miembros de campaña PRVE'!C:D,2,0),(VLOOKUP(C187,'SIC - FLOW! - Solicitudes BOFU '!B:C,2,0))),"")</f>
        <v>43970</v>
      </c>
      <c r="F187" s="12" t="str">
        <f>IFNA(IFNA(VLOOKUP(C187,'Estado de leads de campaña PRVE'!B:D,3,0),(VLOOKUP(C187,'Leads Sf Origen webDetailers Hs'!A:C,3,0))),"NA")</f>
        <v>Descartado</v>
      </c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4" t="str">
        <f>'Miembros de campaña PRVE'!C188</f>
        <v>789@simsabdn.cat</v>
      </c>
      <c r="B188" s="33"/>
      <c r="C188" s="12" t="str">
        <f>IFERROR(__xludf.DUMMYFUNCTION("""COMPUTED_VALUE"""),"789@simsabdn.cat")</f>
        <v>789@simsabdn.cat</v>
      </c>
      <c r="D188" s="12" t="str">
        <f>IFNA(VLOOKUP(C188,'Miembros de campaña PRVE'!C:E,3,0),"NA")</f>
        <v>Contacto</v>
      </c>
      <c r="E188" s="35">
        <f>IFNA(IFNA(VLOOKUP(C188,'Miembros de campaña PRVE'!C:D,2,0),(VLOOKUP(C188,'SIC - FLOW! - Solicitudes BOFU '!B:C,2,0))),"")</f>
        <v>43970</v>
      </c>
      <c r="F188" s="12" t="str">
        <f>IFNA(IFNA(VLOOKUP(C188,'Estado de leads de campaña PRVE'!B:D,3,0),(VLOOKUP(C188,'Leads Sf Origen webDetailers Hs'!A:C,3,0))),"NA")</f>
        <v>NA</v>
      </c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4" t="str">
        <f>'Miembros de campaña PRVE'!C189</f>
        <v>609@ritelecenergia.es</v>
      </c>
      <c r="B189" s="33"/>
      <c r="C189" s="12" t="str">
        <f>IFERROR(__xludf.DUMMYFUNCTION("""COMPUTED_VALUE"""),"609@ritelecenergia.es")</f>
        <v>609@ritelecenergia.es</v>
      </c>
      <c r="D189" s="12" t="str">
        <f>IFNA(VLOOKUP(C189,'Miembros de campaña PRVE'!C:E,3,0),"NA")</f>
        <v>Lead</v>
      </c>
      <c r="E189" s="35">
        <f>IFNA(IFNA(VLOOKUP(C189,'Miembros de campaña PRVE'!C:D,2,0),(VLOOKUP(C189,'SIC - FLOW! - Solicitudes BOFU '!B:C,2,0))),"")</f>
        <v>43969</v>
      </c>
      <c r="F189" s="12" t="str">
        <f>IFNA(IFNA(VLOOKUP(C189,'Estado de leads de campaña PRVE'!B:D,3,0),(VLOOKUP(C189,'Leads Sf Origen webDetailers Hs'!A:C,3,0))),"NA")</f>
        <v>Descartado</v>
      </c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4" t="str">
        <f>'Miembros de campaña PRVE'!C190</f>
        <v>800@taubertek.com</v>
      </c>
      <c r="B190" s="33"/>
      <c r="C190" s="12" t="str">
        <f>IFERROR(__xludf.DUMMYFUNCTION("""COMPUTED_VALUE"""),"800@taubertek.com")</f>
        <v>800@taubertek.com</v>
      </c>
      <c r="D190" s="12" t="str">
        <f>IFNA(VLOOKUP(C190,'Miembros de campaña PRVE'!C:E,3,0),"NA")</f>
        <v>Lead</v>
      </c>
      <c r="E190" s="35">
        <f>IFNA(IFNA(VLOOKUP(C190,'Miembros de campaña PRVE'!C:D,2,0),(VLOOKUP(C190,'SIC - FLOW! - Solicitudes BOFU '!B:C,2,0))),"")</f>
        <v>43969</v>
      </c>
      <c r="F190" s="12" t="str">
        <f>IFNA(IFNA(VLOOKUP(C190,'Estado de leads de campaña PRVE'!B:D,3,0),(VLOOKUP(C190,'Leads Sf Origen webDetailers Hs'!A:C,3,0))),"NA")</f>
        <v>Descartado</v>
      </c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4" t="str">
        <f>'Miembros de campaña PRVE'!C191</f>
        <v>904@inboundcycle.com</v>
      </c>
      <c r="B191" s="33"/>
      <c r="C191" s="12" t="str">
        <f>IFERROR(__xludf.DUMMYFUNCTION("""COMPUTED_VALUE"""),"904@inboundcycle.com")</f>
        <v>904@inboundcycle.com</v>
      </c>
      <c r="D191" s="12" t="str">
        <f>IFNA(VLOOKUP(C191,'Miembros de campaña PRVE'!C:E,3,0),"NA")</f>
        <v>Lead</v>
      </c>
      <c r="E191" s="35">
        <f>IFNA(IFNA(VLOOKUP(C191,'Miembros de campaña PRVE'!C:D,2,0),(VLOOKUP(C191,'SIC - FLOW! - Solicitudes BOFU '!B:C,2,0))),"")</f>
        <v>43969</v>
      </c>
      <c r="F191" s="12" t="str">
        <f>IFNA(IFNA(VLOOKUP(C191,'Estado de leads de campaña PRVE'!B:D,3,0),(VLOOKUP(C191,'Leads Sf Origen webDetailers Hs'!A:C,3,0))),"NA")</f>
        <v>Descartado</v>
      </c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4" t="str">
        <f>'Miembros de campaña PRVE'!C192</f>
        <v>418@proyectosict.net</v>
      </c>
      <c r="B192" s="33"/>
      <c r="C192" s="12" t="str">
        <f>IFERROR(__xludf.DUMMYFUNCTION("""COMPUTED_VALUE"""),"418@proyectosict.net")</f>
        <v>418@proyectosict.net</v>
      </c>
      <c r="D192" s="12" t="str">
        <f>IFNA(VLOOKUP(C192,'Miembros de campaña PRVE'!C:E,3,0),"NA")</f>
        <v>Lead</v>
      </c>
      <c r="E192" s="35">
        <f>IFNA(IFNA(VLOOKUP(C192,'Miembros de campaña PRVE'!C:D,2,0),(VLOOKUP(C192,'SIC - FLOW! - Solicitudes BOFU '!B:C,2,0))),"")</f>
        <v>43969</v>
      </c>
      <c r="F192" s="12" t="str">
        <f>IFNA(IFNA(VLOOKUP(C192,'Estado de leads de campaña PRVE'!B:D,3,0),(VLOOKUP(C192,'Leads Sf Origen webDetailers Hs'!A:C,3,0))),"NA")</f>
        <v>Descartado</v>
      </c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4" t="str">
        <f>'Miembros de campaña PRVE'!C193</f>
        <v>823@gmail.com</v>
      </c>
      <c r="B193" s="33"/>
      <c r="C193" s="12" t="str">
        <f>IFERROR(__xludf.DUMMYFUNCTION("""COMPUTED_VALUE"""),"823@gmail.com")</f>
        <v>823@gmail.com</v>
      </c>
      <c r="D193" s="12" t="str">
        <f>IFNA(VLOOKUP(C193,'Miembros de campaña PRVE'!C:E,3,0),"NA")</f>
        <v>Lead</v>
      </c>
      <c r="E193" s="35">
        <f>IFNA(IFNA(VLOOKUP(C193,'Miembros de campaña PRVE'!C:D,2,0),(VLOOKUP(C193,'SIC - FLOW! - Solicitudes BOFU '!B:C,2,0))),"")</f>
        <v>43967</v>
      </c>
      <c r="F193" s="12" t="str">
        <f>IFNA(IFNA(VLOOKUP(C193,'Estado de leads de campaña PRVE'!B:D,3,0),(VLOOKUP(C193,'Leads Sf Origen webDetailers Hs'!A:C,3,0))),"NA")</f>
        <v>Descartado</v>
      </c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4" t="str">
        <f>'Miembros de campaña PRVE'!C194</f>
        <v>217@esypro.net</v>
      </c>
      <c r="B194" s="33"/>
      <c r="C194" s="12" t="str">
        <f>IFERROR(__xludf.DUMMYFUNCTION("""COMPUTED_VALUE"""),"217@esypro.net")</f>
        <v>217@esypro.net</v>
      </c>
      <c r="D194" s="12" t="str">
        <f>IFNA(VLOOKUP(C194,'Miembros de campaña PRVE'!C:E,3,0),"NA")</f>
        <v>Contacto</v>
      </c>
      <c r="E194" s="35">
        <f>IFNA(IFNA(VLOOKUP(C194,'Miembros de campaña PRVE'!C:D,2,0),(VLOOKUP(C194,'SIC - FLOW! - Solicitudes BOFU '!B:C,2,0))),"")</f>
        <v>43966</v>
      </c>
      <c r="F194" s="12" t="str">
        <f>IFNA(IFNA(VLOOKUP(C194,'Estado de leads de campaña PRVE'!B:D,3,0),(VLOOKUP(C194,'Leads Sf Origen webDetailers Hs'!A:C,3,0))),"NA")</f>
        <v>NA</v>
      </c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4" t="str">
        <f>'Miembros de campaña PRVE'!C195</f>
        <v>3038@hotmail.com</v>
      </c>
      <c r="B195" s="33"/>
      <c r="C195" s="12" t="str">
        <f>IFERROR(__xludf.DUMMYFUNCTION("""COMPUTED_VALUE"""),"3038@hotmail.com")</f>
        <v>3038@hotmail.com</v>
      </c>
      <c r="D195" s="12" t="str">
        <f>IFNA(VLOOKUP(C195,'Miembros de campaña PRVE'!C:E,3,0),"NA")</f>
        <v>Contacto</v>
      </c>
      <c r="E195" s="35">
        <f>IFNA(IFNA(VLOOKUP(C195,'Miembros de campaña PRVE'!C:D,2,0),(VLOOKUP(C195,'SIC - FLOW! - Solicitudes BOFU '!B:C,2,0))),"")</f>
        <v>43965</v>
      </c>
      <c r="F195" s="12" t="str">
        <f>IFNA(IFNA(VLOOKUP(C195,'Estado de leads de campaña PRVE'!B:D,3,0),(VLOOKUP(C195,'Leads Sf Origen webDetailers Hs'!A:C,3,0))),"NA")</f>
        <v>NA</v>
      </c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4" t="str">
        <f>'Miembros de campaña PRVE'!C196</f>
        <v>933@orsei.es</v>
      </c>
      <c r="B196" s="33"/>
      <c r="C196" s="12" t="str">
        <f>IFERROR(__xludf.DUMMYFUNCTION("""COMPUTED_VALUE"""),"933@orsei.es")</f>
        <v>933@orsei.es</v>
      </c>
      <c r="D196" s="12" t="str">
        <f>IFNA(VLOOKUP(C196,'Miembros de campaña PRVE'!C:E,3,0),"NA")</f>
        <v>Lead</v>
      </c>
      <c r="E196" s="35">
        <f>IFNA(IFNA(VLOOKUP(C196,'Miembros de campaña PRVE'!C:D,2,0),(VLOOKUP(C196,'SIC - FLOW! - Solicitudes BOFU '!B:C,2,0))),"")</f>
        <v>43965</v>
      </c>
      <c r="F196" s="12" t="str">
        <f>IFNA(IFNA(VLOOKUP(C196,'Estado de leads de campaña PRVE'!B:D,3,0),(VLOOKUP(C196,'Leads Sf Origen webDetailers Hs'!A:C,3,0))),"NA")</f>
        <v>Descartado</v>
      </c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4" t="str">
        <f>'Miembros de campaña PRVE'!C197</f>
        <v>868@gmail.com</v>
      </c>
      <c r="B197" s="33"/>
      <c r="C197" s="12" t="str">
        <f>IFERROR(__xludf.DUMMYFUNCTION("""COMPUTED_VALUE"""),"868@gmail.com")</f>
        <v>868@gmail.com</v>
      </c>
      <c r="D197" s="12" t="str">
        <f>IFNA(VLOOKUP(C197,'Miembros de campaña PRVE'!C:E,3,0),"NA")</f>
        <v>Lead</v>
      </c>
      <c r="E197" s="35">
        <f>IFNA(IFNA(VLOOKUP(C197,'Miembros de campaña PRVE'!C:D,2,0),(VLOOKUP(C197,'SIC - FLOW! - Solicitudes BOFU '!B:C,2,0))),"")</f>
        <v>43962</v>
      </c>
      <c r="F197" s="12" t="str">
        <f>IFNA(IFNA(VLOOKUP(C197,'Estado de leads de campaña PRVE'!B:D,3,0),(VLOOKUP(C197,'Leads Sf Origen webDetailers Hs'!A:C,3,0))),"NA")</f>
        <v>Descartado</v>
      </c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4" t="str">
        <f>'Miembros de campaña PRVE'!C198</f>
        <v>3040@icloud.com</v>
      </c>
      <c r="B198" s="33"/>
      <c r="C198" s="12" t="str">
        <f>IFERROR(__xludf.DUMMYFUNCTION("""COMPUTED_VALUE"""),"3040@icloud.com")</f>
        <v>3040@icloud.com</v>
      </c>
      <c r="D198" s="12" t="str">
        <f>IFNA(VLOOKUP(C198,'Miembros de campaña PRVE'!C:E,3,0),"NA")</f>
        <v>Lead</v>
      </c>
      <c r="E198" s="35">
        <f>IFNA(IFNA(VLOOKUP(C198,'Miembros de campaña PRVE'!C:D,2,0),(VLOOKUP(C198,'SIC - FLOW! - Solicitudes BOFU '!B:C,2,0))),"")</f>
        <v>43962</v>
      </c>
      <c r="F198" s="12" t="str">
        <f>IFNA(IFNA(VLOOKUP(C198,'Estado de leads de campaña PRVE'!B:D,3,0),(VLOOKUP(C198,'Leads Sf Origen webDetailers Hs'!A:C,3,0))),"NA")</f>
        <v>Descartado</v>
      </c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4" t="str">
        <f>'Miembros de campaña PRVE'!C199</f>
        <v>884@enersos.es</v>
      </c>
      <c r="B199" s="33"/>
      <c r="C199" s="12" t="str">
        <f>IFERROR(__xludf.DUMMYFUNCTION("""COMPUTED_VALUE"""),"884@enersos.es")</f>
        <v>884@enersos.es</v>
      </c>
      <c r="D199" s="12" t="str">
        <f>IFNA(VLOOKUP(C199,'Miembros de campaña PRVE'!C:E,3,0),"NA")</f>
        <v>Contacto</v>
      </c>
      <c r="E199" s="35">
        <f>IFNA(IFNA(VLOOKUP(C199,'Miembros de campaña PRVE'!C:D,2,0),(VLOOKUP(C199,'SIC - FLOW! - Solicitudes BOFU '!B:C,2,0))),"")</f>
        <v>43961</v>
      </c>
      <c r="F199" s="12" t="str">
        <f>IFNA(IFNA(VLOOKUP(C199,'Estado de leads de campaña PRVE'!B:D,3,0),(VLOOKUP(C199,'Leads Sf Origen webDetailers Hs'!A:C,3,0))),"NA")</f>
        <v>Convertido</v>
      </c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4" t="str">
        <f>'Miembros de campaña PRVE'!C200</f>
        <v>886@gmail.com</v>
      </c>
      <c r="B200" s="33"/>
      <c r="C200" s="12" t="str">
        <f>IFERROR(__xludf.DUMMYFUNCTION("""COMPUTED_VALUE"""),"886@gmail.com")</f>
        <v>886@gmail.com</v>
      </c>
      <c r="D200" s="12" t="str">
        <f>IFNA(VLOOKUP(C200,'Miembros de campaña PRVE'!C:E,3,0),"NA")</f>
        <v>Lead</v>
      </c>
      <c r="E200" s="35">
        <f>IFNA(IFNA(VLOOKUP(C200,'Miembros de campaña PRVE'!C:D,2,0),(VLOOKUP(C200,'SIC - FLOW! - Solicitudes BOFU '!B:C,2,0))),"")</f>
        <v>43961</v>
      </c>
      <c r="F200" s="12" t="str">
        <f>IFNA(IFNA(VLOOKUP(C200,'Estado de leads de campaña PRVE'!B:D,3,0),(VLOOKUP(C200,'Leads Sf Origen webDetailers Hs'!A:C,3,0))),"NA")</f>
        <v>Descartado</v>
      </c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4" t="str">
        <f>'Miembros de campaña PRVE'!C201</f>
        <v>935@gmail.com</v>
      </c>
      <c r="B201" s="33"/>
      <c r="C201" s="12" t="str">
        <f>IFERROR(__xludf.DUMMYFUNCTION("""COMPUTED_VALUE"""),"935@gmail.com")</f>
        <v>935@gmail.com</v>
      </c>
      <c r="D201" s="12" t="str">
        <f>IFNA(VLOOKUP(C201,'Miembros de campaña PRVE'!C:E,3,0),"NA")</f>
        <v>Lead</v>
      </c>
      <c r="E201" s="35">
        <f>IFNA(IFNA(VLOOKUP(C201,'Miembros de campaña PRVE'!C:D,2,0),(VLOOKUP(C201,'SIC - FLOW! - Solicitudes BOFU '!B:C,2,0))),"")</f>
        <v>43957</v>
      </c>
      <c r="F201" s="12" t="str">
        <f>IFNA(IFNA(VLOOKUP(C201,'Estado de leads de campaña PRVE'!B:D,3,0),(VLOOKUP(C201,'Leads Sf Origen webDetailers Hs'!A:C,3,0))),"NA")</f>
        <v>Descartado</v>
      </c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4" t="str">
        <f>'Miembros de campaña PRVE'!C202</f>
        <v>1004@telefonica.net</v>
      </c>
      <c r="B202" s="33"/>
      <c r="C202" s="12" t="str">
        <f>IFERROR(__xludf.DUMMYFUNCTION("""COMPUTED_VALUE"""),"1004@telefonica.net")</f>
        <v>1004@telefonica.net</v>
      </c>
      <c r="D202" s="12" t="str">
        <f>IFNA(VLOOKUP(C202,'Miembros de campaña PRVE'!C:E,3,0),"NA")</f>
        <v>Contacto</v>
      </c>
      <c r="E202" s="35">
        <f>IFNA(IFNA(VLOOKUP(C202,'Miembros de campaña PRVE'!C:D,2,0),(VLOOKUP(C202,'SIC - FLOW! - Solicitudes BOFU '!B:C,2,0))),"")</f>
        <v>43955</v>
      </c>
      <c r="F202" s="12" t="str">
        <f>IFNA(IFNA(VLOOKUP(C202,'Estado de leads de campaña PRVE'!B:D,3,0),(VLOOKUP(C202,'Leads Sf Origen webDetailers Hs'!A:C,3,0))),"NA")</f>
        <v>NA</v>
      </c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4" t="str">
        <f>'Miembros de campaña PRVE'!C203</f>
        <v>1039@yahoo.es</v>
      </c>
      <c r="B203" s="33"/>
      <c r="C203" s="12" t="str">
        <f>IFERROR(__xludf.DUMMYFUNCTION("""COMPUTED_VALUE"""),"1039@yahoo.es")</f>
        <v>1039@yahoo.es</v>
      </c>
      <c r="D203" s="12" t="str">
        <f>IFNA(VLOOKUP(C203,'Miembros de campaña PRVE'!C:E,3,0),"NA")</f>
        <v>Lead</v>
      </c>
      <c r="E203" s="35">
        <f>IFNA(IFNA(VLOOKUP(C203,'Miembros de campaña PRVE'!C:D,2,0),(VLOOKUP(C203,'SIC - FLOW! - Solicitudes BOFU '!B:C,2,0))),"")</f>
        <v>43954</v>
      </c>
      <c r="F203" s="12" t="str">
        <f>IFNA(IFNA(VLOOKUP(C203,'Estado de leads de campaña PRVE'!B:D,3,0),(VLOOKUP(C203,'Leads Sf Origen webDetailers Hs'!A:C,3,0))),"NA")</f>
        <v>Descartado</v>
      </c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4" t="str">
        <f>'Miembros de campaña PRVE'!C204</f>
        <v>1064@abxat.com</v>
      </c>
      <c r="B204" s="33"/>
      <c r="C204" s="12" t="str">
        <f>IFERROR(__xludf.DUMMYFUNCTION("""COMPUTED_VALUE"""),"1064@abxat.com")</f>
        <v>1064@abxat.com</v>
      </c>
      <c r="D204" s="12" t="str">
        <f>IFNA(VLOOKUP(C204,'Miembros de campaña PRVE'!C:E,3,0),"NA")</f>
        <v>Lead</v>
      </c>
      <c r="E204" s="35">
        <f>IFNA(IFNA(VLOOKUP(C204,'Miembros de campaña PRVE'!C:D,2,0),(VLOOKUP(C204,'SIC - FLOW! - Solicitudes BOFU '!B:C,2,0))),"")</f>
        <v>43952</v>
      </c>
      <c r="F204" s="12" t="str">
        <f>IFNA(IFNA(VLOOKUP(C204,'Estado de leads de campaña PRVE'!B:D,3,0),(VLOOKUP(C204,'Leads Sf Origen webDetailers Hs'!A:C,3,0))),"NA")</f>
        <v>Descartado</v>
      </c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4" t="str">
        <f>'Miembros de campaña PRVE'!C205</f>
        <v>1075@gmail.com</v>
      </c>
      <c r="B205" s="33"/>
      <c r="C205" s="12" t="str">
        <f>IFERROR(__xludf.DUMMYFUNCTION("""COMPUTED_VALUE"""),"1075@gmail.com")</f>
        <v>1075@gmail.com</v>
      </c>
      <c r="D205" s="12" t="str">
        <f>IFNA(VLOOKUP(C205,'Miembros de campaña PRVE'!C:E,3,0),"NA")</f>
        <v>Contacto</v>
      </c>
      <c r="E205" s="35">
        <f>IFNA(IFNA(VLOOKUP(C205,'Miembros de campaña PRVE'!C:D,2,0),(VLOOKUP(C205,'SIC - FLOW! - Solicitudes BOFU '!B:C,2,0))),"")</f>
        <v>43952</v>
      </c>
      <c r="F205" s="12" t="str">
        <f>IFNA(IFNA(VLOOKUP(C205,'Estado de leads de campaña PRVE'!B:D,3,0),(VLOOKUP(C205,'Leads Sf Origen webDetailers Hs'!A:C,3,0))),"NA")</f>
        <v>Convertido</v>
      </c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4" t="str">
        <f>'Miembros de campaña PRVE'!C206</f>
        <v>1111@hotmail.com</v>
      </c>
      <c r="B206" s="33"/>
      <c r="C206" s="12" t="str">
        <f>IFERROR(__xludf.DUMMYFUNCTION("""COMPUTED_VALUE"""),"1111@hotmail.com")</f>
        <v>1111@hotmail.com</v>
      </c>
      <c r="D206" s="12" t="str">
        <f>IFNA(VLOOKUP(C206,'Miembros de campaña PRVE'!C:E,3,0),"NA")</f>
        <v>Lead</v>
      </c>
      <c r="E206" s="35">
        <f>IFNA(IFNA(VLOOKUP(C206,'Miembros de campaña PRVE'!C:D,2,0),(VLOOKUP(C206,'SIC - FLOW! - Solicitudes BOFU '!B:C,2,0))),"")</f>
        <v>43951</v>
      </c>
      <c r="F206" s="12" t="str">
        <f>IFNA(IFNA(VLOOKUP(C206,'Estado de leads de campaña PRVE'!B:D,3,0),(VLOOKUP(C206,'Leads Sf Origen webDetailers Hs'!A:C,3,0))),"NA")</f>
        <v>Descartado</v>
      </c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4" t="str">
        <f>'Miembros de campaña PRVE'!C207</f>
        <v>1117@hotmail.com</v>
      </c>
      <c r="B207" s="33"/>
      <c r="C207" s="12" t="str">
        <f>IFERROR(__xludf.DUMMYFUNCTION("""COMPUTED_VALUE"""),"1117@hotmail.com")</f>
        <v>1117@hotmail.com</v>
      </c>
      <c r="D207" s="12" t="str">
        <f>IFNA(VLOOKUP(C207,'Miembros de campaña PRVE'!C:E,3,0),"NA")</f>
        <v>Lead</v>
      </c>
      <c r="E207" s="35">
        <f>IFNA(IFNA(VLOOKUP(C207,'Miembros de campaña PRVE'!C:D,2,0),(VLOOKUP(C207,'SIC - FLOW! - Solicitudes BOFU '!B:C,2,0))),"")</f>
        <v>43951</v>
      </c>
      <c r="F207" s="12" t="str">
        <f>IFNA(IFNA(VLOOKUP(C207,'Estado de leads de campaña PRVE'!B:D,3,0),(VLOOKUP(C207,'Leads Sf Origen webDetailers Hs'!A:C,3,0))),"NA")</f>
        <v>Descartado</v>
      </c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4" t="str">
        <f>'Miembros de campaña PRVE'!C208</f>
        <v>4728@birtes.com.tr</v>
      </c>
      <c r="B208" s="33"/>
      <c r="C208" s="12" t="str">
        <f>IFERROR(__xludf.DUMMYFUNCTION("""COMPUTED_VALUE"""),"4728@birtes.com.tr")</f>
        <v>4728@birtes.com.tr</v>
      </c>
      <c r="D208" s="12" t="str">
        <f>IFNA(VLOOKUP(C208,'Miembros de campaña PRVE'!C:E,3,0),"NA")</f>
        <v>Lead</v>
      </c>
      <c r="E208" s="35">
        <f>IFNA(IFNA(VLOOKUP(C208,'Miembros de campaña PRVE'!C:D,2,0),(VLOOKUP(C208,'SIC - FLOW! - Solicitudes BOFU '!B:C,2,0))),"")</f>
        <v>43951</v>
      </c>
      <c r="F208" s="12" t="str">
        <f>IFNA(IFNA(VLOOKUP(C208,'Estado de leads de campaña PRVE'!B:D,3,0),(VLOOKUP(C208,'Leads Sf Origen webDetailers Hs'!A:C,3,0))),"NA")</f>
        <v>Descartado</v>
      </c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4" t="str">
        <f>'Miembros de campaña PRVE'!C209</f>
        <v>1265@hotmail.com</v>
      </c>
      <c r="B209" s="33"/>
      <c r="C209" s="12" t="str">
        <f>IFERROR(__xludf.DUMMYFUNCTION("""COMPUTED_VALUE"""),"1265@hotmail.com")</f>
        <v>1265@hotmail.com</v>
      </c>
      <c r="D209" s="12" t="str">
        <f>IFNA(VLOOKUP(C209,'Miembros de campaña PRVE'!C:E,3,0),"NA")</f>
        <v>Contacto</v>
      </c>
      <c r="E209" s="35">
        <f>IFNA(IFNA(VLOOKUP(C209,'Miembros de campaña PRVE'!C:D,2,0),(VLOOKUP(C209,'SIC - FLOW! - Solicitudes BOFU '!B:C,2,0))),"")</f>
        <v>43950</v>
      </c>
      <c r="F209" s="12" t="str">
        <f>IFNA(IFNA(VLOOKUP(C209,'Estado de leads de campaña PRVE'!B:D,3,0),(VLOOKUP(C209,'Leads Sf Origen webDetailers Hs'!A:C,3,0))),"NA")</f>
        <v>NA</v>
      </c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4" t="str">
        <f>'Miembros de campaña PRVE'!C210</f>
        <v>3890@gmail.com</v>
      </c>
      <c r="B210" s="33"/>
      <c r="C210" s="12" t="str">
        <f>IFERROR(__xludf.DUMMYFUNCTION("""COMPUTED_VALUE"""),"3890@gmail.com")</f>
        <v>3890@gmail.com</v>
      </c>
      <c r="D210" s="12" t="str">
        <f>IFNA(VLOOKUP(C210,'Miembros de campaña PRVE'!C:E,3,0),"NA")</f>
        <v>Contacto</v>
      </c>
      <c r="E210" s="35">
        <f>IFNA(IFNA(VLOOKUP(C210,'Miembros de campaña PRVE'!C:D,2,0),(VLOOKUP(C210,'SIC - FLOW! - Solicitudes BOFU '!B:C,2,0))),"")</f>
        <v>43950</v>
      </c>
      <c r="F210" s="12" t="str">
        <f>IFNA(IFNA(VLOOKUP(C210,'Estado de leads de campaña PRVE'!B:D,3,0),(VLOOKUP(C210,'Leads Sf Origen webDetailers Hs'!A:C,3,0))),"NA")</f>
        <v>Convertido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4" t="str">
        <f>'Miembros de campaña PRVE'!C211</f>
        <v>1284@gmail.com</v>
      </c>
      <c r="B211" s="33"/>
      <c r="C211" s="12" t="str">
        <f>IFERROR(__xludf.DUMMYFUNCTION("""COMPUTED_VALUE"""),"1284@gmail.com")</f>
        <v>1284@gmail.com</v>
      </c>
      <c r="D211" s="12" t="str">
        <f>IFNA(VLOOKUP(C211,'Miembros de campaña PRVE'!C:E,3,0),"NA")</f>
        <v>Contacto</v>
      </c>
      <c r="E211" s="35">
        <f>IFNA(IFNA(VLOOKUP(C211,'Miembros de campaña PRVE'!C:D,2,0),(VLOOKUP(C211,'SIC - FLOW! - Solicitudes BOFU '!B:C,2,0))),"")</f>
        <v>43950</v>
      </c>
      <c r="F211" s="12" t="str">
        <f>IFNA(IFNA(VLOOKUP(C211,'Estado de leads de campaña PRVE'!B:D,3,0),(VLOOKUP(C211,'Leads Sf Origen webDetailers Hs'!A:C,3,0))),"NA")</f>
        <v>NA</v>
      </c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4" t="str">
        <f>'Miembros de campaña PRVE'!C212</f>
        <v>1369@atribal.es</v>
      </c>
      <c r="B212" s="33"/>
      <c r="C212" s="12" t="str">
        <f>IFERROR(__xludf.DUMMYFUNCTION("""COMPUTED_VALUE"""),"1369@atribal.es")</f>
        <v>1369@atribal.es</v>
      </c>
      <c r="D212" s="12" t="str">
        <f>IFNA(VLOOKUP(C212,'Miembros de campaña PRVE'!C:E,3,0),"NA")</f>
        <v>Lead</v>
      </c>
      <c r="E212" s="35">
        <f>IFNA(IFNA(VLOOKUP(C212,'Miembros de campaña PRVE'!C:D,2,0),(VLOOKUP(C212,'SIC - FLOW! - Solicitudes BOFU '!B:C,2,0))),"")</f>
        <v>43950</v>
      </c>
      <c r="F212" s="12" t="str">
        <f>IFNA(IFNA(VLOOKUP(C212,'Estado de leads de campaña PRVE'!B:D,3,0),(VLOOKUP(C212,'Leads Sf Origen webDetailers Hs'!A:C,3,0))),"NA")</f>
        <v>Descartado</v>
      </c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4" t="str">
        <f>'Miembros de campaña PRVE'!C213</f>
        <v>1391@grupojab.es</v>
      </c>
      <c r="B213" s="33"/>
      <c r="C213" s="12" t="str">
        <f>IFERROR(__xludf.DUMMYFUNCTION("""COMPUTED_VALUE"""),"1391@grupojab.es")</f>
        <v>1391@grupojab.es</v>
      </c>
      <c r="D213" s="12" t="str">
        <f>IFNA(VLOOKUP(C213,'Miembros de campaña PRVE'!C:E,3,0),"NA")</f>
        <v>Contacto</v>
      </c>
      <c r="E213" s="35">
        <f>IFNA(IFNA(VLOOKUP(C213,'Miembros de campaña PRVE'!C:D,2,0),(VLOOKUP(C213,'SIC - FLOW! - Solicitudes BOFU '!B:C,2,0))),"")</f>
        <v>43950</v>
      </c>
      <c r="F213" s="12" t="str">
        <f>IFNA(IFNA(VLOOKUP(C213,'Estado de leads de campaña PRVE'!B:D,3,0),(VLOOKUP(C213,'Leads Sf Origen webDetailers Hs'!A:C,3,0))),"NA")</f>
        <v>NA</v>
      </c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4" t="str">
        <f>'Miembros de campaña PRVE'!C214</f>
        <v>187@castelyfernandez.es</v>
      </c>
      <c r="B214" s="33"/>
      <c r="C214" s="12" t="str">
        <f>IFERROR(__xludf.DUMMYFUNCTION("""COMPUTED_VALUE"""),"187@castelyfernandez.es")</f>
        <v>187@castelyfernandez.es</v>
      </c>
      <c r="D214" s="12" t="str">
        <f>IFNA(VLOOKUP(C214,'Miembros de campaña PRVE'!C:E,3,0),"NA")</f>
        <v>Contacto</v>
      </c>
      <c r="E214" s="35">
        <f>IFNA(IFNA(VLOOKUP(C214,'Miembros de campaña PRVE'!C:D,2,0),(VLOOKUP(C214,'SIC - FLOW! - Solicitudes BOFU '!B:C,2,0))),"")</f>
        <v>43950</v>
      </c>
      <c r="F214" s="12" t="str">
        <f>IFNA(IFNA(VLOOKUP(C214,'Estado de leads de campaña PRVE'!B:D,3,0),(VLOOKUP(C214,'Leads Sf Origen webDetailers Hs'!A:C,3,0))),"NA")</f>
        <v>NA</v>
      </c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4" t="str">
        <f>'Miembros de campaña PRVE'!C215</f>
        <v>1454@yahoo.es</v>
      </c>
      <c r="B215" s="33"/>
      <c r="C215" s="12" t="str">
        <f>IFERROR(__xludf.DUMMYFUNCTION("""COMPUTED_VALUE"""),"1454@yahoo.es")</f>
        <v>1454@yahoo.es</v>
      </c>
      <c r="D215" s="12" t="str">
        <f>IFNA(VLOOKUP(C215,'Miembros de campaña PRVE'!C:E,3,0),"NA")</f>
        <v>Lead</v>
      </c>
      <c r="E215" s="35">
        <f>IFNA(IFNA(VLOOKUP(C215,'Miembros de campaña PRVE'!C:D,2,0),(VLOOKUP(C215,'SIC - FLOW! - Solicitudes BOFU '!B:C,2,0))),"")</f>
        <v>43950</v>
      </c>
      <c r="F215" s="12" t="str">
        <f>IFNA(IFNA(VLOOKUP(C215,'Estado de leads de campaña PRVE'!B:D,3,0),(VLOOKUP(C215,'Leads Sf Origen webDetailers Hs'!A:C,3,0))),"NA")</f>
        <v>Descartado</v>
      </c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4" t="str">
        <f>'Miembros de campaña PRVE'!C216</f>
        <v>1498@gmail.com</v>
      </c>
      <c r="B216" s="33"/>
      <c r="C216" s="12" t="str">
        <f>IFERROR(__xludf.DUMMYFUNCTION("""COMPUTED_VALUE"""),"1498@gmail.com")</f>
        <v>1498@gmail.com</v>
      </c>
      <c r="D216" s="12" t="str">
        <f>IFNA(VLOOKUP(C216,'Miembros de campaña PRVE'!C:E,3,0),"NA")</f>
        <v>Lead</v>
      </c>
      <c r="E216" s="35">
        <f>IFNA(IFNA(VLOOKUP(C216,'Miembros de campaña PRVE'!C:D,2,0),(VLOOKUP(C216,'SIC - FLOW! - Solicitudes BOFU '!B:C,2,0))),"")</f>
        <v>43950</v>
      </c>
      <c r="F216" s="12" t="str">
        <f>IFNA(IFNA(VLOOKUP(C216,'Estado de leads de campaña PRVE'!B:D,3,0),(VLOOKUP(C216,'Leads Sf Origen webDetailers Hs'!A:C,3,0))),"NA")</f>
        <v>Descartado</v>
      </c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4" t="str">
        <f>'Miembros de campaña PRVE'!C217</f>
        <v>374@copitima.com</v>
      </c>
      <c r="B217" s="33"/>
      <c r="C217" s="12" t="str">
        <f>IFERROR(__xludf.DUMMYFUNCTION("""COMPUTED_VALUE"""),"374@copitima.com")</f>
        <v>374@copitima.com</v>
      </c>
      <c r="D217" s="12" t="str">
        <f>IFNA(VLOOKUP(C217,'Miembros de campaña PRVE'!C:E,3,0),"NA")</f>
        <v>Contacto</v>
      </c>
      <c r="E217" s="35">
        <f>IFNA(IFNA(VLOOKUP(C217,'Miembros de campaña PRVE'!C:D,2,0),(VLOOKUP(C217,'SIC - FLOW! - Solicitudes BOFU '!B:C,2,0))),"")</f>
        <v>43950</v>
      </c>
      <c r="F217" s="12" t="str">
        <f>IFNA(IFNA(VLOOKUP(C217,'Estado de leads de campaña PRVE'!B:D,3,0),(VLOOKUP(C217,'Leads Sf Origen webDetailers Hs'!A:C,3,0))),"NA")</f>
        <v>NA</v>
      </c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4" t="str">
        <f>'Miembros de campaña PRVE'!C218</f>
        <v>1515@expertline.es</v>
      </c>
      <c r="B218" s="33"/>
      <c r="C218" s="12" t="str">
        <f>IFERROR(__xludf.DUMMYFUNCTION("""COMPUTED_VALUE"""),"1515@expertline.es")</f>
        <v>1515@expertline.es</v>
      </c>
      <c r="D218" s="12" t="str">
        <f>IFNA(VLOOKUP(C218,'Miembros de campaña PRVE'!C:E,3,0),"NA")</f>
        <v>Contacto</v>
      </c>
      <c r="E218" s="35">
        <f>IFNA(IFNA(VLOOKUP(C218,'Miembros de campaña PRVE'!C:D,2,0),(VLOOKUP(C218,'SIC - FLOW! - Solicitudes BOFU '!B:C,2,0))),"")</f>
        <v>43950</v>
      </c>
      <c r="F218" s="12" t="str">
        <f>IFNA(IFNA(VLOOKUP(C218,'Estado de leads de campaña PRVE'!B:D,3,0),(VLOOKUP(C218,'Leads Sf Origen webDetailers Hs'!A:C,3,0))),"NA")</f>
        <v>Convertido</v>
      </c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4" t="str">
        <f>'Miembros de campaña PRVE'!C219</f>
        <v>1559@strong.es</v>
      </c>
      <c r="B219" s="33"/>
      <c r="C219" s="12" t="str">
        <f>IFERROR(__xludf.DUMMYFUNCTION("""COMPUTED_VALUE"""),"1559@strong.es")</f>
        <v>1559@strong.es</v>
      </c>
      <c r="D219" s="12" t="str">
        <f>IFNA(VLOOKUP(C219,'Miembros de campaña PRVE'!C:E,3,0),"NA")</f>
        <v>Lead</v>
      </c>
      <c r="E219" s="35">
        <f>IFNA(IFNA(VLOOKUP(C219,'Miembros de campaña PRVE'!C:D,2,0),(VLOOKUP(C219,'SIC - FLOW! - Solicitudes BOFU '!B:C,2,0))),"")</f>
        <v>43950</v>
      </c>
      <c r="F219" s="12" t="str">
        <f>IFNA(IFNA(VLOOKUP(C219,'Estado de leads de campaña PRVE'!B:D,3,0),(VLOOKUP(C219,'Leads Sf Origen webDetailers Hs'!A:C,3,0))),"NA")</f>
        <v>Descartado</v>
      </c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4" t="str">
        <f>'Miembros de campaña PRVE'!C220</f>
        <v>1602@gmail.com</v>
      </c>
      <c r="B220" s="33"/>
      <c r="C220" s="12" t="str">
        <f>IFERROR(__xludf.DUMMYFUNCTION("""COMPUTED_VALUE"""),"1602@gmail.com")</f>
        <v>1602@gmail.com</v>
      </c>
      <c r="D220" s="12" t="str">
        <f>IFNA(VLOOKUP(C220,'Miembros de campaña PRVE'!C:E,3,0),"NA")</f>
        <v>Lead</v>
      </c>
      <c r="E220" s="35">
        <f>IFNA(IFNA(VLOOKUP(C220,'Miembros de campaña PRVE'!C:D,2,0),(VLOOKUP(C220,'SIC - FLOW! - Solicitudes BOFU '!B:C,2,0))),"")</f>
        <v>43950</v>
      </c>
      <c r="F220" s="12" t="str">
        <f>IFNA(IFNA(VLOOKUP(C220,'Estado de leads de campaña PRVE'!B:D,3,0),(VLOOKUP(C220,'Leads Sf Origen webDetailers Hs'!A:C,3,0))),"NA")</f>
        <v>Descartado</v>
      </c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4" t="str">
        <f>'Miembros de campaña PRVE'!C221</f>
        <v>1603@gmail.com</v>
      </c>
      <c r="B221" s="33"/>
      <c r="C221" s="12" t="str">
        <f>IFERROR(__xludf.DUMMYFUNCTION("""COMPUTED_VALUE"""),"1603@gmail.com")</f>
        <v>1603@gmail.com</v>
      </c>
      <c r="D221" s="12" t="str">
        <f>IFNA(VLOOKUP(C221,'Miembros de campaña PRVE'!C:E,3,0),"NA")</f>
        <v>Lead</v>
      </c>
      <c r="E221" s="35">
        <f>IFNA(IFNA(VLOOKUP(C221,'Miembros de campaña PRVE'!C:D,2,0),(VLOOKUP(C221,'SIC - FLOW! - Solicitudes BOFU '!B:C,2,0))),"")</f>
        <v>43950</v>
      </c>
      <c r="F221" s="12" t="str">
        <f>IFNA(IFNA(VLOOKUP(C221,'Estado de leads de campaña PRVE'!B:D,3,0),(VLOOKUP(C221,'Leads Sf Origen webDetailers Hs'!A:C,3,0))),"NA")</f>
        <v>Nuevo</v>
      </c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4" t="str">
        <f>'Miembros de campaña PRVE'!C222</f>
        <v>1614@electronalon.es</v>
      </c>
      <c r="B222" s="33"/>
      <c r="C222" s="12" t="str">
        <f>IFERROR(__xludf.DUMMYFUNCTION("""COMPUTED_VALUE"""),"1614@electronalon.es")</f>
        <v>1614@electronalon.es</v>
      </c>
      <c r="D222" s="12" t="str">
        <f>IFNA(VLOOKUP(C222,'Miembros de campaña PRVE'!C:E,3,0),"NA")</f>
        <v>Contacto</v>
      </c>
      <c r="E222" s="35">
        <f>IFNA(IFNA(VLOOKUP(C222,'Miembros de campaña PRVE'!C:D,2,0),(VLOOKUP(C222,'SIC - FLOW! - Solicitudes BOFU '!B:C,2,0))),"")</f>
        <v>43950</v>
      </c>
      <c r="F222" s="12" t="str">
        <f>IFNA(IFNA(VLOOKUP(C222,'Estado de leads de campaña PRVE'!B:D,3,0),(VLOOKUP(C222,'Leads Sf Origen webDetailers Hs'!A:C,3,0))),"NA")</f>
        <v>NA</v>
      </c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4" t="str">
        <f>'Miembros de campaña PRVE'!C223</f>
        <v>1626@adaliaradio.com</v>
      </c>
      <c r="B223" s="33"/>
      <c r="C223" s="12" t="str">
        <f>IFERROR(__xludf.DUMMYFUNCTION("""COMPUTED_VALUE"""),"1626@adaliaradio.com")</f>
        <v>1626@adaliaradio.com</v>
      </c>
      <c r="D223" s="12" t="str">
        <f>IFNA(VLOOKUP(C223,'Miembros de campaña PRVE'!C:E,3,0),"NA")</f>
        <v>Lead</v>
      </c>
      <c r="E223" s="35">
        <f>IFNA(IFNA(VLOOKUP(C223,'Miembros de campaña PRVE'!C:D,2,0),(VLOOKUP(C223,'SIC - FLOW! - Solicitudes BOFU '!B:C,2,0))),"")</f>
        <v>43950</v>
      </c>
      <c r="F223" s="12" t="str">
        <f>IFNA(IFNA(VLOOKUP(C223,'Estado de leads de campaña PRVE'!B:D,3,0),(VLOOKUP(C223,'Leads Sf Origen webDetailers Hs'!A:C,3,0))),"NA")</f>
        <v>Descartado</v>
      </c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4" t="str">
        <f>'Miembros de campaña PRVE'!C224</f>
        <v>1635@arevoltapc.com</v>
      </c>
      <c r="B224" s="33"/>
      <c r="C224" s="12" t="str">
        <f>IFERROR(__xludf.DUMMYFUNCTION("""COMPUTED_VALUE"""),"1635@arevoltapc.com")</f>
        <v>1635@arevoltapc.com</v>
      </c>
      <c r="D224" s="12" t="str">
        <f>IFNA(VLOOKUP(C224,'Miembros de campaña PRVE'!C:E,3,0),"NA")</f>
        <v>Lead</v>
      </c>
      <c r="E224" s="35">
        <f>IFNA(IFNA(VLOOKUP(C224,'Miembros de campaña PRVE'!C:D,2,0),(VLOOKUP(C224,'SIC - FLOW! - Solicitudes BOFU '!B:C,2,0))),"")</f>
        <v>43950</v>
      </c>
      <c r="F224" s="12" t="str">
        <f>IFNA(IFNA(VLOOKUP(C224,'Estado de leads de campaña PRVE'!B:D,3,0),(VLOOKUP(C224,'Leads Sf Origen webDetailers Hs'!A:C,3,0))),"NA")</f>
        <v>Nuevo</v>
      </c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4" t="str">
        <f>'Miembros de campaña PRVE'!C225</f>
        <v>647@apis-ing.es</v>
      </c>
      <c r="B225" s="33"/>
      <c r="C225" s="12" t="str">
        <f>IFERROR(__xludf.DUMMYFUNCTION("""COMPUTED_VALUE"""),"647@apis-ing.es")</f>
        <v>647@apis-ing.es</v>
      </c>
      <c r="D225" s="12" t="str">
        <f>IFNA(VLOOKUP(C225,'Miembros de campaña PRVE'!C:E,3,0),"NA")</f>
        <v>Contacto</v>
      </c>
      <c r="E225" s="35">
        <f>IFNA(IFNA(VLOOKUP(C225,'Miembros de campaña PRVE'!C:D,2,0),(VLOOKUP(C225,'SIC - FLOW! - Solicitudes BOFU '!B:C,2,0))),"")</f>
        <v>43950</v>
      </c>
      <c r="F225" s="12" t="str">
        <f>IFNA(IFNA(VLOOKUP(C225,'Estado de leads de campaña PRVE'!B:D,3,0),(VLOOKUP(C225,'Leads Sf Origen webDetailers Hs'!A:C,3,0))),"NA")</f>
        <v>NA</v>
      </c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4" t="str">
        <f>'Miembros de campaña PRVE'!C226</f>
        <v>380@acp-level.es</v>
      </c>
      <c r="B226" s="33"/>
      <c r="C226" s="12" t="str">
        <f>IFERROR(__xludf.DUMMYFUNCTION("""COMPUTED_VALUE"""),"380@acp-level.es")</f>
        <v>380@acp-level.es</v>
      </c>
      <c r="D226" s="12" t="str">
        <f>IFNA(VLOOKUP(C226,'Miembros de campaña PRVE'!C:E,3,0),"NA")</f>
        <v>Contacto</v>
      </c>
      <c r="E226" s="35">
        <f>IFNA(IFNA(VLOOKUP(C226,'Miembros de campaña PRVE'!C:D,2,0),(VLOOKUP(C226,'SIC - FLOW! - Solicitudes BOFU '!B:C,2,0))),"")</f>
        <v>43950</v>
      </c>
      <c r="F226" s="12" t="str">
        <f>IFNA(IFNA(VLOOKUP(C226,'Estado de leads de campaña PRVE'!B:D,3,0),(VLOOKUP(C226,'Leads Sf Origen webDetailers Hs'!A:C,3,0))),"NA")</f>
        <v>NA</v>
      </c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4" t="str">
        <f>'Miembros de campaña PRVE'!C227</f>
        <v>1673@gailmafra.com</v>
      </c>
      <c r="B227" s="33"/>
      <c r="C227" s="12" t="str">
        <f>IFERROR(__xludf.DUMMYFUNCTION("""COMPUTED_VALUE"""),"1673@gailmafra.com")</f>
        <v>1673@gailmafra.com</v>
      </c>
      <c r="D227" s="12" t="str">
        <f>IFNA(VLOOKUP(C227,'Miembros de campaña PRVE'!C:E,3,0),"NA")</f>
        <v>Contacto</v>
      </c>
      <c r="E227" s="35">
        <f>IFNA(IFNA(VLOOKUP(C227,'Miembros de campaña PRVE'!C:D,2,0),(VLOOKUP(C227,'SIC - FLOW! - Solicitudes BOFU '!B:C,2,0))),"")</f>
        <v>43950</v>
      </c>
      <c r="F227" s="12" t="str">
        <f>IFNA(IFNA(VLOOKUP(C227,'Estado de leads de campaña PRVE'!B:D,3,0),(VLOOKUP(C227,'Leads Sf Origen webDetailers Hs'!A:C,3,0))),"NA")</f>
        <v>NA</v>
      </c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4" t="str">
        <f>'Miembros de campaña PRVE'!C228</f>
        <v>1695@gruponortica.com</v>
      </c>
      <c r="B228" s="33"/>
      <c r="C228" s="12" t="str">
        <f>IFERROR(__xludf.DUMMYFUNCTION("""COMPUTED_VALUE"""),"1695@gruponortica.com")</f>
        <v>1695@gruponortica.com</v>
      </c>
      <c r="D228" s="12" t="str">
        <f>IFNA(VLOOKUP(C228,'Miembros de campaña PRVE'!C:E,3,0),"NA")</f>
        <v>Lead</v>
      </c>
      <c r="E228" s="35">
        <f>IFNA(IFNA(VLOOKUP(C228,'Miembros de campaña PRVE'!C:D,2,0),(VLOOKUP(C228,'SIC - FLOW! - Solicitudes BOFU '!B:C,2,0))),"")</f>
        <v>43950</v>
      </c>
      <c r="F228" s="12" t="str">
        <f>IFNA(IFNA(VLOOKUP(C228,'Estado de leads de campaña PRVE'!B:D,3,0),(VLOOKUP(C228,'Leads Sf Origen webDetailers Hs'!A:C,3,0))),"NA")</f>
        <v>SQL</v>
      </c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4" t="str">
        <f>'Miembros de campaña PRVE'!C229</f>
        <v>1716@fuengiroluz.es</v>
      </c>
      <c r="B229" s="33"/>
      <c r="C229" s="12" t="str">
        <f>IFERROR(__xludf.DUMMYFUNCTION("""COMPUTED_VALUE"""),"1716@fuengiroluz.es")</f>
        <v>1716@fuengiroluz.es</v>
      </c>
      <c r="D229" s="12" t="str">
        <f>IFNA(VLOOKUP(C229,'Miembros de campaña PRVE'!C:E,3,0),"NA")</f>
        <v>Contacto</v>
      </c>
      <c r="E229" s="35">
        <f>IFNA(IFNA(VLOOKUP(C229,'Miembros de campaña PRVE'!C:D,2,0),(VLOOKUP(C229,'SIC - FLOW! - Solicitudes BOFU '!B:C,2,0))),"")</f>
        <v>43950</v>
      </c>
      <c r="F229" s="12" t="str">
        <f>IFNA(IFNA(VLOOKUP(C229,'Estado de leads de campaña PRVE'!B:D,3,0),(VLOOKUP(C229,'Leads Sf Origen webDetailers Hs'!A:C,3,0))),"NA")</f>
        <v>NA</v>
      </c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4" t="str">
        <f>'Miembros de campaña PRVE'!C230</f>
        <v>1728@gmail.com</v>
      </c>
      <c r="B230" s="33"/>
      <c r="C230" s="12" t="str">
        <f>IFERROR(__xludf.DUMMYFUNCTION("""COMPUTED_VALUE"""),"1728@gmail.com")</f>
        <v>1728@gmail.com</v>
      </c>
      <c r="D230" s="12" t="str">
        <f>IFNA(VLOOKUP(C230,'Miembros de campaña PRVE'!C:E,3,0),"NA")</f>
        <v>Contacto</v>
      </c>
      <c r="E230" s="35">
        <f>IFNA(IFNA(VLOOKUP(C230,'Miembros de campaña PRVE'!C:D,2,0),(VLOOKUP(C230,'SIC - FLOW! - Solicitudes BOFU '!B:C,2,0))),"")</f>
        <v>43950</v>
      </c>
      <c r="F230" s="12" t="str">
        <f>IFNA(IFNA(VLOOKUP(C230,'Estado de leads de campaña PRVE'!B:D,3,0),(VLOOKUP(C230,'Leads Sf Origen webDetailers Hs'!A:C,3,0))),"NA")</f>
        <v>NA</v>
      </c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4" t="str">
        <f>'Miembros de campaña PRVE'!C231</f>
        <v>1778@gmail.com</v>
      </c>
      <c r="B231" s="33"/>
      <c r="C231" s="12" t="str">
        <f>IFERROR(__xludf.DUMMYFUNCTION("""COMPUTED_VALUE"""),"1778@gmail.com")</f>
        <v>1778@gmail.com</v>
      </c>
      <c r="D231" s="12" t="str">
        <f>IFNA(VLOOKUP(C231,'Miembros de campaña PRVE'!C:E,3,0),"NA")</f>
        <v>Contacto</v>
      </c>
      <c r="E231" s="35">
        <f>IFNA(IFNA(VLOOKUP(C231,'Miembros de campaña PRVE'!C:D,2,0),(VLOOKUP(C231,'SIC - FLOW! - Solicitudes BOFU '!B:C,2,0))),"")</f>
        <v>43950</v>
      </c>
      <c r="F231" s="12" t="str">
        <f>IFNA(IFNA(VLOOKUP(C231,'Estado de leads de campaña PRVE'!B:D,3,0),(VLOOKUP(C231,'Leads Sf Origen webDetailers Hs'!A:C,3,0))),"NA")</f>
        <v>NA</v>
      </c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4" t="str">
        <f>'Miembros de campaña PRVE'!C232</f>
        <v>1800@hotmail.com</v>
      </c>
      <c r="B232" s="33"/>
      <c r="C232" s="12" t="str">
        <f>IFERROR(__xludf.DUMMYFUNCTION("""COMPUTED_VALUE"""),"1800@hotmail.com")</f>
        <v>1800@hotmail.com</v>
      </c>
      <c r="D232" s="12" t="str">
        <f>IFNA(VLOOKUP(C232,'Miembros de campaña PRVE'!C:E,3,0),"NA")</f>
        <v>Lead</v>
      </c>
      <c r="E232" s="35">
        <f>IFNA(IFNA(VLOOKUP(C232,'Miembros de campaña PRVE'!C:D,2,0),(VLOOKUP(C232,'SIC - FLOW! - Solicitudes BOFU '!B:C,2,0))),"")</f>
        <v>43950</v>
      </c>
      <c r="F232" s="12" t="str">
        <f>IFNA(IFNA(VLOOKUP(C232,'Estado de leads de campaña PRVE'!B:D,3,0),(VLOOKUP(C232,'Leads Sf Origen webDetailers Hs'!A:C,3,0))),"NA")</f>
        <v>Descartado</v>
      </c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4" t="str">
        <f>'Miembros de campaña PRVE'!C233</f>
        <v>1268@gamai.com</v>
      </c>
      <c r="B233" s="33"/>
      <c r="C233" s="12" t="str">
        <f>IFERROR(__xludf.DUMMYFUNCTION("""COMPUTED_VALUE"""),"1268@gamai.com")</f>
        <v>1268@gamai.com</v>
      </c>
      <c r="D233" s="12" t="str">
        <f>IFNA(VLOOKUP(C233,'Miembros de campaña PRVE'!C:E,3,0),"NA")</f>
        <v>Lead</v>
      </c>
      <c r="E233" s="35">
        <f>IFNA(IFNA(VLOOKUP(C233,'Miembros de campaña PRVE'!C:D,2,0),(VLOOKUP(C233,'SIC - FLOW! - Solicitudes BOFU '!B:C,2,0))),"")</f>
        <v>43950</v>
      </c>
      <c r="F233" s="12" t="str">
        <f>IFNA(IFNA(VLOOKUP(C233,'Estado de leads de campaña PRVE'!B:D,3,0),(VLOOKUP(C233,'Leads Sf Origen webDetailers Hs'!A:C,3,0))),"NA")</f>
        <v>Nuevo</v>
      </c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4" t="str">
        <f>'Miembros de campaña PRVE'!C234</f>
        <v>1901@gmail.com</v>
      </c>
      <c r="B234" s="33"/>
      <c r="C234" s="12" t="str">
        <f>IFERROR(__xludf.DUMMYFUNCTION("""COMPUTED_VALUE"""),"1901@gmail.com")</f>
        <v>1901@gmail.com</v>
      </c>
      <c r="D234" s="12" t="str">
        <f>IFNA(VLOOKUP(C234,'Miembros de campaña PRVE'!C:E,3,0),"NA")</f>
        <v>Lead</v>
      </c>
      <c r="E234" s="35">
        <f>IFNA(IFNA(VLOOKUP(C234,'Miembros de campaña PRVE'!C:D,2,0),(VLOOKUP(C234,'SIC - FLOW! - Solicitudes BOFU '!B:C,2,0))),"")</f>
        <v>43947</v>
      </c>
      <c r="F234" s="12" t="str">
        <f>IFNA(IFNA(VLOOKUP(C234,'Estado de leads de campaña PRVE'!B:D,3,0),(VLOOKUP(C234,'Leads Sf Origen webDetailers Hs'!A:C,3,0))),"NA")</f>
        <v>Descartado</v>
      </c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4" t="str">
        <f>'Miembros de campaña PRVE'!C235</f>
        <v>1930@gmail.com</v>
      </c>
      <c r="B235" s="33"/>
      <c r="C235" s="12" t="str">
        <f>IFERROR(__xludf.DUMMYFUNCTION("""COMPUTED_VALUE"""),"1930@gmail.com")</f>
        <v>1930@gmail.com</v>
      </c>
      <c r="D235" s="12" t="str">
        <f>IFNA(VLOOKUP(C235,'Miembros de campaña PRVE'!C:E,3,0),"NA")</f>
        <v>Lead</v>
      </c>
      <c r="E235" s="35">
        <f>IFNA(IFNA(VLOOKUP(C235,'Miembros de campaña PRVE'!C:D,2,0),(VLOOKUP(C235,'SIC - FLOW! - Solicitudes BOFU '!B:C,2,0))),"")</f>
        <v>43944</v>
      </c>
      <c r="F235" s="12" t="str">
        <f>IFNA(IFNA(VLOOKUP(C235,'Estado de leads de campaña PRVE'!B:D,3,0),(VLOOKUP(C235,'Leads Sf Origen webDetailers Hs'!A:C,3,0))),"NA")</f>
        <v>Descartado</v>
      </c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4" t="str">
        <f>'Miembros de campaña PRVE'!C236</f>
        <v>1675@exinor.com</v>
      </c>
      <c r="B236" s="33"/>
      <c r="C236" s="12" t="str">
        <f>IFERROR(__xludf.DUMMYFUNCTION("""COMPUTED_VALUE"""),"1675@exinor.com")</f>
        <v>1675@exinor.com</v>
      </c>
      <c r="D236" s="12" t="str">
        <f>IFNA(VLOOKUP(C236,'Miembros de campaña PRVE'!C:E,3,0),"NA")</f>
        <v>Contacto</v>
      </c>
      <c r="E236" s="35">
        <f>IFNA(IFNA(VLOOKUP(C236,'Miembros de campaña PRVE'!C:D,2,0),(VLOOKUP(C236,'SIC - FLOW! - Solicitudes BOFU '!B:C,2,0))),"")</f>
        <v>43944</v>
      </c>
      <c r="F236" s="12" t="str">
        <f>IFNA(IFNA(VLOOKUP(C236,'Estado de leads de campaña PRVE'!B:D,3,0),(VLOOKUP(C236,'Leads Sf Origen webDetailers Hs'!A:C,3,0))),"NA")</f>
        <v>NA</v>
      </c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4" t="str">
        <f>'Miembros de campaña PRVE'!C237</f>
        <v>1940@electromercantil.es</v>
      </c>
      <c r="B237" s="33"/>
      <c r="C237" s="12" t="str">
        <f>IFERROR(__xludf.DUMMYFUNCTION("""COMPUTED_VALUE"""),"1940@electromercantil.es")</f>
        <v>1940@electromercantil.es</v>
      </c>
      <c r="D237" s="12" t="str">
        <f>IFNA(VLOOKUP(C237,'Miembros de campaña PRVE'!C:E,3,0),"NA")</f>
        <v>Lead</v>
      </c>
      <c r="E237" s="35">
        <f>IFNA(IFNA(VLOOKUP(C237,'Miembros de campaña PRVE'!C:D,2,0),(VLOOKUP(C237,'SIC - FLOW! - Solicitudes BOFU '!B:C,2,0))),"")</f>
        <v>43944</v>
      </c>
      <c r="F237" s="12" t="str">
        <f>IFNA(IFNA(VLOOKUP(C237,'Estado de leads de campaña PRVE'!B:D,3,0),(VLOOKUP(C237,'Leads Sf Origen webDetailers Hs'!A:C,3,0))),"NA")</f>
        <v>Descartado</v>
      </c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4" t="str">
        <f>'Miembros de campaña PRVE'!C238</f>
        <v>1965@tienda-gasnatural.com</v>
      </c>
      <c r="B238" s="33"/>
      <c r="C238" s="12" t="str">
        <f>IFERROR(__xludf.DUMMYFUNCTION("""COMPUTED_VALUE"""),"1965@tienda-gasnatural.com")</f>
        <v>1965@tienda-gasnatural.com</v>
      </c>
      <c r="D238" s="12" t="str">
        <f>IFNA(VLOOKUP(C238,'Miembros de campaña PRVE'!C:E,3,0),"NA")</f>
        <v>Lead</v>
      </c>
      <c r="E238" s="35">
        <f>IFNA(IFNA(VLOOKUP(C238,'Miembros de campaña PRVE'!C:D,2,0),(VLOOKUP(C238,'SIC - FLOW! - Solicitudes BOFU '!B:C,2,0))),"")</f>
        <v>43944</v>
      </c>
      <c r="F238" s="12" t="str">
        <f>IFNA(IFNA(VLOOKUP(C238,'Estado de leads de campaña PRVE'!B:D,3,0),(VLOOKUP(C238,'Leads Sf Origen webDetailers Hs'!A:C,3,0))),"NA")</f>
        <v>Descartado</v>
      </c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4" t="str">
        <f>'Miembros de campaña PRVE'!C239</f>
        <v>1108@enginyerstarragona.cat</v>
      </c>
      <c r="B239" s="33"/>
      <c r="C239" s="12" t="str">
        <f>IFERROR(__xludf.DUMMYFUNCTION("""COMPUTED_VALUE"""),"1108@enginyerstarragona.cat")</f>
        <v>1108@enginyerstarragona.cat</v>
      </c>
      <c r="D239" s="12" t="str">
        <f>IFNA(VLOOKUP(C239,'Miembros de campaña PRVE'!C:E,3,0),"NA")</f>
        <v>Contacto</v>
      </c>
      <c r="E239" s="35">
        <f>IFNA(IFNA(VLOOKUP(C239,'Miembros de campaña PRVE'!C:D,2,0),(VLOOKUP(C239,'SIC - FLOW! - Solicitudes BOFU '!B:C,2,0))),"")</f>
        <v>43944</v>
      </c>
      <c r="F239" s="12" t="str">
        <f>IFNA(IFNA(VLOOKUP(C239,'Estado de leads de campaña PRVE'!B:D,3,0),(VLOOKUP(C239,'Leads Sf Origen webDetailers Hs'!A:C,3,0))),"NA")</f>
        <v>Convertido</v>
      </c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4" t="str">
        <f>'Miembros de campaña PRVE'!C240</f>
        <v>2029@sonepar.es</v>
      </c>
      <c r="B240" s="33"/>
      <c r="C240" s="12" t="str">
        <f>IFERROR(__xludf.DUMMYFUNCTION("""COMPUTED_VALUE"""),"2029@sonepar.es")</f>
        <v>2029@sonepar.es</v>
      </c>
      <c r="D240" s="12" t="str">
        <f>IFNA(VLOOKUP(C240,'Miembros de campaña PRVE'!C:E,3,0),"NA")</f>
        <v>Contacto</v>
      </c>
      <c r="E240" s="35">
        <f>IFNA(IFNA(VLOOKUP(C240,'Miembros de campaña PRVE'!C:D,2,0),(VLOOKUP(C240,'SIC - FLOW! - Solicitudes BOFU '!B:C,2,0))),"")</f>
        <v>43944</v>
      </c>
      <c r="F240" s="12" t="str">
        <f>IFNA(IFNA(VLOOKUP(C240,'Estado de leads de campaña PRVE'!B:D,3,0),(VLOOKUP(C240,'Leads Sf Origen webDetailers Hs'!A:C,3,0))),"NA")</f>
        <v>Convertido</v>
      </c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4" t="str">
        <f>'Miembros de campaña PRVE'!C241</f>
        <v>2057@gmail.com</v>
      </c>
      <c r="B241" s="33"/>
      <c r="C241" s="12" t="str">
        <f>IFERROR(__xludf.DUMMYFUNCTION("""COMPUTED_VALUE"""),"2057@gmail.com")</f>
        <v>2057@gmail.com</v>
      </c>
      <c r="D241" s="12" t="str">
        <f>IFNA(VLOOKUP(C241,'Miembros de campaña PRVE'!C:E,3,0),"NA")</f>
        <v>Lead</v>
      </c>
      <c r="E241" s="35">
        <f>IFNA(IFNA(VLOOKUP(C241,'Miembros de campaña PRVE'!C:D,2,0),(VLOOKUP(C241,'SIC - FLOW! - Solicitudes BOFU '!B:C,2,0))),"")</f>
        <v>43944</v>
      </c>
      <c r="F241" s="12" t="str">
        <f>IFNA(IFNA(VLOOKUP(C241,'Estado de leads de campaña PRVE'!B:D,3,0),(VLOOKUP(C241,'Leads Sf Origen webDetailers Hs'!A:C,3,0))),"NA")</f>
        <v>Descartado</v>
      </c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4" t="str">
        <f>'Miembros de campaña PRVE'!C242</f>
        <v>1535@hotmail.com</v>
      </c>
      <c r="B242" s="33"/>
      <c r="C242" s="12" t="str">
        <f>IFERROR(__xludf.DUMMYFUNCTION("""COMPUTED_VALUE"""),"1535@hotmail.com")</f>
        <v>1535@hotmail.com</v>
      </c>
      <c r="D242" s="12" t="str">
        <f>IFNA(VLOOKUP(C242,'Miembros de campaña PRVE'!C:E,3,0),"NA")</f>
        <v>Lead</v>
      </c>
      <c r="E242" s="35">
        <f>IFNA(IFNA(VLOOKUP(C242,'Miembros de campaña PRVE'!C:D,2,0),(VLOOKUP(C242,'SIC - FLOW! - Solicitudes BOFU '!B:C,2,0))),"")</f>
        <v>43943</v>
      </c>
      <c r="F242" s="12" t="str">
        <f>IFNA(IFNA(VLOOKUP(C242,'Estado de leads de campaña PRVE'!B:D,3,0),(VLOOKUP(C242,'Leads Sf Origen webDetailers Hs'!A:C,3,0))),"NA")</f>
        <v>Descartado</v>
      </c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4" t="str">
        <f>'Miembros de campaña PRVE'!C243</f>
        <v>1397@olibayas.net</v>
      </c>
      <c r="B243" s="33"/>
      <c r="C243" s="12" t="str">
        <f>IFERROR(__xludf.DUMMYFUNCTION("""COMPUTED_VALUE"""),"1397@olibayas.net")</f>
        <v>1397@olibayas.net</v>
      </c>
      <c r="D243" s="12" t="str">
        <f>IFNA(VLOOKUP(C243,'Miembros de campaña PRVE'!C:E,3,0),"NA")</f>
        <v>Lead</v>
      </c>
      <c r="E243" s="35">
        <f>IFNA(IFNA(VLOOKUP(C243,'Miembros de campaña PRVE'!C:D,2,0),(VLOOKUP(C243,'SIC - FLOW! - Solicitudes BOFU '!B:C,2,0))),"")</f>
        <v>43942</v>
      </c>
      <c r="F243" s="12" t="str">
        <f>IFNA(IFNA(VLOOKUP(C243,'Estado de leads de campaña PRVE'!B:D,3,0),(VLOOKUP(C243,'Leads Sf Origen webDetailers Hs'!A:C,3,0))),"NA")</f>
        <v>Descartado</v>
      </c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4" t="str">
        <f>'Miembros de campaña PRVE'!C244</f>
        <v>2074@hotmail.com</v>
      </c>
      <c r="B244" s="33"/>
      <c r="C244" s="12" t="str">
        <f>IFERROR(__xludf.DUMMYFUNCTION("""COMPUTED_VALUE"""),"2074@hotmail.com")</f>
        <v>2074@hotmail.com</v>
      </c>
      <c r="D244" s="12" t="str">
        <f>IFNA(VLOOKUP(C244,'Miembros de campaña PRVE'!C:E,3,0),"NA")</f>
        <v>Contacto</v>
      </c>
      <c r="E244" s="35">
        <f>IFNA(IFNA(VLOOKUP(C244,'Miembros de campaña PRVE'!C:D,2,0),(VLOOKUP(C244,'SIC - FLOW! - Solicitudes BOFU '!B:C,2,0))),"")</f>
        <v>43941</v>
      </c>
      <c r="F244" s="12" t="str">
        <f>IFNA(IFNA(VLOOKUP(C244,'Estado de leads de campaña PRVE'!B:D,3,0),(VLOOKUP(C244,'Leads Sf Origen webDetailers Hs'!A:C,3,0))),"NA")</f>
        <v>Convertido</v>
      </c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4" t="str">
        <f>'Miembros de campaña PRVE'!C245</f>
        <v>2076@gmail.com</v>
      </c>
      <c r="B245" s="33"/>
      <c r="C245" s="12" t="str">
        <f>IFERROR(__xludf.DUMMYFUNCTION("""COMPUTED_VALUE"""),"2076@gmail.com")</f>
        <v>2076@gmail.com</v>
      </c>
      <c r="D245" s="12" t="str">
        <f>IFNA(VLOOKUP(C245,'Miembros de campaña PRVE'!C:E,3,0),"NA")</f>
        <v>Lead</v>
      </c>
      <c r="E245" s="35">
        <f>IFNA(IFNA(VLOOKUP(C245,'Miembros de campaña PRVE'!C:D,2,0),(VLOOKUP(C245,'SIC - FLOW! - Solicitudes BOFU '!B:C,2,0))),"")</f>
        <v>43941</v>
      </c>
      <c r="F245" s="12" t="str">
        <f>IFNA(IFNA(VLOOKUP(C245,'Estado de leads de campaña PRVE'!B:D,3,0),(VLOOKUP(C245,'Leads Sf Origen webDetailers Hs'!A:C,3,0))),"NA")</f>
        <v>Descartado</v>
      </c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4" t="str">
        <f>'Miembros de campaña PRVE'!C246</f>
        <v>1443@hotmail.com</v>
      </c>
      <c r="B246" s="33"/>
      <c r="C246" s="12" t="str">
        <f>IFERROR(__xludf.DUMMYFUNCTION("""COMPUTED_VALUE"""),"1443@hotmail.com")</f>
        <v>1443@hotmail.com</v>
      </c>
      <c r="D246" s="12" t="str">
        <f>IFNA(VLOOKUP(C246,'Miembros de campaña PRVE'!C:E,3,0),"NA")</f>
        <v>Lead</v>
      </c>
      <c r="E246" s="35">
        <f>IFNA(IFNA(VLOOKUP(C246,'Miembros de campaña PRVE'!C:D,2,0),(VLOOKUP(C246,'SIC - FLOW! - Solicitudes BOFU '!B:C,2,0))),"")</f>
        <v>43941</v>
      </c>
      <c r="F246" s="12" t="str">
        <f>IFNA(IFNA(VLOOKUP(C246,'Estado de leads de campaña PRVE'!B:D,3,0),(VLOOKUP(C246,'Leads Sf Origen webDetailers Hs'!A:C,3,0))),"NA")</f>
        <v>Descartado</v>
      </c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4" t="str">
        <f>'Miembros de campaña PRVE'!C247</f>
        <v>2083@gmail.com</v>
      </c>
      <c r="B247" s="33"/>
      <c r="C247" s="12" t="str">
        <f>IFERROR(__xludf.DUMMYFUNCTION("""COMPUTED_VALUE"""),"2083@gmail.com")</f>
        <v>2083@gmail.com</v>
      </c>
      <c r="D247" s="12" t="str">
        <f>IFNA(VLOOKUP(C247,'Miembros de campaña PRVE'!C:E,3,0),"NA")</f>
        <v>Lead</v>
      </c>
      <c r="E247" s="35">
        <f>IFNA(IFNA(VLOOKUP(C247,'Miembros de campaña PRVE'!C:D,2,0),(VLOOKUP(C247,'SIC - FLOW! - Solicitudes BOFU '!B:C,2,0))),"")</f>
        <v>43940</v>
      </c>
      <c r="F247" s="12" t="str">
        <f>IFNA(IFNA(VLOOKUP(C247,'Estado de leads de campaña PRVE'!B:D,3,0),(VLOOKUP(C247,'Leads Sf Origen webDetailers Hs'!A:C,3,0))),"NA")</f>
        <v>Descartado</v>
      </c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4" t="str">
        <f>'Miembros de campaña PRVE'!C248</f>
        <v>2097@hotmail.com</v>
      </c>
      <c r="B248" s="33"/>
      <c r="C248" s="12" t="str">
        <f>IFERROR(__xludf.DUMMYFUNCTION("""COMPUTED_VALUE"""),"2097@hotmail.com")</f>
        <v>2097@hotmail.com</v>
      </c>
      <c r="D248" s="12" t="str">
        <f>IFNA(VLOOKUP(C248,'Miembros de campaña PRVE'!C:E,3,0),"NA")</f>
        <v>Lead</v>
      </c>
      <c r="E248" s="35">
        <f>IFNA(IFNA(VLOOKUP(C248,'Miembros de campaña PRVE'!C:D,2,0),(VLOOKUP(C248,'SIC - FLOW! - Solicitudes BOFU '!B:C,2,0))),"")</f>
        <v>43938</v>
      </c>
      <c r="F248" s="12" t="str">
        <f>IFNA(IFNA(VLOOKUP(C248,'Estado de leads de campaña PRVE'!B:D,3,0),(VLOOKUP(C248,'Leads Sf Origen webDetailers Hs'!A:C,3,0))),"NA")</f>
        <v>Descartado</v>
      </c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4" t="str">
        <f>'Miembros de campaña PRVE'!C249</f>
        <v>2109@huelvanorte.es</v>
      </c>
      <c r="B249" s="33"/>
      <c r="C249" s="12" t="str">
        <f>IFERROR(__xludf.DUMMYFUNCTION("""COMPUTED_VALUE"""),"2109@huelvanorte.es")</f>
        <v>2109@huelvanorte.es</v>
      </c>
      <c r="D249" s="12" t="str">
        <f>IFNA(VLOOKUP(C249,'Miembros de campaña PRVE'!C:E,3,0),"NA")</f>
        <v>Contacto</v>
      </c>
      <c r="E249" s="35">
        <f>IFNA(IFNA(VLOOKUP(C249,'Miembros de campaña PRVE'!C:D,2,0),(VLOOKUP(C249,'SIC - FLOW! - Solicitudes BOFU '!B:C,2,0))),"")</f>
        <v>43937</v>
      </c>
      <c r="F249" s="12" t="str">
        <f>IFNA(IFNA(VLOOKUP(C249,'Estado de leads de campaña PRVE'!B:D,3,0),(VLOOKUP(C249,'Leads Sf Origen webDetailers Hs'!A:C,3,0))),"NA")</f>
        <v>Convertido</v>
      </c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4" t="str">
        <f>'Miembros de campaña PRVE'!C250</f>
        <v>2110@ingeconsulting.com</v>
      </c>
      <c r="B250" s="33"/>
      <c r="C250" s="12" t="str">
        <f>IFERROR(__xludf.DUMMYFUNCTION("""COMPUTED_VALUE"""),"2110@ingeconsulting.com")</f>
        <v>2110@ingeconsulting.com</v>
      </c>
      <c r="D250" s="12" t="str">
        <f>IFNA(VLOOKUP(C250,'Miembros de campaña PRVE'!C:E,3,0),"NA")</f>
        <v>Contacto</v>
      </c>
      <c r="E250" s="35">
        <f>IFNA(IFNA(VLOOKUP(C250,'Miembros de campaña PRVE'!C:D,2,0),(VLOOKUP(C250,'SIC - FLOW! - Solicitudes BOFU '!B:C,2,0))),"")</f>
        <v>43937</v>
      </c>
      <c r="F250" s="12" t="str">
        <f>IFNA(IFNA(VLOOKUP(C250,'Estado de leads de campaña PRVE'!B:D,3,0),(VLOOKUP(C250,'Leads Sf Origen webDetailers Hs'!A:C,3,0))),"NA")</f>
        <v>Convertido</v>
      </c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4" t="str">
        <f>'Miembros de campaña PRVE'!C251</f>
        <v>2112@gmail.com</v>
      </c>
      <c r="B251" s="33"/>
      <c r="C251" s="12" t="str">
        <f>IFERROR(__xludf.DUMMYFUNCTION("""COMPUTED_VALUE"""),"2112@gmail.com")</f>
        <v>2112@gmail.com</v>
      </c>
      <c r="D251" s="12" t="str">
        <f>IFNA(VLOOKUP(C251,'Miembros de campaña PRVE'!C:E,3,0),"NA")</f>
        <v>Lead</v>
      </c>
      <c r="E251" s="35">
        <f>IFNA(IFNA(VLOOKUP(C251,'Miembros de campaña PRVE'!C:D,2,0),(VLOOKUP(C251,'SIC - FLOW! - Solicitudes BOFU '!B:C,2,0))),"")</f>
        <v>43937</v>
      </c>
      <c r="F251" s="12" t="str">
        <f>IFNA(IFNA(VLOOKUP(C251,'Estado de leads de campaña PRVE'!B:D,3,0),(VLOOKUP(C251,'Leads Sf Origen webDetailers Hs'!A:C,3,0))),"NA")</f>
        <v>Descartado</v>
      </c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4" t="str">
        <f>'Miembros de campaña PRVE'!C252</f>
        <v>808@ale.es</v>
      </c>
      <c r="B252" s="33"/>
      <c r="C252" s="12" t="str">
        <f>IFERROR(__xludf.DUMMYFUNCTION("""COMPUTED_VALUE"""),"808@ale.es")</f>
        <v>808@ale.es</v>
      </c>
      <c r="D252" s="12" t="str">
        <f>IFNA(VLOOKUP(C252,'Miembros de campaña PRVE'!C:E,3,0),"NA")</f>
        <v>Lead</v>
      </c>
      <c r="E252" s="35">
        <f>IFNA(IFNA(VLOOKUP(C252,'Miembros de campaña PRVE'!C:D,2,0),(VLOOKUP(C252,'SIC - FLOW! - Solicitudes BOFU '!B:C,2,0))),"")</f>
        <v>43936</v>
      </c>
      <c r="F252" s="12" t="str">
        <f>IFNA(IFNA(VLOOKUP(C252,'Estado de leads de campaña PRVE'!B:D,3,0),(VLOOKUP(C252,'Leads Sf Origen webDetailers Hs'!A:C,3,0))),"NA")</f>
        <v>Descartado</v>
      </c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4" t="str">
        <f>'Miembros de campaña PRVE'!C253</f>
        <v>3086@gmail.com</v>
      </c>
      <c r="B253" s="33"/>
      <c r="C253" s="12" t="str">
        <f>IFERROR(__xludf.DUMMYFUNCTION("""COMPUTED_VALUE"""),"3086@gmail.com")</f>
        <v>3086@gmail.com</v>
      </c>
      <c r="D253" s="12" t="str">
        <f>IFNA(VLOOKUP(C253,'Miembros de campaña PRVE'!C:E,3,0),"NA")</f>
        <v>Contacto</v>
      </c>
      <c r="E253" s="35">
        <f>IFNA(IFNA(VLOOKUP(C253,'Miembros de campaña PRVE'!C:D,2,0),(VLOOKUP(C253,'SIC - FLOW! - Solicitudes BOFU '!B:C,2,0))),"")</f>
        <v>43936</v>
      </c>
      <c r="F253" s="12" t="str">
        <f>IFNA(IFNA(VLOOKUP(C253,'Estado de leads de campaña PRVE'!B:D,3,0),(VLOOKUP(C253,'Leads Sf Origen webDetailers Hs'!A:C,3,0))),"NA")</f>
        <v>Convertido</v>
      </c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4" t="str">
        <f>'Miembros de campaña PRVE'!C254</f>
        <v>2119@gmail.com</v>
      </c>
      <c r="B254" s="33"/>
      <c r="C254" s="12" t="str">
        <f>IFERROR(__xludf.DUMMYFUNCTION("""COMPUTED_VALUE"""),"2119@gmail.com")</f>
        <v>2119@gmail.com</v>
      </c>
      <c r="D254" s="12" t="str">
        <f>IFNA(VLOOKUP(C254,'Miembros de campaña PRVE'!C:E,3,0),"NA")</f>
        <v>Lead</v>
      </c>
      <c r="E254" s="35">
        <f>IFNA(IFNA(VLOOKUP(C254,'Miembros de campaña PRVE'!C:D,2,0),(VLOOKUP(C254,'SIC - FLOW! - Solicitudes BOFU '!B:C,2,0))),"")</f>
        <v>43935</v>
      </c>
      <c r="F254" s="12" t="str">
        <f>IFNA(IFNA(VLOOKUP(C254,'Estado de leads de campaña PRVE'!B:D,3,0),(VLOOKUP(C254,'Leads Sf Origen webDetailers Hs'!A:C,3,0))),"NA")</f>
        <v>Descartado</v>
      </c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4" t="str">
        <f>'Miembros de campaña PRVE'!C255</f>
        <v>2366@energies.cat</v>
      </c>
      <c r="B255" s="33"/>
      <c r="C255" s="12" t="str">
        <f>IFERROR(__xludf.DUMMYFUNCTION("""COMPUTED_VALUE"""),"2366@energies.cat")</f>
        <v>2366@energies.cat</v>
      </c>
      <c r="D255" s="12" t="str">
        <f>IFNA(VLOOKUP(C255,'Miembros de campaña PRVE'!C:E,3,0),"NA")</f>
        <v>Contacto</v>
      </c>
      <c r="E255" s="35">
        <f>IFNA(IFNA(VLOOKUP(C255,'Miembros de campaña PRVE'!C:D,2,0),(VLOOKUP(C255,'SIC - FLOW! - Solicitudes BOFU '!B:C,2,0))),"")</f>
        <v>43934</v>
      </c>
      <c r="F255" s="12" t="str">
        <f>IFNA(IFNA(VLOOKUP(C255,'Estado de leads de campaña PRVE'!B:D,3,0),(VLOOKUP(C255,'Leads Sf Origen webDetailers Hs'!A:C,3,0))),"NA")</f>
        <v>Convertido</v>
      </c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4" t="str">
        <f>'Miembros de campaña PRVE'!C256</f>
        <v>2128@gmail.com</v>
      </c>
      <c r="B256" s="33"/>
      <c r="C256" s="12" t="str">
        <f>IFERROR(__xludf.DUMMYFUNCTION("""COMPUTED_VALUE"""),"2128@gmail.com")</f>
        <v>2128@gmail.com</v>
      </c>
      <c r="D256" s="12" t="str">
        <f>IFNA(VLOOKUP(C256,'Miembros de campaña PRVE'!C:E,3,0),"NA")</f>
        <v>Lead</v>
      </c>
      <c r="E256" s="35">
        <f>IFNA(IFNA(VLOOKUP(C256,'Miembros de campaña PRVE'!C:D,2,0),(VLOOKUP(C256,'SIC - FLOW! - Solicitudes BOFU '!B:C,2,0))),"")</f>
        <v>43933</v>
      </c>
      <c r="F256" s="12" t="str">
        <f>IFNA(IFNA(VLOOKUP(C256,'Estado de leads de campaña PRVE'!B:D,3,0),(VLOOKUP(C256,'Leads Sf Origen webDetailers Hs'!A:C,3,0))),"NA")</f>
        <v>Descartado</v>
      </c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4" t="str">
        <f>'Miembros de campaña PRVE'!C257</f>
        <v>2140@gmail.com</v>
      </c>
      <c r="B257" s="33"/>
      <c r="C257" s="12" t="str">
        <f>IFERROR(__xludf.DUMMYFUNCTION("""COMPUTED_VALUE"""),"2140@gmail.com")</f>
        <v>2140@gmail.com</v>
      </c>
      <c r="D257" s="12" t="str">
        <f>IFNA(VLOOKUP(C257,'Miembros de campaña PRVE'!C:E,3,0),"NA")</f>
        <v>Contacto</v>
      </c>
      <c r="E257" s="35">
        <f>IFNA(IFNA(VLOOKUP(C257,'Miembros de campaña PRVE'!C:D,2,0),(VLOOKUP(C257,'SIC - FLOW! - Solicitudes BOFU '!B:C,2,0))),"")</f>
        <v>43932</v>
      </c>
      <c r="F257" s="12" t="str">
        <f>IFNA(IFNA(VLOOKUP(C257,'Estado de leads de campaña PRVE'!B:D,3,0),(VLOOKUP(C257,'Leads Sf Origen webDetailers Hs'!A:C,3,0))),"NA")</f>
        <v>Convertido</v>
      </c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4" t="str">
        <f>'Miembros de campaña PRVE'!C258</f>
        <v>2150@yahoo.es</v>
      </c>
      <c r="B258" s="33"/>
      <c r="C258" s="12" t="str">
        <f>IFERROR(__xludf.DUMMYFUNCTION("""COMPUTED_VALUE"""),"2150@yahoo.es")</f>
        <v>2150@yahoo.es</v>
      </c>
      <c r="D258" s="12" t="str">
        <f>IFNA(VLOOKUP(C258,'Miembros de campaña PRVE'!C:E,3,0),"NA")</f>
        <v>Lead</v>
      </c>
      <c r="E258" s="35">
        <f>IFNA(IFNA(VLOOKUP(C258,'Miembros de campaña PRVE'!C:D,2,0),(VLOOKUP(C258,'SIC - FLOW! - Solicitudes BOFU '!B:C,2,0))),"")</f>
        <v>43930</v>
      </c>
      <c r="F258" s="12" t="str">
        <f>IFNA(IFNA(VLOOKUP(C258,'Estado de leads de campaña PRVE'!B:D,3,0),(VLOOKUP(C258,'Leads Sf Origen webDetailers Hs'!A:C,3,0))),"NA")</f>
        <v>NA</v>
      </c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4" t="str">
        <f>'Miembros de campaña PRVE'!C259</f>
        <v>3047@gmail.com</v>
      </c>
      <c r="B259" s="33"/>
      <c r="C259" s="12" t="str">
        <f>IFERROR(__xludf.DUMMYFUNCTION("""COMPUTED_VALUE"""),"3047@gmail.com")</f>
        <v>3047@gmail.com</v>
      </c>
      <c r="D259" s="12" t="str">
        <f>IFNA(VLOOKUP(C259,'Miembros de campaña PRVE'!C:E,3,0),"NA")</f>
        <v>Contacto</v>
      </c>
      <c r="E259" s="35">
        <f>IFNA(IFNA(VLOOKUP(C259,'Miembros de campaña PRVE'!C:D,2,0),(VLOOKUP(C259,'SIC - FLOW! - Solicitudes BOFU '!B:C,2,0))),"")</f>
        <v>43928</v>
      </c>
      <c r="F259" s="12" t="str">
        <f>IFNA(IFNA(VLOOKUP(C259,'Estado de leads de campaña PRVE'!B:D,3,0),(VLOOKUP(C259,'Leads Sf Origen webDetailers Hs'!A:C,3,0))),"NA")</f>
        <v>NA</v>
      </c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4" t="str">
        <f>'Miembros de campaña PRVE'!C260</f>
        <v>2195@yahoo.es</v>
      </c>
      <c r="B260" s="33"/>
      <c r="C260" s="12" t="str">
        <f>IFERROR(__xludf.DUMMYFUNCTION("""COMPUTED_VALUE"""),"2195@yahoo.es")</f>
        <v>2195@yahoo.es</v>
      </c>
      <c r="D260" s="12" t="str">
        <f>IFNA(VLOOKUP(C260,'Miembros de campaña PRVE'!C:E,3,0),"NA")</f>
        <v>Lead</v>
      </c>
      <c r="E260" s="35">
        <f>IFNA(IFNA(VLOOKUP(C260,'Miembros de campaña PRVE'!C:D,2,0),(VLOOKUP(C260,'SIC - FLOW! - Solicitudes BOFU '!B:C,2,0))),"")</f>
        <v>43926</v>
      </c>
      <c r="F260" s="12" t="str">
        <f>IFNA(IFNA(VLOOKUP(C260,'Estado de leads de campaña PRVE'!B:D,3,0),(VLOOKUP(C260,'Leads Sf Origen webDetailers Hs'!A:C,3,0))),"NA")</f>
        <v>NA</v>
      </c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4" t="str">
        <f>'Miembros de campaña PRVE'!C261</f>
        <v>2208@wp.pl</v>
      </c>
      <c r="B261" s="33"/>
      <c r="C261" s="12" t="str">
        <f>IFERROR(__xludf.DUMMYFUNCTION("""COMPUTED_VALUE"""),"2208@wp.pl")</f>
        <v>2208@wp.pl</v>
      </c>
      <c r="D261" s="12" t="str">
        <f>IFNA(VLOOKUP(C261,'Miembros de campaña PRVE'!C:E,3,0),"NA")</f>
        <v>Lead</v>
      </c>
      <c r="E261" s="35">
        <f>IFNA(IFNA(VLOOKUP(C261,'Miembros de campaña PRVE'!C:D,2,0),(VLOOKUP(C261,'SIC - FLOW! - Solicitudes BOFU '!B:C,2,0))),"")</f>
        <v>43924</v>
      </c>
      <c r="F261" s="12" t="str">
        <f>IFNA(IFNA(VLOOKUP(C261,'Estado de leads de campaña PRVE'!B:D,3,0),(VLOOKUP(C261,'Leads Sf Origen webDetailers Hs'!A:C,3,0))),"NA")</f>
        <v>Descartado</v>
      </c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4" t="str">
        <f>'Miembros de campaña PRVE'!C262</f>
        <v>2218@gmx.es</v>
      </c>
      <c r="B262" s="33"/>
      <c r="C262" s="12" t="str">
        <f>IFERROR(__xludf.DUMMYFUNCTION("""COMPUTED_VALUE"""),"2218@gmx.es")</f>
        <v>2218@gmx.es</v>
      </c>
      <c r="D262" s="12" t="str">
        <f>IFNA(VLOOKUP(C262,'Miembros de campaña PRVE'!C:E,3,0),"NA")</f>
        <v>Lead</v>
      </c>
      <c r="E262" s="35">
        <f>IFNA(IFNA(VLOOKUP(C262,'Miembros de campaña PRVE'!C:D,2,0),(VLOOKUP(C262,'SIC - FLOW! - Solicitudes BOFU '!B:C,2,0))),"")</f>
        <v>43924</v>
      </c>
      <c r="F262" s="12" t="str">
        <f>IFNA(IFNA(VLOOKUP(C262,'Estado de leads de campaña PRVE'!B:D,3,0),(VLOOKUP(C262,'Leads Sf Origen webDetailers Hs'!A:C,3,0))),"NA")</f>
        <v>Descartado</v>
      </c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4" t="str">
        <f>'Miembros de campaña PRVE'!C263</f>
        <v>3201@sub-vidayfoto.com</v>
      </c>
      <c r="B263" s="33"/>
      <c r="C263" s="12" t="str">
        <f>IFERROR(__xludf.DUMMYFUNCTION("""COMPUTED_VALUE"""),"3201@sub-vidayfoto.com")</f>
        <v>3201@sub-vidayfoto.com</v>
      </c>
      <c r="D263" s="12" t="str">
        <f>IFNA(VLOOKUP(C263,'Miembros de campaña PRVE'!C:E,3,0),"NA")</f>
        <v>Lead</v>
      </c>
      <c r="E263" s="35">
        <f>IFNA(IFNA(VLOOKUP(C263,'Miembros de campaña PRVE'!C:D,2,0),(VLOOKUP(C263,'SIC - FLOW! - Solicitudes BOFU '!B:C,2,0))),"")</f>
        <v>43923</v>
      </c>
      <c r="F263" s="12" t="str">
        <f>IFNA(IFNA(VLOOKUP(C263,'Estado de leads de campaña PRVE'!B:D,3,0),(VLOOKUP(C263,'Leads Sf Origen webDetailers Hs'!A:C,3,0))),"NA")</f>
        <v>Descartado</v>
      </c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4" t="str">
        <f>'Miembros de campaña PRVE'!C264</f>
        <v>2229@enerluz.es</v>
      </c>
      <c r="B264" s="33"/>
      <c r="C264" s="12" t="str">
        <f>IFERROR(__xludf.DUMMYFUNCTION("""COMPUTED_VALUE"""),"2229@enerluz.es")</f>
        <v>2229@enerluz.es</v>
      </c>
      <c r="D264" s="12" t="str">
        <f>IFNA(VLOOKUP(C264,'Miembros de campaña PRVE'!C:E,3,0),"NA")</f>
        <v>Contacto</v>
      </c>
      <c r="E264" s="35">
        <f>IFNA(IFNA(VLOOKUP(C264,'Miembros de campaña PRVE'!C:D,2,0),(VLOOKUP(C264,'SIC - FLOW! - Solicitudes BOFU '!B:C,2,0))),"")</f>
        <v>43922</v>
      </c>
      <c r="F264" s="12" t="str">
        <f>IFNA(IFNA(VLOOKUP(C264,'Estado de leads de campaña PRVE'!B:D,3,0),(VLOOKUP(C264,'Leads Sf Origen webDetailers Hs'!A:C,3,0))),"NA")</f>
        <v>Convertido</v>
      </c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4" t="str">
        <f>'Miembros de campaña PRVE'!C265</f>
        <v>595@centroasturianobarcelona.com</v>
      </c>
      <c r="B265" s="33"/>
      <c r="C265" s="12" t="str">
        <f>IFERROR(__xludf.DUMMYFUNCTION("""COMPUTED_VALUE"""),"595@centroasturianobarcelona.com")</f>
        <v>595@centroasturianobarcelona.com</v>
      </c>
      <c r="D265" s="12" t="str">
        <f>IFNA(VLOOKUP(C265,'Miembros de campaña PRVE'!C:E,3,0),"NA")</f>
        <v>Contacto</v>
      </c>
      <c r="E265" s="35">
        <f>IFNA(IFNA(VLOOKUP(C265,'Miembros de campaña PRVE'!C:D,2,0),(VLOOKUP(C265,'SIC - FLOW! - Solicitudes BOFU '!B:C,2,0))),"")</f>
        <v>43922</v>
      </c>
      <c r="F265" s="12" t="str">
        <f>IFNA(IFNA(VLOOKUP(C265,'Estado de leads de campaña PRVE'!B:D,3,0),(VLOOKUP(C265,'Leads Sf Origen webDetailers Hs'!A:C,3,0))),"NA")</f>
        <v>Convertido</v>
      </c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4" t="str">
        <f>'Miembros de campaña PRVE'!C266</f>
        <v>2252@energestic.es</v>
      </c>
      <c r="B266" s="33"/>
      <c r="C266" s="12" t="str">
        <f>IFERROR(__xludf.DUMMYFUNCTION("""COMPUTED_VALUE"""),"2252@energestic.es")</f>
        <v>2252@energestic.es</v>
      </c>
      <c r="D266" s="12" t="str">
        <f>IFNA(VLOOKUP(C266,'Miembros de campaña PRVE'!C:E,3,0),"NA")</f>
        <v>Contacto</v>
      </c>
      <c r="E266" s="35">
        <f>IFNA(IFNA(VLOOKUP(C266,'Miembros de campaña PRVE'!C:D,2,0),(VLOOKUP(C266,'SIC - FLOW! - Solicitudes BOFU '!B:C,2,0))),"")</f>
        <v>43921</v>
      </c>
      <c r="F266" s="12" t="str">
        <f>IFNA(IFNA(VLOOKUP(C266,'Estado de leads de campaña PRVE'!B:D,3,0),(VLOOKUP(C266,'Leads Sf Origen webDetailers Hs'!A:C,3,0))),"NA")</f>
        <v>NA</v>
      </c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4" t="str">
        <f>'Miembros de campaña PRVE'!C267</f>
        <v>1051@gmail.com</v>
      </c>
      <c r="B267" s="33"/>
      <c r="C267" s="12" t="str">
        <f>IFERROR(__xludf.DUMMYFUNCTION("""COMPUTED_VALUE"""),"2284@gmail.com")</f>
        <v>2284@gmail.com</v>
      </c>
      <c r="D267" s="12" t="str">
        <f>IFNA(VLOOKUP(C267,'Miembros de campaña PRVE'!C:E,3,0),"NA")</f>
        <v>Lead</v>
      </c>
      <c r="E267" s="35">
        <f>IFNA(IFNA(VLOOKUP(C267,'Miembros de campaña PRVE'!C:D,2,0),(VLOOKUP(C267,'SIC - FLOW! - Solicitudes BOFU '!B:C,2,0))),"")</f>
        <v>43915</v>
      </c>
      <c r="F267" s="12" t="str">
        <f>IFNA(IFNA(VLOOKUP(C267,'Estado de leads de campaña PRVE'!B:D,3,0),(VLOOKUP(C267,'Leads Sf Origen webDetailers Hs'!A:C,3,0))),"NA")</f>
        <v>Descartado</v>
      </c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4" t="str">
        <f>'Miembros de campaña PRVE'!C268</f>
        <v>2284@gmail.com</v>
      </c>
      <c r="B268" s="33"/>
      <c r="C268" s="12" t="str">
        <f>IFERROR(__xludf.DUMMYFUNCTION("""COMPUTED_VALUE"""),"1414@gmail.com")</f>
        <v>1414@gmail.com</v>
      </c>
      <c r="D268" s="12" t="str">
        <f>IFNA(VLOOKUP(C268,'Miembros de campaña PRVE'!C:E,3,0),"NA")</f>
        <v>Lead</v>
      </c>
      <c r="E268" s="35">
        <f>IFNA(IFNA(VLOOKUP(C268,'Miembros de campaña PRVE'!C:D,2,0),(VLOOKUP(C268,'SIC - FLOW! - Solicitudes BOFU '!B:C,2,0))),"")</f>
        <v>43914</v>
      </c>
      <c r="F268" s="12" t="str">
        <f>IFNA(IFNA(VLOOKUP(C268,'Estado de leads de campaña PRVE'!B:D,3,0),(VLOOKUP(C268,'Leads Sf Origen webDetailers Hs'!A:C,3,0))),"NA")</f>
        <v>Descartado</v>
      </c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4" t="str">
        <f>'Miembros de campaña PRVE'!C269</f>
        <v>1414@gmail.com</v>
      </c>
      <c r="B269" s="33"/>
      <c r="C269" s="12" t="str">
        <f>IFERROR(__xludf.DUMMYFUNCTION("""COMPUTED_VALUE"""),"2329@hotmail.com")</f>
        <v>2329@hotmail.com</v>
      </c>
      <c r="D269" s="12" t="str">
        <f>IFNA(VLOOKUP(C269,'Miembros de campaña PRVE'!C:E,3,0),"NA")</f>
        <v>Lead</v>
      </c>
      <c r="E269" s="35">
        <f>IFNA(IFNA(VLOOKUP(C269,'Miembros de campaña PRVE'!C:D,2,0),(VLOOKUP(C269,'SIC - FLOW! - Solicitudes BOFU '!B:C,2,0))),"")</f>
        <v>43914</v>
      </c>
      <c r="F269" s="12" t="str">
        <f>IFNA(IFNA(VLOOKUP(C269,'Estado de leads de campaña PRVE'!B:D,3,0),(VLOOKUP(C269,'Leads Sf Origen webDetailers Hs'!A:C,3,0))),"NA")</f>
        <v>Descartado</v>
      </c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4" t="str">
        <f>'Miembros de campaña PRVE'!C270</f>
        <v>2329@hotmail.com</v>
      </c>
      <c r="B270" s="33"/>
      <c r="C270" s="12" t="str">
        <f>IFERROR(__xludf.DUMMYFUNCTION("""COMPUTED_VALUE"""),"2330@gmail.com")</f>
        <v>2330@gmail.com</v>
      </c>
      <c r="D270" s="12" t="str">
        <f>IFNA(VLOOKUP(C270,'Miembros de campaña PRVE'!C:E,3,0),"NA")</f>
        <v>Lead</v>
      </c>
      <c r="E270" s="35">
        <f>IFNA(IFNA(VLOOKUP(C270,'Miembros de campaña PRVE'!C:D,2,0),(VLOOKUP(C270,'SIC - FLOW! - Solicitudes BOFU '!B:C,2,0))),"")</f>
        <v>43914</v>
      </c>
      <c r="F270" s="12" t="str">
        <f>IFNA(IFNA(VLOOKUP(C270,'Estado de leads de campaña PRVE'!B:D,3,0),(VLOOKUP(C270,'Leads Sf Origen webDetailers Hs'!A:C,3,0))),"NA")</f>
        <v>Descartado</v>
      </c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4" t="str">
        <f>'Miembros de campaña PRVE'!C271</f>
        <v>2330@gmail.com</v>
      </c>
      <c r="B271" s="33"/>
      <c r="C271" s="12" t="str">
        <f>IFERROR(__xludf.DUMMYFUNCTION("""COMPUTED_VALUE"""),"2388@gmail.com")</f>
        <v>2388@gmail.com</v>
      </c>
      <c r="D271" s="12" t="str">
        <f>IFNA(VLOOKUP(C271,'Miembros de campaña PRVE'!C:E,3,0),"NA")</f>
        <v>Lead</v>
      </c>
      <c r="E271" s="35">
        <f>IFNA(IFNA(VLOOKUP(C271,'Miembros de campaña PRVE'!C:D,2,0),(VLOOKUP(C271,'SIC - FLOW! - Solicitudes BOFU '!B:C,2,0))),"")</f>
        <v>43914</v>
      </c>
      <c r="F271" s="12" t="str">
        <f>IFNA(IFNA(VLOOKUP(C271,'Estado de leads de campaña PRVE'!B:D,3,0),(VLOOKUP(C271,'Leads Sf Origen webDetailers Hs'!A:C,3,0))),"NA")</f>
        <v>Nuevo</v>
      </c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4" t="str">
        <f>'Miembros de campaña PRVE'!C272</f>
        <v>2388@gmail.com</v>
      </c>
      <c r="B272" s="33"/>
      <c r="C272" s="12" t="str">
        <f>IFERROR(__xludf.DUMMYFUNCTION("""COMPUTED_VALUE"""),"2408@me.com")</f>
        <v>2408@me.com</v>
      </c>
      <c r="D272" s="12" t="str">
        <f>IFNA(VLOOKUP(C272,'Miembros de campaña PRVE'!C:E,3,0),"NA")</f>
        <v>Lead</v>
      </c>
      <c r="E272" s="35">
        <f>IFNA(IFNA(VLOOKUP(C272,'Miembros de campaña PRVE'!C:D,2,0),(VLOOKUP(C272,'SIC - FLOW! - Solicitudes BOFU '!B:C,2,0))),"")</f>
        <v>43914</v>
      </c>
      <c r="F272" s="12" t="str">
        <f>IFNA(IFNA(VLOOKUP(C272,'Estado de leads de campaña PRVE'!B:D,3,0),(VLOOKUP(C272,'Leads Sf Origen webDetailers Hs'!A:C,3,0))),"NA")</f>
        <v>Descartado</v>
      </c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4" t="str">
        <f>'Miembros de campaña PRVE'!C273</f>
        <v>2408@me.com</v>
      </c>
      <c r="B273" s="33"/>
      <c r="C273" s="12" t="str">
        <f>IFERROR(__xludf.DUMMYFUNCTION("""COMPUTED_VALUE"""),"1687@gestilar.com")</f>
        <v>1687@gestilar.com</v>
      </c>
      <c r="D273" s="12" t="str">
        <f>IFNA(VLOOKUP(C273,'Miembros de campaña PRVE'!C:E,3,0),"NA")</f>
        <v>Contacto</v>
      </c>
      <c r="E273" s="35">
        <f>IFNA(IFNA(VLOOKUP(C273,'Miembros de campaña PRVE'!C:D,2,0),(VLOOKUP(C273,'SIC - FLOW! - Solicitudes BOFU '!B:C,2,0))),"")</f>
        <v>43913</v>
      </c>
      <c r="F273" s="12" t="str">
        <f>IFNA(IFNA(VLOOKUP(C273,'Estado de leads de campaña PRVE'!B:D,3,0),(VLOOKUP(C273,'Leads Sf Origen webDetailers Hs'!A:C,3,0))),"NA")</f>
        <v>Convertido</v>
      </c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4" t="str">
        <f>'Miembros de campaña PRVE'!C274</f>
        <v>1687@gestilar.com</v>
      </c>
      <c r="B274" s="33"/>
      <c r="C274" s="12" t="str">
        <f>IFERROR(__xludf.DUMMYFUNCTION("""COMPUTED_VALUE"""),"2440@imanzanera.com")</f>
        <v>2440@imanzanera.com</v>
      </c>
      <c r="D274" s="12" t="str">
        <f>IFNA(VLOOKUP(C274,'Miembros de campaña PRVE'!C:E,3,0),"NA")</f>
        <v>Contacto</v>
      </c>
      <c r="E274" s="35">
        <f>IFNA(IFNA(VLOOKUP(C274,'Miembros de campaña PRVE'!C:D,2,0),(VLOOKUP(C274,'SIC - FLOW! - Solicitudes BOFU '!B:C,2,0))),"")</f>
        <v>43912</v>
      </c>
      <c r="F274" s="12" t="str">
        <f>IFNA(IFNA(VLOOKUP(C274,'Estado de leads de campaña PRVE'!B:D,3,0),(VLOOKUP(C274,'Leads Sf Origen webDetailers Hs'!A:C,3,0))),"NA")</f>
        <v>NA</v>
      </c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4" t="str">
        <f>'Miembros de campaña PRVE'!C275</f>
        <v>2440@imanzanera.com</v>
      </c>
      <c r="B275" s="33"/>
      <c r="C275" s="12" t="str">
        <f>IFERROR(__xludf.DUMMYFUNCTION("""COMPUTED_VALUE"""),"654@staperpetua.cat")</f>
        <v>654@staperpetua.cat</v>
      </c>
      <c r="D275" s="12" t="str">
        <f>IFNA(VLOOKUP(C275,'Miembros de campaña PRVE'!C:E,3,0),"NA")</f>
        <v>Lead</v>
      </c>
      <c r="E275" s="35">
        <f>IFNA(IFNA(VLOOKUP(C275,'Miembros de campaña PRVE'!C:D,2,0),(VLOOKUP(C275,'SIC - FLOW! - Solicitudes BOFU '!B:C,2,0))),"")</f>
        <v>43901</v>
      </c>
      <c r="F275" s="12" t="str">
        <f>IFNA(IFNA(VLOOKUP(C275,'Estado de leads de campaña PRVE'!B:D,3,0),(VLOOKUP(C275,'Leads Sf Origen webDetailers Hs'!A:C,3,0))),"NA")</f>
        <v>Descartado</v>
      </c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4" t="str">
        <f>'Miembros de campaña PRVE'!C276</f>
        <v>654@staperpetua.cat</v>
      </c>
      <c r="B276" s="33"/>
      <c r="C276" s="12" t="str">
        <f>IFERROR(__xludf.DUMMYFUNCTION("""COMPUTED_VALUE"""),"2483@gmail.com")</f>
        <v>2483@gmail.com</v>
      </c>
      <c r="D276" s="12" t="str">
        <f>IFNA(VLOOKUP(C276,'Miembros de campaña PRVE'!C:E,3,0),"NA")</f>
        <v>Lead</v>
      </c>
      <c r="E276" s="35">
        <f>IFNA(IFNA(VLOOKUP(C276,'Miembros de campaña PRVE'!C:D,2,0),(VLOOKUP(C276,'SIC - FLOW! - Solicitudes BOFU '!B:C,2,0))),"")</f>
        <v>43901</v>
      </c>
      <c r="F276" s="12" t="str">
        <f>IFNA(IFNA(VLOOKUP(C276,'Estado de leads de campaña PRVE'!B:D,3,0),(VLOOKUP(C276,'Leads Sf Origen webDetailers Hs'!A:C,3,0))),"NA")</f>
        <v>Descartado</v>
      </c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4" t="str">
        <f>'Miembros de campaña PRVE'!C277</f>
        <v>2483@gmail.com</v>
      </c>
      <c r="B277" s="33"/>
      <c r="C277" s="12" t="str">
        <f>IFERROR(__xludf.DUMMYFUNCTION("""COMPUTED_VALUE"""),"2490@mantenencies.com")</f>
        <v>2490@mantenencies.com</v>
      </c>
      <c r="D277" s="12" t="str">
        <f>IFNA(VLOOKUP(C277,'Miembros de campaña PRVE'!C:E,3,0),"NA")</f>
        <v>Lead</v>
      </c>
      <c r="E277" s="35">
        <f>IFNA(IFNA(VLOOKUP(C277,'Miembros de campaña PRVE'!C:D,2,0),(VLOOKUP(C277,'SIC - FLOW! - Solicitudes BOFU '!B:C,2,0))),"")</f>
        <v>43900</v>
      </c>
      <c r="F277" s="12" t="str">
        <f>IFNA(IFNA(VLOOKUP(C277,'Estado de leads de campaña PRVE'!B:D,3,0),(VLOOKUP(C277,'Leads Sf Origen webDetailers Hs'!A:C,3,0))),"NA")</f>
        <v>Descartado</v>
      </c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4" t="str">
        <f>'Miembros de campaña PRVE'!C278</f>
        <v>2490@mantenencies.com</v>
      </c>
      <c r="B278" s="33"/>
      <c r="C278" s="12" t="str">
        <f>IFERROR(__xludf.DUMMYFUNCTION("""COMPUTED_VALUE"""),"1377@hotmail.com")</f>
        <v>1377@hotmail.com</v>
      </c>
      <c r="D278" s="12" t="str">
        <f>IFNA(VLOOKUP(C278,'Miembros de campaña PRVE'!C:E,3,0),"NA")</f>
        <v>Lead</v>
      </c>
      <c r="E278" s="35">
        <f>IFNA(IFNA(VLOOKUP(C278,'Miembros de campaña PRVE'!C:D,2,0),(VLOOKUP(C278,'SIC - FLOW! - Solicitudes BOFU '!B:C,2,0))),"")</f>
        <v>43895</v>
      </c>
      <c r="F278" s="12" t="str">
        <f>IFNA(IFNA(VLOOKUP(C278,'Estado de leads de campaña PRVE'!B:D,3,0),(VLOOKUP(C278,'Leads Sf Origen webDetailers Hs'!A:C,3,0))),"NA")</f>
        <v>NA</v>
      </c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4" t="str">
        <f>'Miembros de campaña PRVE'!C279</f>
        <v>1377@hotmail.com</v>
      </c>
      <c r="B279" s="33"/>
      <c r="C279" s="12" t="str">
        <f>IFERROR(__xludf.DUMMYFUNCTION("""COMPUTED_VALUE"""),"1654@movinetenergia.com")</f>
        <v>1654@movinetenergia.com</v>
      </c>
      <c r="D279" s="12" t="str">
        <f>IFNA(VLOOKUP(C279,'Miembros de campaña PRVE'!C:E,3,0),"NA")</f>
        <v>Lead</v>
      </c>
      <c r="E279" s="35">
        <f>IFNA(IFNA(VLOOKUP(C279,'Miembros de campaña PRVE'!C:D,2,0),(VLOOKUP(C279,'SIC - FLOW! - Solicitudes BOFU '!B:C,2,0))),"")</f>
        <v>43895</v>
      </c>
      <c r="F279" s="12" t="str">
        <f>IFNA(IFNA(VLOOKUP(C279,'Estado de leads de campaña PRVE'!B:D,3,0),(VLOOKUP(C279,'Leads Sf Origen webDetailers Hs'!A:C,3,0))),"NA")</f>
        <v>NA</v>
      </c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4" t="str">
        <f>'Miembros de campaña PRVE'!C280</f>
        <v>1654@movinetenergia.com</v>
      </c>
      <c r="B280" s="33"/>
      <c r="C280" s="12" t="str">
        <f>IFERROR(__xludf.DUMMYFUNCTION("""COMPUTED_VALUE"""),"2530@galimar.com.es")</f>
        <v>2530@galimar.com.es</v>
      </c>
      <c r="D280" s="12" t="str">
        <f>IFNA(VLOOKUP(C280,'Miembros de campaña PRVE'!C:E,3,0),"NA")</f>
        <v>Lead</v>
      </c>
      <c r="E280" s="35">
        <f>IFNA(IFNA(VLOOKUP(C280,'Miembros de campaña PRVE'!C:D,2,0),(VLOOKUP(C280,'SIC - FLOW! - Solicitudes BOFU '!B:C,2,0))),"")</f>
        <v>43895</v>
      </c>
      <c r="F280" s="12" t="str">
        <f>IFNA(IFNA(VLOOKUP(C280,'Estado de leads de campaña PRVE'!B:D,3,0),(VLOOKUP(C280,'Leads Sf Origen webDetailers Hs'!A:C,3,0))),"NA")</f>
        <v>NA</v>
      </c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4" t="str">
        <f>'Miembros de campaña PRVE'!C281</f>
        <v>2530@galimar.com.es</v>
      </c>
      <c r="B281" s="33"/>
      <c r="C281" s="12" t="str">
        <f>IFERROR(__xludf.DUMMYFUNCTION("""COMPUTED_VALUE"""),"1510@adelanteenergia.es")</f>
        <v>1510@adelanteenergia.es</v>
      </c>
      <c r="D281" s="12" t="str">
        <f>IFNA(VLOOKUP(C281,'Miembros de campaña PRVE'!C:E,3,0),"NA")</f>
        <v>Contacto</v>
      </c>
      <c r="E281" s="35">
        <f>IFNA(IFNA(VLOOKUP(C281,'Miembros de campaña PRVE'!C:D,2,0),(VLOOKUP(C281,'SIC - FLOW! - Solicitudes BOFU '!B:C,2,0))),"")</f>
        <v>43895</v>
      </c>
      <c r="F281" s="12" t="str">
        <f>IFNA(IFNA(VLOOKUP(C281,'Estado de leads de campaña PRVE'!B:D,3,0),(VLOOKUP(C281,'Leads Sf Origen webDetailers Hs'!A:C,3,0))),"NA")</f>
        <v>Convertido</v>
      </c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4" t="str">
        <f>'Miembros de campaña PRVE'!C282</f>
        <v>1510@adelanteenergia.es</v>
      </c>
      <c r="B282" s="33"/>
      <c r="C282" s="12" t="str">
        <f>IFERROR(__xludf.DUMMYFUNCTION("""COMPUTED_VALUE"""),"2531@arquitecturaygestion.com")</f>
        <v>2531@arquitecturaygestion.com</v>
      </c>
      <c r="D282" s="12" t="str">
        <f>IFNA(VLOOKUP(C282,'Miembros de campaña PRVE'!C:E,3,0),"NA")</f>
        <v>Contacto</v>
      </c>
      <c r="E282" s="35">
        <f>IFNA(IFNA(VLOOKUP(C282,'Miembros de campaña PRVE'!C:D,2,0),(VLOOKUP(C282,'SIC - FLOW! - Solicitudes BOFU '!B:C,2,0))),"")</f>
        <v>43895</v>
      </c>
      <c r="F282" s="12" t="str">
        <f>IFNA(IFNA(VLOOKUP(C282,'Estado de leads de campaña PRVE'!B:D,3,0),(VLOOKUP(C282,'Leads Sf Origen webDetailers Hs'!A:C,3,0))),"NA")</f>
        <v>NA</v>
      </c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4" t="str">
        <f>'Miembros de campaña PRVE'!C283</f>
        <v>2531@arquitecturaygestion.com</v>
      </c>
      <c r="B283" s="33"/>
      <c r="C283" s="12" t="str">
        <f>IFERROR(__xludf.DUMMYFUNCTION("""COMPUTED_VALUE"""),"2607@hotmail.com")</f>
        <v>2607@hotmail.com</v>
      </c>
      <c r="D283" s="12" t="str">
        <f>IFNA(VLOOKUP(C283,'Miembros de campaña PRVE'!C:E,3,0),"NA")</f>
        <v>Contacto</v>
      </c>
      <c r="E283" s="35">
        <f>IFNA(IFNA(VLOOKUP(C283,'Miembros de campaña PRVE'!C:D,2,0),(VLOOKUP(C283,'SIC - FLOW! - Solicitudes BOFU '!B:C,2,0))),"")</f>
        <v>43893</v>
      </c>
      <c r="F283" s="12" t="str">
        <f>IFNA(IFNA(VLOOKUP(C283,'Estado de leads de campaña PRVE'!B:D,3,0),(VLOOKUP(C283,'Leads Sf Origen webDetailers Hs'!A:C,3,0))),"NA")</f>
        <v>NA</v>
      </c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4" t="str">
        <f>'Miembros de campaña PRVE'!C284</f>
        <v>2607@hotmail.com</v>
      </c>
      <c r="B284" s="33"/>
      <c r="C284" s="12" t="str">
        <f>IFERROR(__xludf.DUMMYFUNCTION("""COMPUTED_VALUE"""),"862@fpcm.es")</f>
        <v>862@fpcm.es</v>
      </c>
      <c r="D284" s="12" t="str">
        <f>IFNA(VLOOKUP(C284,'Miembros de campaña PRVE'!C:E,3,0),"NA")</f>
        <v>Lead</v>
      </c>
      <c r="E284" s="35">
        <f>IFNA(IFNA(VLOOKUP(C284,'Miembros de campaña PRVE'!C:D,2,0),(VLOOKUP(C284,'SIC - FLOW! - Solicitudes BOFU '!B:C,2,0))),"")</f>
        <v>43893</v>
      </c>
      <c r="F284" s="12" t="str">
        <f>IFNA(IFNA(VLOOKUP(C284,'Estado de leads de campaña PRVE'!B:D,3,0),(VLOOKUP(C284,'Leads Sf Origen webDetailers Hs'!A:C,3,0))),"NA")</f>
        <v>SQL</v>
      </c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4" t="str">
        <f>'Miembros de campaña PRVE'!C285</f>
        <v>862@fpcm.es</v>
      </c>
      <c r="B285" s="33"/>
      <c r="C285" s="12" t="str">
        <f>IFERROR(__xludf.DUMMYFUNCTION("""COMPUTED_VALUE"""),"2619@gmail.com")</f>
        <v>2619@gmail.com</v>
      </c>
      <c r="D285" s="12" t="str">
        <f>IFNA(VLOOKUP(C285,'Miembros de campaña PRVE'!C:E,3,0),"NA")</f>
        <v>Lead</v>
      </c>
      <c r="E285" s="35">
        <f>IFNA(IFNA(VLOOKUP(C285,'Miembros de campaña PRVE'!C:D,2,0),(VLOOKUP(C285,'SIC - FLOW! - Solicitudes BOFU '!B:C,2,0))),"")</f>
        <v>43893</v>
      </c>
      <c r="F285" s="12" t="str">
        <f>IFNA(IFNA(VLOOKUP(C285,'Estado de leads de campaña PRVE'!B:D,3,0),(VLOOKUP(C285,'Leads Sf Origen webDetailers Hs'!A:C,3,0))),"NA")</f>
        <v>Descartado</v>
      </c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4" t="str">
        <f>'Miembros de campaña PRVE'!C286</f>
        <v>2619@gmail.com</v>
      </c>
      <c r="B286" s="33"/>
      <c r="C286" s="12" t="str">
        <f>IFERROR(__xludf.DUMMYFUNCTION("""COMPUTED_VALUE"""),"2664@gmail.com")</f>
        <v>2664@gmail.com</v>
      </c>
      <c r="D286" s="12" t="str">
        <f>IFNA(VLOOKUP(C286,'Miembros de campaña PRVE'!C:E,3,0),"NA")</f>
        <v>Lead</v>
      </c>
      <c r="E286" s="35">
        <f>IFNA(IFNA(VLOOKUP(C286,'Miembros de campaña PRVE'!C:D,2,0),(VLOOKUP(C286,'SIC - FLOW! - Solicitudes BOFU '!B:C,2,0))),"")</f>
        <v>43893</v>
      </c>
      <c r="F286" s="12" t="str">
        <f>IFNA(IFNA(VLOOKUP(C286,'Estado de leads de campaña PRVE'!B:D,3,0),(VLOOKUP(C286,'Leads Sf Origen webDetailers Hs'!A:C,3,0))),"NA")</f>
        <v>Descartado</v>
      </c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4" t="str">
        <f>'Miembros de campaña PRVE'!C287</f>
        <v>2664@gmail.com</v>
      </c>
      <c r="B287" s="33"/>
      <c r="C287" s="12" t="str">
        <f>IFERROR(__xludf.DUMMYFUNCTION("""COMPUTED_VALUE"""),"1104@gmail.com")</f>
        <v>1104@gmail.com</v>
      </c>
      <c r="D287" s="12" t="str">
        <f>IFNA(VLOOKUP(C287,'Miembros de campaña PRVE'!C:E,3,0),"NA")</f>
        <v>Contacto</v>
      </c>
      <c r="E287" s="35">
        <f>IFNA(IFNA(VLOOKUP(C287,'Miembros de campaña PRVE'!C:D,2,0),(VLOOKUP(C287,'SIC - FLOW! - Solicitudes BOFU '!B:C,2,0))),"")</f>
        <v>43892</v>
      </c>
      <c r="F287" s="12" t="str">
        <f>IFNA(IFNA(VLOOKUP(C287,'Estado de leads de campaña PRVE'!B:D,3,0),(VLOOKUP(C287,'Leads Sf Origen webDetailers Hs'!A:C,3,0))),"NA")</f>
        <v>Convertido</v>
      </c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4" t="str">
        <f>'Miembros de campaña PRVE'!C288</f>
        <v>1104@gmail.com</v>
      </c>
      <c r="B288" s="33"/>
      <c r="C288" s="12" t="str">
        <f>IFERROR(__xludf.DUMMYFUNCTION("""COMPUTED_VALUE"""),"2682@dipucuenca.es")</f>
        <v>2682@dipucuenca.es</v>
      </c>
      <c r="D288" s="12" t="str">
        <f>IFNA(VLOOKUP(C288,'Miembros de campaña PRVE'!C:E,3,0),"NA")</f>
        <v>Lead</v>
      </c>
      <c r="E288" s="35">
        <f>IFNA(IFNA(VLOOKUP(C288,'Miembros de campaña PRVE'!C:D,2,0),(VLOOKUP(C288,'SIC - FLOW! - Solicitudes BOFU '!B:C,2,0))),"")</f>
        <v>43889</v>
      </c>
      <c r="F288" s="12" t="str">
        <f>IFNA(IFNA(VLOOKUP(C288,'Estado de leads de campaña PRVE'!B:D,3,0),(VLOOKUP(C288,'Leads Sf Origen webDetailers Hs'!A:C,3,0))),"NA")</f>
        <v>Descartado</v>
      </c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4" t="str">
        <f>'Miembros de campaña PRVE'!C289</f>
        <v>2682@dipucuenca.es</v>
      </c>
      <c r="B289" s="33"/>
      <c r="C289" s="12" t="str">
        <f>IFERROR(__xludf.DUMMYFUNCTION("""COMPUTED_VALUE"""),"2683@live.fr")</f>
        <v>2683@live.fr</v>
      </c>
      <c r="D289" s="12" t="str">
        <f>IFNA(VLOOKUP(C289,'Miembros de campaña PRVE'!C:E,3,0),"NA")</f>
        <v>Lead</v>
      </c>
      <c r="E289" s="35">
        <f>IFNA(IFNA(VLOOKUP(C289,'Miembros de campaña PRVE'!C:D,2,0),(VLOOKUP(C289,'SIC - FLOW! - Solicitudes BOFU '!B:C,2,0))),"")</f>
        <v>43889</v>
      </c>
      <c r="F289" s="12" t="str">
        <f>IFNA(IFNA(VLOOKUP(C289,'Estado de leads de campaña PRVE'!B:D,3,0),(VLOOKUP(C289,'Leads Sf Origen webDetailers Hs'!A:C,3,0))),"NA")</f>
        <v>Descartado</v>
      </c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4" t="str">
        <f>'Miembros de campaña PRVE'!C290</f>
        <v>2683@live.fr</v>
      </c>
      <c r="B290" s="33"/>
      <c r="C290" s="12" t="str">
        <f>IFERROR(__xludf.DUMMYFUNCTION("""COMPUTED_VALUE"""),"2684@hotmail.com")</f>
        <v>2684@hotmail.com</v>
      </c>
      <c r="D290" s="12" t="str">
        <f>IFNA(VLOOKUP(C290,'Miembros de campaña PRVE'!C:E,3,0),"NA")</f>
        <v>Lead</v>
      </c>
      <c r="E290" s="35">
        <f>IFNA(IFNA(VLOOKUP(C290,'Miembros de campaña PRVE'!C:D,2,0),(VLOOKUP(C290,'SIC - FLOW! - Solicitudes BOFU '!B:C,2,0))),"")</f>
        <v>43888</v>
      </c>
      <c r="F290" s="12" t="str">
        <f>IFNA(IFNA(VLOOKUP(C290,'Estado de leads de campaña PRVE'!B:D,3,0),(VLOOKUP(C290,'Leads Sf Origen webDetailers Hs'!A:C,3,0))),"NA")</f>
        <v>Descartado</v>
      </c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4" t="str">
        <f>'Miembros de campaña PRVE'!C291</f>
        <v>2684@hotmail.com</v>
      </c>
      <c r="B291" s="33"/>
      <c r="C291" s="12" t="str">
        <f>IFERROR(__xludf.DUMMYFUNCTION("""COMPUTED_VALUE"""),"2701@gmail.com")</f>
        <v>2701@gmail.com</v>
      </c>
      <c r="D291" s="12" t="str">
        <f>IFNA(VLOOKUP(C291,'Miembros de campaña PRVE'!C:E,3,0),"NA")</f>
        <v>Lead</v>
      </c>
      <c r="E291" s="35">
        <f>IFNA(IFNA(VLOOKUP(C291,'Miembros de campaña PRVE'!C:D,2,0),(VLOOKUP(C291,'SIC - FLOW! - Solicitudes BOFU '!B:C,2,0))),"")</f>
        <v>43886</v>
      </c>
      <c r="F291" s="12" t="str">
        <f>IFNA(IFNA(VLOOKUP(C291,'Estado de leads de campaña PRVE'!B:D,3,0),(VLOOKUP(C291,'Leads Sf Origen webDetailers Hs'!A:C,3,0))),"NA")</f>
        <v>Descartado</v>
      </c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4" t="str">
        <f>'Miembros de campaña PRVE'!C292</f>
        <v>2701@gmail.com</v>
      </c>
      <c r="B292" s="33"/>
      <c r="C292" s="12" t="str">
        <f>IFERROR(__xludf.DUMMYFUNCTION("""COMPUTED_VALUE"""),"2703@hotmail.com")</f>
        <v>2703@hotmail.com</v>
      </c>
      <c r="D292" s="12" t="str">
        <f>IFNA(VLOOKUP(C292,'Miembros de campaña PRVE'!C:E,3,0),"NA")</f>
        <v>Lead</v>
      </c>
      <c r="E292" s="35">
        <f>IFNA(IFNA(VLOOKUP(C292,'Miembros de campaña PRVE'!C:D,2,0),(VLOOKUP(C292,'SIC - FLOW! - Solicitudes BOFU '!B:C,2,0))),"")</f>
        <v>43886</v>
      </c>
      <c r="F292" s="12" t="str">
        <f>IFNA(IFNA(VLOOKUP(C292,'Estado de leads de campaña PRVE'!B:D,3,0),(VLOOKUP(C292,'Leads Sf Origen webDetailers Hs'!A:C,3,0))),"NA")</f>
        <v>Descartado</v>
      </c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4" t="str">
        <f>'Miembros de campaña PRVE'!C293</f>
        <v>2703@hotmail.com</v>
      </c>
      <c r="B293" s="33"/>
      <c r="C293" s="12" t="str">
        <f>IFERROR(__xludf.DUMMYFUNCTION("""COMPUTED_VALUE"""),"2706@opportunity-one.com")</f>
        <v>2706@opportunity-one.com</v>
      </c>
      <c r="D293" s="12" t="str">
        <f>IFNA(VLOOKUP(C293,'Miembros de campaña PRVE'!C:E,3,0),"NA")</f>
        <v>Contacto</v>
      </c>
      <c r="E293" s="35">
        <f>IFNA(IFNA(VLOOKUP(C293,'Miembros de campaña PRVE'!C:D,2,0),(VLOOKUP(C293,'SIC - FLOW! - Solicitudes BOFU '!B:C,2,0))),"")</f>
        <v>43885</v>
      </c>
      <c r="F293" s="12" t="str">
        <f>IFNA(IFNA(VLOOKUP(C293,'Estado de leads de campaña PRVE'!B:D,3,0),(VLOOKUP(C293,'Leads Sf Origen webDetailers Hs'!A:C,3,0))),"NA")</f>
        <v>NA</v>
      </c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4" t="str">
        <f>'Miembros de campaña PRVE'!C294</f>
        <v>2706@opportunity-one.com</v>
      </c>
      <c r="B294" s="33"/>
      <c r="C294" s="12" t="str">
        <f>IFERROR(__xludf.DUMMYFUNCTION("""COMPUTED_VALUE"""),"1295@hotmail.es")</f>
        <v>1295@hotmail.es</v>
      </c>
      <c r="D294" s="12" t="str">
        <f>IFNA(VLOOKUP(C294,'Miembros de campaña PRVE'!C:E,3,0),"NA")</f>
        <v>Lead</v>
      </c>
      <c r="E294" s="35">
        <f>IFNA(IFNA(VLOOKUP(C294,'Miembros de campaña PRVE'!C:D,2,0),(VLOOKUP(C294,'SIC - FLOW! - Solicitudes BOFU '!B:C,2,0))),"")</f>
        <v>43878</v>
      </c>
      <c r="F294" s="12" t="str">
        <f>IFNA(IFNA(VLOOKUP(C294,'Estado de leads de campaña PRVE'!B:D,3,0),(VLOOKUP(C294,'Leads Sf Origen webDetailers Hs'!A:C,3,0))),"NA")</f>
        <v>SQL</v>
      </c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4" t="str">
        <f>'Miembros de campaña PRVE'!C295</f>
        <v>1295@hotmail.es</v>
      </c>
      <c r="B295" s="33"/>
      <c r="C295" s="12" t="str">
        <f>IFERROR(__xludf.DUMMYFUNCTION("""COMPUTED_VALUE"""),"2764@gmail.com")</f>
        <v>2764@gmail.com</v>
      </c>
      <c r="D295" s="12" t="str">
        <f>IFNA(VLOOKUP(C295,'Miembros de campaña PRVE'!C:E,3,0),"NA")</f>
        <v>Lead</v>
      </c>
      <c r="E295" s="35">
        <f>IFNA(IFNA(VLOOKUP(C295,'Miembros de campaña PRVE'!C:D,2,0),(VLOOKUP(C295,'SIC - FLOW! - Solicitudes BOFU '!B:C,2,0))),"")</f>
        <v>43877</v>
      </c>
      <c r="F295" s="12" t="str">
        <f>IFNA(IFNA(VLOOKUP(C295,'Estado de leads de campaña PRVE'!B:D,3,0),(VLOOKUP(C295,'Leads Sf Origen webDetailers Hs'!A:C,3,0))),"NA")</f>
        <v>Descartado</v>
      </c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4" t="str">
        <f>'Miembros de campaña PRVE'!C296</f>
        <v>2764@gmail.com</v>
      </c>
      <c r="B296" s="33"/>
      <c r="C296" s="12" t="str">
        <f>IFERROR(__xludf.DUMMYFUNCTION("""COMPUTED_VALUE"""),"2787@grupocematel.com")</f>
        <v>2787@grupocematel.com</v>
      </c>
      <c r="D296" s="12" t="str">
        <f>IFNA(VLOOKUP(C296,'Miembros de campaña PRVE'!C:E,3,0),"NA")</f>
        <v>Contacto</v>
      </c>
      <c r="E296" s="35">
        <f>IFNA(IFNA(VLOOKUP(C296,'Miembros de campaña PRVE'!C:D,2,0),(VLOOKUP(C296,'SIC - FLOW! - Solicitudes BOFU '!B:C,2,0))),"")</f>
        <v>43874</v>
      </c>
      <c r="F296" s="12" t="str">
        <f>IFNA(IFNA(VLOOKUP(C296,'Estado de leads de campaña PRVE'!B:D,3,0),(VLOOKUP(C296,'Leads Sf Origen webDetailers Hs'!A:C,3,0))),"NA")</f>
        <v>Convertido</v>
      </c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4" t="str">
        <f>'Miembros de campaña PRVE'!C297</f>
        <v>2787@grupocematel.com</v>
      </c>
      <c r="B297" s="33"/>
      <c r="C297" s="12" t="str">
        <f>IFERROR(__xludf.DUMMYFUNCTION("""COMPUTED_VALUE"""),"2793@gmail.com")</f>
        <v>2793@gmail.com</v>
      </c>
      <c r="D297" s="12" t="str">
        <f>IFNA(VLOOKUP(C297,'Miembros de campaña PRVE'!C:E,3,0),"NA")</f>
        <v>Lead</v>
      </c>
      <c r="E297" s="35">
        <f>IFNA(IFNA(VLOOKUP(C297,'Miembros de campaña PRVE'!C:D,2,0),(VLOOKUP(C297,'SIC - FLOW! - Solicitudes BOFU '!B:C,2,0))),"")</f>
        <v>43873</v>
      </c>
      <c r="F297" s="12" t="str">
        <f>IFNA(IFNA(VLOOKUP(C297,'Estado de leads de campaña PRVE'!B:D,3,0),(VLOOKUP(C297,'Leads Sf Origen webDetailers Hs'!A:C,3,0))),"NA")</f>
        <v>Descartado</v>
      </c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4" t="str">
        <f>'Miembros de campaña PRVE'!C298</f>
        <v>2793@gmail.com</v>
      </c>
      <c r="B298" s="33"/>
      <c r="C298" s="12" t="str">
        <f>IFERROR(__xludf.DUMMYFUNCTION("""COMPUTED_VALUE"""),"1697@yahoo.es")</f>
        <v>1697@yahoo.es</v>
      </c>
      <c r="D298" s="12" t="str">
        <f>IFNA(VLOOKUP(C298,'Miembros de campaña PRVE'!C:E,3,0),"NA")</f>
        <v>Lead</v>
      </c>
      <c r="E298" s="35">
        <f>IFNA(IFNA(VLOOKUP(C298,'Miembros de campaña PRVE'!C:D,2,0),(VLOOKUP(C298,'SIC - FLOW! - Solicitudes BOFU '!B:C,2,0))),"")</f>
        <v>43872</v>
      </c>
      <c r="F298" s="12" t="str">
        <f>IFNA(IFNA(VLOOKUP(C298,'Estado de leads de campaña PRVE'!B:D,3,0),(VLOOKUP(C298,'Leads Sf Origen webDetailers Hs'!A:C,3,0))),"NA")</f>
        <v>Descartado</v>
      </c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4" t="str">
        <f>'Miembros de campaña PRVE'!C299</f>
        <v>1697@yahoo.es</v>
      </c>
      <c r="B299" s="33"/>
      <c r="C299" s="12" t="str">
        <f>IFERROR(__xludf.DUMMYFUNCTION("""COMPUTED_VALUE"""),"1079@outlook.es")</f>
        <v>1079@outlook.es</v>
      </c>
      <c r="D299" s="12" t="str">
        <f>IFNA(VLOOKUP(C299,'Miembros de campaña PRVE'!C:E,3,0),"NA")</f>
        <v>Lead</v>
      </c>
      <c r="E299" s="35">
        <f>IFNA(IFNA(VLOOKUP(C299,'Miembros de campaña PRVE'!C:D,2,0),(VLOOKUP(C299,'SIC - FLOW! - Solicitudes BOFU '!B:C,2,0))),"")</f>
        <v>43871</v>
      </c>
      <c r="F299" s="12" t="str">
        <f>IFNA(IFNA(VLOOKUP(C299,'Estado de leads de campaña PRVE'!B:D,3,0),(VLOOKUP(C299,'Leads Sf Origen webDetailers Hs'!A:C,3,0))),"NA")</f>
        <v>Descartado</v>
      </c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4" t="str">
        <f>'Miembros de campaña PRVE'!C300</f>
        <v>1079@outlook.es</v>
      </c>
      <c r="B300" s="33"/>
      <c r="C300" s="12" t="str">
        <f>IFERROR(__xludf.DUMMYFUNCTION("""COMPUTED_VALUE"""),"2824@gmail.com")</f>
        <v>2824@gmail.com</v>
      </c>
      <c r="D300" s="12" t="str">
        <f>IFNA(VLOOKUP(C300,'Miembros de campaña PRVE'!C:E,3,0),"NA")</f>
        <v>Lead</v>
      </c>
      <c r="E300" s="35">
        <f>IFNA(IFNA(VLOOKUP(C300,'Miembros de campaña PRVE'!C:D,2,0),(VLOOKUP(C300,'SIC - FLOW! - Solicitudes BOFU '!B:C,2,0))),"")</f>
        <v>43867</v>
      </c>
      <c r="F300" s="12" t="str">
        <f>IFNA(IFNA(VLOOKUP(C300,'Estado de leads de campaña PRVE'!B:D,3,0),(VLOOKUP(C300,'Leads Sf Origen webDetailers Hs'!A:C,3,0))),"NA")</f>
        <v>Descartado</v>
      </c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4" t="str">
        <f>'Miembros de campaña PRVE'!C301</f>
        <v>2824@gmail.com</v>
      </c>
      <c r="B301" s="33"/>
      <c r="C301" s="12" t="str">
        <f>IFERROR(__xludf.DUMMYFUNCTION("""COMPUTED_VALUE"""),"4729@ono.com")</f>
        <v>4729@ono.com</v>
      </c>
      <c r="D301" s="12" t="str">
        <f>IFNA(VLOOKUP(C301,'Miembros de campaña PRVE'!C:E,3,0),"NA")</f>
        <v>Contacto</v>
      </c>
      <c r="E301" s="35">
        <f>IFNA(IFNA(VLOOKUP(C301,'Miembros de campaña PRVE'!C:D,2,0),(VLOOKUP(C301,'SIC - FLOW! - Solicitudes BOFU '!B:C,2,0))),"")</f>
        <v>43865</v>
      </c>
      <c r="F301" s="12" t="str">
        <f>IFNA(IFNA(VLOOKUP(C301,'Estado de leads de campaña PRVE'!B:D,3,0),(VLOOKUP(C301,'Leads Sf Origen webDetailers Hs'!A:C,3,0))),"NA")</f>
        <v>NA</v>
      </c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4" t="str">
        <f>'Miembros de campaña PRVE'!C302</f>
        <v>4729@ono.com</v>
      </c>
      <c r="B302" s="33"/>
      <c r="C302" s="12" t="str">
        <f>IFERROR(__xludf.DUMMYFUNCTION("""COMPUTED_VALUE"""),"2856@eurocabos.es")</f>
        <v>2856@eurocabos.es</v>
      </c>
      <c r="D302" s="12" t="str">
        <f>IFNA(VLOOKUP(C302,'Miembros de campaña PRVE'!C:E,3,0),"NA")</f>
        <v>Contacto</v>
      </c>
      <c r="E302" s="35">
        <f>IFNA(IFNA(VLOOKUP(C302,'Miembros de campaña PRVE'!C:D,2,0),(VLOOKUP(C302,'SIC - FLOW! - Solicitudes BOFU '!B:C,2,0))),"")</f>
        <v>43861</v>
      </c>
      <c r="F302" s="12" t="str">
        <f>IFNA(IFNA(VLOOKUP(C302,'Estado de leads de campaña PRVE'!B:D,3,0),(VLOOKUP(C302,'Leads Sf Origen webDetailers Hs'!A:C,3,0))),"NA")</f>
        <v>NA</v>
      </c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4" t="str">
        <f>'Miembros de campaña PRVE'!C303</f>
        <v>2856@eurocabos.es</v>
      </c>
      <c r="B303" s="33"/>
      <c r="C303" s="12" t="str">
        <f>IFERROR(__xludf.DUMMYFUNCTION("""COMPUTED_VALUE"""),"1021@proturhotels.com")</f>
        <v>1021@proturhotels.com</v>
      </c>
      <c r="D303" s="12" t="str">
        <f>IFNA(VLOOKUP(C303,'Miembros de campaña PRVE'!C:E,3,0),"NA")</f>
        <v>Lead</v>
      </c>
      <c r="E303" s="35">
        <f>IFNA(IFNA(VLOOKUP(C303,'Miembros de campaña PRVE'!C:D,2,0),(VLOOKUP(C303,'SIC - FLOW! - Solicitudes BOFU '!B:C,2,0))),"")</f>
        <v>43859</v>
      </c>
      <c r="F303" s="12" t="str">
        <f>IFNA(IFNA(VLOOKUP(C303,'Estado de leads de campaña PRVE'!B:D,3,0),(VLOOKUP(C303,'Leads Sf Origen webDetailers Hs'!A:C,3,0))),"NA")</f>
        <v>Descartado</v>
      </c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4" t="str">
        <f>'Miembros de campaña PRVE'!C304</f>
        <v>1021@proturhotels.com</v>
      </c>
      <c r="B304" s="33"/>
      <c r="C304" s="12" t="str">
        <f>IFERROR(__xludf.DUMMYFUNCTION("""COMPUTED_VALUE"""),"2874@broa.net")</f>
        <v>2874@broa.net</v>
      </c>
      <c r="D304" s="12" t="str">
        <f>IFNA(VLOOKUP(C304,'Miembros de campaña PRVE'!C:E,3,0),"NA")</f>
        <v>Contacto</v>
      </c>
      <c r="E304" s="35">
        <f>IFNA(IFNA(VLOOKUP(C304,'Miembros de campaña PRVE'!C:D,2,0),(VLOOKUP(C304,'SIC - FLOW! - Solicitudes BOFU '!B:C,2,0))),"")</f>
        <v>43857</v>
      </c>
      <c r="F304" s="12" t="str">
        <f>IFNA(IFNA(VLOOKUP(C304,'Estado de leads de campaña PRVE'!B:D,3,0),(VLOOKUP(C304,'Leads Sf Origen webDetailers Hs'!A:C,3,0))),"NA")</f>
        <v>Convertido</v>
      </c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4" t="str">
        <f>'Miembros de campaña PRVE'!C305</f>
        <v>2874@broa.net</v>
      </c>
      <c r="B305" s="33"/>
      <c r="C305" s="12" t="str">
        <f>IFERROR(__xludf.DUMMYFUNCTION("""COMPUTED_VALUE"""),"2879@hbalcells.com")</f>
        <v>2879@hbalcells.com</v>
      </c>
      <c r="D305" s="12" t="str">
        <f>IFNA(VLOOKUP(C305,'Miembros de campaña PRVE'!C:E,3,0),"NA")</f>
        <v>Contacto</v>
      </c>
      <c r="E305" s="35">
        <f>IFNA(IFNA(VLOOKUP(C305,'Miembros de campaña PRVE'!C:D,2,0),(VLOOKUP(C305,'SIC - FLOW! - Solicitudes BOFU '!B:C,2,0))),"")</f>
        <v>43856</v>
      </c>
      <c r="F305" s="12" t="str">
        <f>IFNA(IFNA(VLOOKUP(C305,'Estado de leads de campaña PRVE'!B:D,3,0),(VLOOKUP(C305,'Leads Sf Origen webDetailers Hs'!A:C,3,0))),"NA")</f>
        <v>Convertido</v>
      </c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4" t="str">
        <f>'Miembros de campaña PRVE'!C306</f>
        <v>2879@hbalcells.com</v>
      </c>
      <c r="B306" s="33"/>
      <c r="C306" s="12" t="str">
        <f>IFERROR(__xludf.DUMMYFUNCTION("""COMPUTED_VALUE"""),"2860@soltecingenieros.com")</f>
        <v>2860@soltecingenieros.com</v>
      </c>
      <c r="D306" s="12" t="str">
        <f>IFNA(VLOOKUP(C306,'Miembros de campaña PRVE'!C:E,3,0),"NA")</f>
        <v>Contacto</v>
      </c>
      <c r="E306" s="35">
        <f>IFNA(IFNA(VLOOKUP(C306,'Miembros de campaña PRVE'!C:D,2,0),(VLOOKUP(C306,'SIC - FLOW! - Solicitudes BOFU '!B:C,2,0))),"")</f>
        <v>43851</v>
      </c>
      <c r="F306" s="12" t="str">
        <f>IFNA(IFNA(VLOOKUP(C306,'Estado de leads de campaña PRVE'!B:D,3,0),(VLOOKUP(C306,'Leads Sf Origen webDetailers Hs'!A:C,3,0))),"NA")</f>
        <v>Convertido</v>
      </c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4" t="str">
        <f>'Miembros de campaña PRVE'!C307</f>
        <v>2860@soltecingenieros.com</v>
      </c>
      <c r="B307" s="33"/>
      <c r="C307" s="12" t="str">
        <f>IFERROR(__xludf.DUMMYFUNCTION("""COMPUTED_VALUE"""),"2899@gmail.com")</f>
        <v>2899@gmail.com</v>
      </c>
      <c r="D307" s="12" t="str">
        <f>IFNA(VLOOKUP(C307,'Miembros de campaña PRVE'!C:E,3,0),"NA")</f>
        <v>Lead</v>
      </c>
      <c r="E307" s="35">
        <f>IFNA(IFNA(VLOOKUP(C307,'Miembros de campaña PRVE'!C:D,2,0),(VLOOKUP(C307,'SIC - FLOW! - Solicitudes BOFU '!B:C,2,0))),"")</f>
        <v>43850</v>
      </c>
      <c r="F307" s="12" t="str">
        <f>IFNA(IFNA(VLOOKUP(C307,'Estado de leads de campaña PRVE'!B:D,3,0),(VLOOKUP(C307,'Leads Sf Origen webDetailers Hs'!A:C,3,0))),"NA")</f>
        <v>Descartado</v>
      </c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4" t="str">
        <f>'Miembros de campaña PRVE'!C308</f>
        <v>2899@gmail.com</v>
      </c>
      <c r="B308" s="33"/>
      <c r="C308" s="12" t="str">
        <f>IFERROR(__xludf.DUMMYFUNCTION("""COMPUTED_VALUE"""),"2916@diazrojo.com")</f>
        <v>2916@diazrojo.com</v>
      </c>
      <c r="D308" s="12" t="str">
        <f>IFNA(VLOOKUP(C308,'Miembros de campaña PRVE'!C:E,3,0),"NA")</f>
        <v>Contacto</v>
      </c>
      <c r="E308" s="35">
        <f>IFNA(IFNA(VLOOKUP(C308,'Miembros de campaña PRVE'!C:D,2,0),(VLOOKUP(C308,'SIC - FLOW! - Solicitudes BOFU '!B:C,2,0))),"")</f>
        <v>43845</v>
      </c>
      <c r="F308" s="12" t="str">
        <f>IFNA(IFNA(VLOOKUP(C308,'Estado de leads de campaña PRVE'!B:D,3,0),(VLOOKUP(C308,'Leads Sf Origen webDetailers Hs'!A:C,3,0))),"NA")</f>
        <v>NA</v>
      </c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4" t="str">
        <f>'Miembros de campaña PRVE'!C309</f>
        <v>2916@diazrojo.com</v>
      </c>
      <c r="B309" s="33"/>
      <c r="C309" s="12" t="str">
        <f>IFERROR(__xludf.DUMMYFUNCTION("""COMPUTED_VALUE"""),"2919@gmail.com")</f>
        <v>2919@gmail.com</v>
      </c>
      <c r="D309" s="12" t="str">
        <f>IFNA(VLOOKUP(C309,'Miembros de campaña PRVE'!C:E,3,0),"NA")</f>
        <v>Lead</v>
      </c>
      <c r="E309" s="35">
        <f>IFNA(IFNA(VLOOKUP(C309,'Miembros de campaña PRVE'!C:D,2,0),(VLOOKUP(C309,'SIC - FLOW! - Solicitudes BOFU '!B:C,2,0))),"")</f>
        <v>43844</v>
      </c>
      <c r="F309" s="12" t="str">
        <f>IFNA(IFNA(VLOOKUP(C309,'Estado de leads de campaña PRVE'!B:D,3,0),(VLOOKUP(C309,'Leads Sf Origen webDetailers Hs'!A:C,3,0))),"NA")</f>
        <v>Descartado</v>
      </c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4" t="str">
        <f>'Miembros de campaña PRVE'!C310</f>
        <v>2919@gmail.com</v>
      </c>
      <c r="B310" s="33"/>
      <c r="C310" s="12" t="str">
        <f>IFERROR(__xludf.DUMMYFUNCTION("""COMPUTED_VALUE"""),"2914@aldaproyectos.es")</f>
        <v>2914@aldaproyectos.es</v>
      </c>
      <c r="D310" s="12" t="str">
        <f>IFNA(VLOOKUP(C310,'Miembros de campaña PRVE'!C:E,3,0),"NA")</f>
        <v>Contacto</v>
      </c>
      <c r="E310" s="35">
        <f>IFNA(IFNA(VLOOKUP(C310,'Miembros de campaña PRVE'!C:D,2,0),(VLOOKUP(C310,'SIC - FLOW! - Solicitudes BOFU '!B:C,2,0))),"")</f>
        <v>43843</v>
      </c>
      <c r="F310" s="12" t="str">
        <f>IFNA(IFNA(VLOOKUP(C310,'Estado de leads de campaña PRVE'!B:D,3,0),(VLOOKUP(C310,'Leads Sf Origen webDetailers Hs'!A:C,3,0))),"NA")</f>
        <v>Convertido</v>
      </c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4" t="str">
        <f>'Miembros de campaña PRVE'!C311</f>
        <v>2914@aldaproyectos.es</v>
      </c>
      <c r="B311" s="33"/>
      <c r="C311" s="12" t="str">
        <f>IFERROR(__xludf.DUMMYFUNCTION("""COMPUTED_VALUE"""),"3297@hotmail.com")</f>
        <v>3297@hotmail.com</v>
      </c>
      <c r="D311" s="12" t="str">
        <f>IFNA(VLOOKUP(C311,'Miembros de campaña PRVE'!C:E,3,0),"NA")</f>
        <v>Lead</v>
      </c>
      <c r="E311" s="35">
        <f>IFNA(IFNA(VLOOKUP(C311,'Miembros de campaña PRVE'!C:D,2,0),(VLOOKUP(C311,'SIC - FLOW! - Solicitudes BOFU '!B:C,2,0))),"")</f>
        <v>43841</v>
      </c>
      <c r="F311" s="12" t="str">
        <f>IFNA(IFNA(VLOOKUP(C311,'Estado de leads de campaña PRVE'!B:D,3,0),(VLOOKUP(C311,'Leads Sf Origen webDetailers Hs'!A:C,3,0))),"NA")</f>
        <v>Descartado</v>
      </c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4" t="str">
        <f>'Miembros de campaña PRVE'!C312</f>
        <v>3297@hotmail.com</v>
      </c>
      <c r="B312" s="33"/>
      <c r="C312" s="12" t="str">
        <f>IFERROR(__xludf.DUMMYFUNCTION("""COMPUTED_VALUE"""),"4579@ingecan.net")</f>
        <v>4579@ingecan.net</v>
      </c>
      <c r="D312" s="12" t="str">
        <f>IFNA(VLOOKUP(C312,'Miembros de campaña PRVE'!C:E,3,0),"NA")</f>
        <v>Contacto</v>
      </c>
      <c r="E312" s="35">
        <f>IFNA(IFNA(VLOOKUP(C312,'Miembros de campaña PRVE'!C:D,2,0),(VLOOKUP(C312,'SIC - FLOW! - Solicitudes BOFU '!B:C,2,0))),"")</f>
        <v>43840</v>
      </c>
      <c r="F312" s="12" t="str">
        <f>IFNA(IFNA(VLOOKUP(C312,'Estado de leads de campaña PRVE'!B:D,3,0),(VLOOKUP(C312,'Leads Sf Origen webDetailers Hs'!A:C,3,0))),"NA")</f>
        <v>Convertido</v>
      </c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4" t="str">
        <f>'Miembros de campaña PRVE'!C313</f>
        <v>4579@ingecan.net</v>
      </c>
      <c r="B313" s="33"/>
      <c r="C313" s="12" t="str">
        <f>IFERROR(__xludf.DUMMYFUNCTION("""COMPUTED_VALUE"""),"2922@tecnicanorte.com")</f>
        <v>2922@tecnicanorte.com</v>
      </c>
      <c r="D313" s="12" t="str">
        <f>IFNA(VLOOKUP(C313,'Miembros de campaña PRVE'!C:E,3,0),"NA")</f>
        <v>Lead</v>
      </c>
      <c r="E313" s="35">
        <f>IFNA(IFNA(VLOOKUP(C313,'Miembros de campaña PRVE'!C:D,2,0),(VLOOKUP(C313,'SIC - FLOW! - Solicitudes BOFU '!B:C,2,0))),"")</f>
        <v>43840</v>
      </c>
      <c r="F313" s="12" t="str">
        <f>IFNA(IFNA(VLOOKUP(C313,'Estado de leads de campaña PRVE'!B:D,3,0),(VLOOKUP(C313,'Leads Sf Origen webDetailers Hs'!A:C,3,0))),"NA")</f>
        <v>Descartado</v>
      </c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4" t="str">
        <f>'Miembros de campaña PRVE'!C314</f>
        <v>2922@tecnicanorte.com</v>
      </c>
      <c r="B314" s="33"/>
      <c r="C314" s="36" t="str">
        <f>IFERROR(__xludf.DUMMYFUNCTION("""COMPUTED_VALUE"""),"69@gmail.com")</f>
        <v>69@gmail.com</v>
      </c>
      <c r="D314" s="12" t="str">
        <f>IFNA(VLOOKUP(C314,'Miembros de campaña PRVE'!C:E,3,0),"NA")</f>
        <v>NA</v>
      </c>
      <c r="E314" s="35">
        <f>IFNA(IFNA(VLOOKUP(C314,'Miembros de campaña PRVE'!C:D,2,0),(VLOOKUP(C314,'SIC - FLOW! - Solicitudes BOFU '!B:C,2,0))),"")</f>
        <v>44005</v>
      </c>
      <c r="F314" s="12" t="str">
        <f>IFNA(IFNA(VLOOKUP(C314,'Estado de leads de campaña PRVE'!B:D,3,0),(VLOOKUP(C314,'Leads Sf Origen webDetailers Hs'!A:C,3,0))),"NA")</f>
        <v>NA</v>
      </c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7" t="str">
        <f>'SIC - FLOW! - Solicitudes BOFU '!B2</f>
        <v>12@gmail.com</v>
      </c>
      <c r="B315" s="33"/>
      <c r="C315" s="36" t="str">
        <f>IFERROR(__xludf.DUMMYFUNCTION("""COMPUTED_VALUE"""),"243@homcrea.fr")</f>
        <v>243@homcrea.fr</v>
      </c>
      <c r="D315" s="12" t="str">
        <f>IFNA(VLOOKUP(C315,'Miembros de campaña PRVE'!C:E,3,0),"NA")</f>
        <v>NA</v>
      </c>
      <c r="E315" s="35">
        <f>IFNA(IFNA(VLOOKUP(C315,'Miembros de campaña PRVE'!C:D,2,0),(VLOOKUP(C315,'SIC - FLOW! - Solicitudes BOFU '!B:C,2,0))),"")</f>
        <v>44000</v>
      </c>
      <c r="F315" s="12" t="str">
        <f>IFNA(IFNA(VLOOKUP(C315,'Estado de leads de campaña PRVE'!B:D,3,0),(VLOOKUP(C315,'Leads Sf Origen webDetailers Hs'!A:C,3,0))),"NA")</f>
        <v>NA</v>
      </c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7" t="str">
        <f>'SIC - FLOW! - Solicitudes BOFU '!B3</f>
        <v>24@gmail.com</v>
      </c>
      <c r="B316" s="33"/>
      <c r="C316" s="36" t="str">
        <f>IFERROR(__xludf.DUMMYFUNCTION("""COMPUTED_VALUE"""),"451@ingelux.com")</f>
        <v>451@ingelux.com</v>
      </c>
      <c r="D316" s="12" t="str">
        <f>IFNA(VLOOKUP(C316,'Miembros de campaña PRVE'!C:E,3,0),"NA")</f>
        <v>NA</v>
      </c>
      <c r="E316" s="35">
        <f>IFNA(IFNA(VLOOKUP(C316,'Miembros de campaña PRVE'!C:D,2,0),(VLOOKUP(C316,'SIC - FLOW! - Solicitudes BOFU '!B:C,2,0))),"")</f>
        <v>43985</v>
      </c>
      <c r="F316" s="12" t="str">
        <f>IFNA(IFNA(VLOOKUP(C316,'Estado de leads de campaña PRVE'!B:D,3,0),(VLOOKUP(C316,'Leads Sf Origen webDetailers Hs'!A:C,3,0))),"NA")</f>
        <v>NA</v>
      </c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7" t="str">
        <f>'SIC - FLOW! - Solicitudes BOFU '!B4</f>
        <v>45@acotech.es</v>
      </c>
      <c r="B317" s="33"/>
      <c r="C317" s="36" t="str">
        <f>IFERROR(__xludf.DUMMYFUNCTION("""COMPUTED_VALUE"""),"726@gmail.com")</f>
        <v>726@gmail.com</v>
      </c>
      <c r="D317" s="12" t="str">
        <f>IFNA(VLOOKUP(C317,'Miembros de campaña PRVE'!C:E,3,0),"NA")</f>
        <v>NA</v>
      </c>
      <c r="E317" s="35">
        <f>IFNA(IFNA(VLOOKUP(C317,'Miembros de campaña PRVE'!C:D,2,0),(VLOOKUP(C317,'SIC - FLOW! - Solicitudes BOFU '!B:C,2,0))),"")</f>
        <v>43972</v>
      </c>
      <c r="F317" s="12" t="str">
        <f>IFNA(IFNA(VLOOKUP(C317,'Estado de leads de campaña PRVE'!B:D,3,0),(VLOOKUP(C317,'Leads Sf Origen webDetailers Hs'!A:C,3,0))),"NA")</f>
        <v>NA</v>
      </c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7" t="str">
        <f>'SIC - FLOW! - Solicitudes BOFU '!B5</f>
        <v>51@yahoo.es</v>
      </c>
      <c r="B318" s="33"/>
      <c r="C318" s="36" t="str">
        <f>IFERROR(__xludf.DUMMYFUNCTION("""COMPUTED_VALUE"""),"601@gmail.com")</f>
        <v>601@gmail.com</v>
      </c>
      <c r="D318" s="12" t="str">
        <f>IFNA(VLOOKUP(C318,'Miembros de campaña PRVE'!C:E,3,0),"NA")</f>
        <v>NA</v>
      </c>
      <c r="E318" s="35">
        <f>IFNA(IFNA(VLOOKUP(C318,'Miembros de campaña PRVE'!C:D,2,0),(VLOOKUP(C318,'SIC - FLOW! - Solicitudes BOFU '!B:C,2,0))),"")</f>
        <v>43971</v>
      </c>
      <c r="F318" s="12" t="str">
        <f>IFNA(IFNA(VLOOKUP(C318,'Estado de leads de campaña PRVE'!B:D,3,0),(VLOOKUP(C318,'Leads Sf Origen webDetailers Hs'!A:C,3,0))),"NA")</f>
        <v>NA</v>
      </c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7" t="str">
        <f>'SIC - FLOW! - Solicitudes BOFU '!B6</f>
        <v>69@gmail.com</v>
      </c>
      <c r="B319" s="33"/>
      <c r="C319" s="36" t="str">
        <f>IFERROR(__xludf.DUMMYFUNCTION("""COMPUTED_VALUE"""),"597@svingenieria.com.co")</f>
        <v>597@svingenieria.com.co</v>
      </c>
      <c r="D319" s="12" t="str">
        <f>IFNA(VLOOKUP(C319,'Miembros de campaña PRVE'!C:E,3,0),"NA")</f>
        <v>NA</v>
      </c>
      <c r="E319" s="35">
        <f>IFNA(IFNA(VLOOKUP(C319,'Miembros de campaña PRVE'!C:D,2,0),(VLOOKUP(C319,'SIC - FLOW! - Solicitudes BOFU '!B:C,2,0))),"")</f>
        <v>43970</v>
      </c>
      <c r="F319" s="12" t="str">
        <f>IFNA(IFNA(VLOOKUP(C319,'Estado de leads de campaña PRVE'!B:D,3,0),(VLOOKUP(C319,'Leads Sf Origen webDetailers Hs'!A:C,3,0))),"NA")</f>
        <v>NA</v>
      </c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7" t="str">
        <f>'SIC - FLOW! - Solicitudes BOFU '!B7</f>
        <v>140@yahoo.es</v>
      </c>
      <c r="B320" s="33"/>
      <c r="C320" s="36" t="str">
        <f>IFERROR(__xludf.DUMMYFUNCTION("""COMPUTED_VALUE"""),"4730@yahoo.com")</f>
        <v>4730@yahoo.com</v>
      </c>
      <c r="D320" s="12" t="str">
        <f>IFNA(VLOOKUP(C320,'Miembros de campaña PRVE'!C:E,3,0),"NA")</f>
        <v>NA</v>
      </c>
      <c r="E320" s="35">
        <f>IFNA(IFNA(VLOOKUP(C320,'Miembros de campaña PRVE'!C:D,2,0),(VLOOKUP(C320,'SIC - FLOW! - Solicitudes BOFU '!B:C,2,0))),"")</f>
        <v>43969</v>
      </c>
      <c r="F320" s="12" t="str">
        <f>IFNA(IFNA(VLOOKUP(C320,'Estado de leads de campaña PRVE'!B:D,3,0),(VLOOKUP(C320,'Leads Sf Origen webDetailers Hs'!A:C,3,0))),"NA")</f>
        <v>NA</v>
      </c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7" t="str">
        <f>'SIC - FLOW! - Solicitudes BOFU '!B8</f>
        <v>151@gmail.com</v>
      </c>
      <c r="B321" s="33"/>
      <c r="C321" s="36" t="str">
        <f>IFERROR(__xludf.DUMMYFUNCTION("""COMPUTED_VALUE"""),"801@hotmail.es")</f>
        <v>801@hotmail.es</v>
      </c>
      <c r="D321" s="12" t="str">
        <f>IFNA(VLOOKUP(C321,'Miembros de campaña PRVE'!C:E,3,0),"NA")</f>
        <v>NA</v>
      </c>
      <c r="E321" s="35">
        <f>IFNA(IFNA(VLOOKUP(C321,'Miembros de campaña PRVE'!C:D,2,0),(VLOOKUP(C321,'SIC - FLOW! - Solicitudes BOFU '!B:C,2,0))),"")</f>
        <v>43969</v>
      </c>
      <c r="F321" s="12" t="str">
        <f>IFNA(IFNA(VLOOKUP(C321,'Estado de leads de campaña PRVE'!B:D,3,0),(VLOOKUP(C321,'Leads Sf Origen webDetailers Hs'!A:C,3,0))),"NA")</f>
        <v>NA</v>
      </c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7" t="str">
        <f>'SIC - FLOW! - Solicitudes BOFU '!B9</f>
        <v>243@homcrea.fr</v>
      </c>
      <c r="B322" s="33"/>
      <c r="C322" s="36" t="str">
        <f>IFERROR(__xludf.DUMMYFUNCTION("""COMPUTED_VALUE"""),"936@gmail.com")</f>
        <v>936@gmail.com</v>
      </c>
      <c r="D322" s="12" t="str">
        <f>IFNA(VLOOKUP(C322,'Miembros de campaña PRVE'!C:E,3,0),"NA")</f>
        <v>NA</v>
      </c>
      <c r="E322" s="35">
        <f>IFNA(IFNA(VLOOKUP(C322,'Miembros de campaña PRVE'!C:D,2,0),(VLOOKUP(C322,'SIC - FLOW! - Solicitudes BOFU '!B:C,2,0))),"")</f>
        <v>43957</v>
      </c>
      <c r="F322" s="12" t="str">
        <f>IFNA(IFNA(VLOOKUP(C322,'Estado de leads de campaña PRVE'!B:D,3,0),(VLOOKUP(C322,'Leads Sf Origen webDetailers Hs'!A:C,3,0))),"NA")</f>
        <v>NA</v>
      </c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7" t="str">
        <f>'SIC - FLOW! - Solicitudes BOFU '!B10</f>
        <v>213@guidogroup.com</v>
      </c>
      <c r="B323" s="33"/>
      <c r="C323" s="36" t="str">
        <f>IFERROR(__xludf.DUMMYFUNCTION("""COMPUTED_VALUE"""),"1063@gmail.com")</f>
        <v>1063@gmail.com</v>
      </c>
      <c r="D323" s="12" t="str">
        <f>IFNA(VLOOKUP(C323,'Miembros de campaña PRVE'!C:E,3,0),"NA")</f>
        <v>NA</v>
      </c>
      <c r="E323" s="35">
        <f>IFNA(IFNA(VLOOKUP(C323,'Miembros de campaña PRVE'!C:D,2,0),(VLOOKUP(C323,'SIC - FLOW! - Solicitudes BOFU '!B:C,2,0))),"")</f>
        <v>43952</v>
      </c>
      <c r="F323" s="12" t="str">
        <f>IFNA(IFNA(VLOOKUP(C323,'Estado de leads de campaña PRVE'!B:D,3,0),(VLOOKUP(C323,'Leads Sf Origen webDetailers Hs'!A:C,3,0))),"NA")</f>
        <v>NA</v>
      </c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7" t="str">
        <f>'SIC - FLOW! - Solicitudes BOFU '!B11</f>
        <v>212@gmail.com</v>
      </c>
      <c r="B324" s="33"/>
      <c r="C324" s="36" t="str">
        <f>IFERROR(__xludf.DUMMYFUNCTION("""COMPUTED_VALUE"""),"1154@gmail.com")</f>
        <v>1154@gmail.com</v>
      </c>
      <c r="D324" s="12" t="str">
        <f>IFNA(VLOOKUP(C324,'Miembros de campaña PRVE'!C:E,3,0),"NA")</f>
        <v>NA</v>
      </c>
      <c r="E324" s="35">
        <f>IFNA(IFNA(VLOOKUP(C324,'Miembros de campaña PRVE'!C:D,2,0),(VLOOKUP(C324,'SIC - FLOW! - Solicitudes BOFU '!B:C,2,0))),"")</f>
        <v>43951</v>
      </c>
      <c r="F324" s="12" t="str">
        <f>IFNA(IFNA(VLOOKUP(C324,'Estado de leads de campaña PRVE'!B:D,3,0),(VLOOKUP(C324,'Leads Sf Origen webDetailers Hs'!A:C,3,0))),"NA")</f>
        <v>NA</v>
      </c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7" t="str">
        <f>'SIC - FLOW! - Solicitudes BOFU '!B12</f>
        <v>185@asintec.info</v>
      </c>
      <c r="B325" s="33"/>
      <c r="C325" s="36" t="str">
        <f>IFERROR(__xludf.DUMMYFUNCTION("""COMPUTED_VALUE"""),"408@ic3sl.com")</f>
        <v>408@ic3sl.com</v>
      </c>
      <c r="D325" s="12" t="str">
        <f>IFNA(VLOOKUP(C325,'Miembros de campaña PRVE'!C:E,3,0),"NA")</f>
        <v>NA</v>
      </c>
      <c r="E325" s="35">
        <f>IFNA(IFNA(VLOOKUP(C325,'Miembros de campaña PRVE'!C:D,2,0),(VLOOKUP(C325,'SIC - FLOW! - Solicitudes BOFU '!B:C,2,0))),"")</f>
        <v>43950</v>
      </c>
      <c r="F325" s="12" t="str">
        <f>IFNA(IFNA(VLOOKUP(C325,'Estado de leads de campaña PRVE'!B:D,3,0),(VLOOKUP(C325,'Leads Sf Origen webDetailers Hs'!A:C,3,0))),"NA")</f>
        <v>NA</v>
      </c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7" t="str">
        <f>'SIC - FLOW! - Solicitudes BOFU '!B13</f>
        <v>245@gmail.com</v>
      </c>
      <c r="B326" s="33"/>
      <c r="C326" s="36" t="str">
        <f>IFERROR(__xludf.DUMMYFUNCTION("""COMPUTED_VALUE"""),"1489@gmail.com")</f>
        <v>1489@gmail.com</v>
      </c>
      <c r="D326" s="12" t="str">
        <f>IFNA(VLOOKUP(C326,'Miembros de campaña PRVE'!C:E,3,0),"NA")</f>
        <v>NA</v>
      </c>
      <c r="E326" s="35">
        <f>IFNA(IFNA(VLOOKUP(C326,'Miembros de campaña PRVE'!C:D,2,0),(VLOOKUP(C326,'SIC - FLOW! - Solicitudes BOFU '!B:C,2,0))),"")</f>
        <v>43950</v>
      </c>
      <c r="F326" s="12" t="str">
        <f>IFNA(IFNA(VLOOKUP(C326,'Estado de leads de campaña PRVE'!B:D,3,0),(VLOOKUP(C326,'Leads Sf Origen webDetailers Hs'!A:C,3,0))),"NA")</f>
        <v>NA</v>
      </c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7" t="str">
        <f>'SIC - FLOW! - Solicitudes BOFU '!B14</f>
        <v>201@gmail.com</v>
      </c>
      <c r="B327" s="33"/>
      <c r="C327" s="36" t="str">
        <f>IFERROR(__xludf.DUMMYFUNCTION("""COMPUTED_VALUE"""),"1383@grupoazmont.com")</f>
        <v>1383@grupoazmont.com</v>
      </c>
      <c r="D327" s="12" t="str">
        <f>IFNA(VLOOKUP(C327,'Miembros de campaña PRVE'!C:E,3,0),"NA")</f>
        <v>NA</v>
      </c>
      <c r="E327" s="35">
        <f>IFNA(IFNA(VLOOKUP(C327,'Miembros de campaña PRVE'!C:D,2,0),(VLOOKUP(C327,'SIC - FLOW! - Solicitudes BOFU '!B:C,2,0))),"")</f>
        <v>43950</v>
      </c>
      <c r="F327" s="12" t="str">
        <f>IFNA(IFNA(VLOOKUP(C327,'Estado de leads de campaña PRVE'!B:D,3,0),(VLOOKUP(C327,'Leads Sf Origen webDetailers Hs'!A:C,3,0))),"NA")</f>
        <v>NA</v>
      </c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7" t="str">
        <f>'SIC - FLOW! - Solicitudes BOFU '!B15</f>
        <v>242@outlook.es</v>
      </c>
      <c r="B328" s="33"/>
      <c r="C328" s="36" t="str">
        <f>IFERROR(__xludf.DUMMYFUNCTION("""COMPUTED_VALUE"""),"1896@gmail.com")</f>
        <v>1896@gmail.com</v>
      </c>
      <c r="D328" s="12" t="str">
        <f>IFNA(VLOOKUP(C328,'Miembros de campaña PRVE'!C:E,3,0),"NA")</f>
        <v>NA</v>
      </c>
      <c r="E328" s="35">
        <f>IFNA(IFNA(VLOOKUP(C328,'Miembros de campaña PRVE'!C:D,2,0),(VLOOKUP(C328,'SIC - FLOW! - Solicitudes BOFU '!B:C,2,0))),"")</f>
        <v>43948</v>
      </c>
      <c r="F328" s="12" t="str">
        <f>IFNA(IFNA(VLOOKUP(C328,'Estado de leads de campaña PRVE'!B:D,3,0),(VLOOKUP(C328,'Leads Sf Origen webDetailers Hs'!A:C,3,0))),"NA")</f>
        <v>NA</v>
      </c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7" t="str">
        <f>'SIC - FLOW! - Solicitudes BOFU '!B16</f>
        <v>250@inacces.com</v>
      </c>
      <c r="B329" s="33"/>
      <c r="C329" s="36" t="str">
        <f>IFERROR(__xludf.DUMMYFUNCTION("""COMPUTED_VALUE"""),"1487@gmail.com")</f>
        <v>1487@gmail.com</v>
      </c>
      <c r="D329" s="12" t="str">
        <f>IFNA(VLOOKUP(C329,'Miembros de campaña PRVE'!C:E,3,0),"NA")</f>
        <v>NA</v>
      </c>
      <c r="E329" s="35">
        <f>IFNA(IFNA(VLOOKUP(C329,'Miembros de campaña PRVE'!C:D,2,0),(VLOOKUP(C329,'SIC - FLOW! - Solicitudes BOFU '!B:C,2,0))),"")</f>
        <v>43944</v>
      </c>
      <c r="F329" s="12" t="str">
        <f>IFNA(IFNA(VLOOKUP(C329,'Estado de leads de campaña PRVE'!B:D,3,0),(VLOOKUP(C329,'Leads Sf Origen webDetailers Hs'!A:C,3,0))),"NA")</f>
        <v>NA</v>
      </c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7" t="str">
        <f>'SIC - FLOW! - Solicitudes BOFU '!B17</f>
        <v>249@herreroingenieros.com</v>
      </c>
      <c r="B330" s="33"/>
      <c r="C330" s="36" t="str">
        <f>IFERROR(__xludf.DUMMYFUNCTION("""COMPUTED_VALUE"""),"2105@nauta.cu")</f>
        <v>2105@nauta.cu</v>
      </c>
      <c r="D330" s="12" t="str">
        <f>IFNA(VLOOKUP(C330,'Miembros de campaña PRVE'!C:E,3,0),"NA")</f>
        <v>NA</v>
      </c>
      <c r="E330" s="35">
        <f>IFNA(IFNA(VLOOKUP(C330,'Miembros de campaña PRVE'!C:D,2,0),(VLOOKUP(C330,'SIC - FLOW! - Solicitudes BOFU '!B:C,2,0))),"")</f>
        <v>43937</v>
      </c>
      <c r="F330" s="12" t="str">
        <f>IFNA(IFNA(VLOOKUP(C330,'Estado de leads de campaña PRVE'!B:D,3,0),(VLOOKUP(C330,'Leads Sf Origen webDetailers Hs'!A:C,3,0))),"NA")</f>
        <v>NA</v>
      </c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7" t="str">
        <f>'SIC - FLOW! - Solicitudes BOFU '!B18</f>
        <v>985@jesnar2011.es</v>
      </c>
      <c r="B331" s="33"/>
      <c r="C331" s="36" t="str">
        <f>IFERROR(__xludf.DUMMYFUNCTION("""COMPUTED_VALUE"""),"2139@gmail.com")</f>
        <v>2139@gmail.com</v>
      </c>
      <c r="D331" s="12" t="str">
        <f>IFNA(VLOOKUP(C331,'Miembros de campaña PRVE'!C:E,3,0),"NA")</f>
        <v>NA</v>
      </c>
      <c r="E331" s="35">
        <f>IFNA(IFNA(VLOOKUP(C331,'Miembros de campaña PRVE'!C:D,2,0),(VLOOKUP(C331,'SIC - FLOW! - Solicitudes BOFU '!B:C,2,0))),"")</f>
        <v>43932</v>
      </c>
      <c r="F331" s="12" t="str">
        <f>IFNA(IFNA(VLOOKUP(C331,'Estado de leads de campaña PRVE'!B:D,3,0),(VLOOKUP(C331,'Leads Sf Origen webDetailers Hs'!A:C,3,0))),"NA")</f>
        <v>NA</v>
      </c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7" t="str">
        <f>'SIC - FLOW! - Solicitudes BOFU '!B19</f>
        <v>296@gmail.com</v>
      </c>
      <c r="B332" s="33"/>
      <c r="C332" s="36" t="str">
        <f>IFERROR(__xludf.DUMMYFUNCTION("""COMPUTED_VALUE"""),"2220@hotmail.com")</f>
        <v>2220@hotmail.com</v>
      </c>
      <c r="D332" s="12" t="str">
        <f>IFNA(VLOOKUP(C332,'Miembros de campaña PRVE'!C:E,3,0),"NA")</f>
        <v>NA</v>
      </c>
      <c r="E332" s="35">
        <f>IFNA(IFNA(VLOOKUP(C332,'Miembros de campaña PRVE'!C:D,2,0),(VLOOKUP(C332,'SIC - FLOW! - Solicitudes BOFU '!B:C,2,0))),"")</f>
        <v>43923</v>
      </c>
      <c r="F332" s="12" t="str">
        <f>IFNA(IFNA(VLOOKUP(C332,'Estado de leads de campaña PRVE'!B:D,3,0),(VLOOKUP(C332,'Leads Sf Origen webDetailers Hs'!A:C,3,0))),"NA")</f>
        <v>NA</v>
      </c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7" t="str">
        <f>'SIC - FLOW! - Solicitudes BOFU '!B20</f>
        <v>267@fiberlec.com</v>
      </c>
      <c r="B333" s="33"/>
      <c r="C333" s="36" t="str">
        <f>IFERROR(__xludf.DUMMYFUNCTION("""COMPUTED_VALUE"""),"1659@orpoint.com")</f>
        <v>1659@orpoint.com</v>
      </c>
      <c r="D333" s="12" t="str">
        <f>IFNA(VLOOKUP(C333,'Miembros de campaña PRVE'!C:E,3,0),"NA")</f>
        <v>NA</v>
      </c>
      <c r="E333" s="35">
        <f>IFNA(IFNA(VLOOKUP(C333,'Miembros de campaña PRVE'!C:D,2,0),(VLOOKUP(C333,'SIC - FLOW! - Solicitudes BOFU '!B:C,2,0))),"")</f>
        <v>43916</v>
      </c>
      <c r="F333" s="12" t="str">
        <f>IFNA(IFNA(VLOOKUP(C333,'Estado de leads de campaña PRVE'!B:D,3,0),(VLOOKUP(C333,'Leads Sf Origen webDetailers Hs'!A:C,3,0))),"NA")</f>
        <v>NA</v>
      </c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7" t="str">
        <f>'SIC - FLOW! - Solicitudes BOFU '!B21</f>
        <v>278@urbaser.com</v>
      </c>
      <c r="B334" s="33"/>
      <c r="C334" s="36" t="str">
        <f>IFERROR(__xludf.DUMMYFUNCTION("""COMPUTED_VALUE"""),"2289@hotmail.com")</f>
        <v>2289@hotmail.com</v>
      </c>
      <c r="D334" s="12" t="str">
        <f>IFNA(VLOOKUP(C334,'Miembros de campaña PRVE'!C:E,3,0),"NA")</f>
        <v>NA</v>
      </c>
      <c r="E334" s="35">
        <f>IFNA(IFNA(VLOOKUP(C334,'Miembros de campaña PRVE'!C:D,2,0),(VLOOKUP(C334,'SIC - FLOW! - Solicitudes BOFU '!B:C,2,0))),"")</f>
        <v>43916</v>
      </c>
      <c r="F334" s="12" t="str">
        <f>IFNA(IFNA(VLOOKUP(C334,'Estado de leads de campaña PRVE'!B:D,3,0),(VLOOKUP(C334,'Leads Sf Origen webDetailers Hs'!A:C,3,0))),"NA")</f>
        <v>NA</v>
      </c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7" t="str">
        <f>'SIC - FLOW! - Solicitudes BOFU '!B22</f>
        <v>273@gmail.com</v>
      </c>
      <c r="B335" s="33"/>
      <c r="C335" s="36" t="str">
        <f>IFERROR(__xludf.DUMMYFUNCTION("""COMPUTED_VALUE"""),"700@gmail.com")</f>
        <v>700@gmail.com</v>
      </c>
      <c r="D335" s="12" t="str">
        <f>IFNA(VLOOKUP(C335,'Miembros de campaña PRVE'!C:E,3,0),"NA")</f>
        <v>NA</v>
      </c>
      <c r="E335" s="35">
        <f>IFNA(IFNA(VLOOKUP(C335,'Miembros de campaña PRVE'!C:D,2,0),(VLOOKUP(C335,'SIC - FLOW! - Solicitudes BOFU '!B:C,2,0))),"")</f>
        <v>43914</v>
      </c>
      <c r="F335" s="12" t="str">
        <f>IFNA(IFNA(VLOOKUP(C335,'Estado de leads de campaña PRVE'!B:D,3,0),(VLOOKUP(C335,'Leads Sf Origen webDetailers Hs'!A:C,3,0))),"NA")</f>
        <v>NA</v>
      </c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7" t="str">
        <f>'SIC - FLOW! - Solicitudes BOFU '!B23</f>
        <v>3032@gmail.com</v>
      </c>
      <c r="B336" s="33"/>
      <c r="C336" s="36" t="str">
        <f>IFERROR(__xludf.DUMMYFUNCTION("""COMPUTED_VALUE"""),"2444@gmail.com")</f>
        <v>2444@gmail.com</v>
      </c>
      <c r="D336" s="12" t="str">
        <f>IFNA(VLOOKUP(C336,'Miembros de campaña PRVE'!C:E,3,0),"NA")</f>
        <v>NA</v>
      </c>
      <c r="E336" s="35">
        <f>IFNA(IFNA(VLOOKUP(C336,'Miembros de campaña PRVE'!C:D,2,0),(VLOOKUP(C336,'SIC - FLOW! - Solicitudes BOFU '!B:C,2,0))),"")</f>
        <v>43910</v>
      </c>
      <c r="F336" s="12" t="str">
        <f>IFNA(IFNA(VLOOKUP(C336,'Estado de leads de campaña PRVE'!B:D,3,0),(VLOOKUP(C336,'Leads Sf Origen webDetailers Hs'!A:C,3,0))),"NA")</f>
        <v>NA</v>
      </c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7" t="str">
        <f>'SIC - FLOW! - Solicitudes BOFU '!B24</f>
        <v>324@onsaze.es</v>
      </c>
      <c r="B337" s="33"/>
      <c r="C337" s="36" t="str">
        <f>IFERROR(__xludf.DUMMYFUNCTION("""COMPUTED_VALUE"""),"1188@gmail.com")</f>
        <v>1188@gmail.com</v>
      </c>
      <c r="D337" s="12" t="str">
        <f>IFNA(VLOOKUP(C337,'Miembros de campaña PRVE'!C:E,3,0),"NA")</f>
        <v>NA</v>
      </c>
      <c r="E337" s="35">
        <f>IFNA(IFNA(VLOOKUP(C337,'Miembros de campaña PRVE'!C:D,2,0),(VLOOKUP(C337,'SIC - FLOW! - Solicitudes BOFU '!B:C,2,0))),"")</f>
        <v>43903</v>
      </c>
      <c r="F337" s="12" t="str">
        <f>IFNA(IFNA(VLOOKUP(C337,'Estado de leads de campaña PRVE'!B:D,3,0),(VLOOKUP(C337,'Leads Sf Origen webDetailers Hs'!A:C,3,0))),"NA")</f>
        <v>NA</v>
      </c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7" t="str">
        <f>'SIC - FLOW! - Solicitudes BOFU '!B25</f>
        <v>373@eling.es</v>
      </c>
      <c r="B338" s="33"/>
      <c r="C338" s="36" t="str">
        <f>IFERROR(__xludf.DUMMYFUNCTION("""COMPUTED_VALUE"""),"2560@gmail.com")</f>
        <v>2560@gmail.com</v>
      </c>
      <c r="D338" s="12" t="str">
        <f>IFNA(VLOOKUP(C338,'Miembros de campaña PRVE'!C:E,3,0),"NA")</f>
        <v>NA</v>
      </c>
      <c r="E338" s="35">
        <f>IFNA(IFNA(VLOOKUP(C338,'Miembros de campaña PRVE'!C:D,2,0),(VLOOKUP(C338,'SIC - FLOW! - Solicitudes BOFU '!B:C,2,0))),"")</f>
        <v>43894</v>
      </c>
      <c r="F338" s="12" t="str">
        <f>IFNA(IFNA(VLOOKUP(C338,'Estado de leads de campaña PRVE'!B:D,3,0),(VLOOKUP(C338,'Leads Sf Origen webDetailers Hs'!A:C,3,0))),"NA")</f>
        <v>NA</v>
      </c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7" t="str">
        <f>'SIC - FLOW! - Solicitudes BOFU '!B26</f>
        <v>361@trabajosadomicilio.es</v>
      </c>
      <c r="B339" s="33"/>
      <c r="C339" s="36" t="str">
        <f>IFERROR(__xludf.DUMMYFUNCTION("""COMPUTED_VALUE"""),"4731@hotmail.com")</f>
        <v>4731@hotmail.com</v>
      </c>
      <c r="D339" s="12" t="str">
        <f>IFNA(VLOOKUP(C339,'Miembros de campaña PRVE'!C:E,3,0),"NA")</f>
        <v>NA</v>
      </c>
      <c r="E339" s="35">
        <f>IFNA(IFNA(VLOOKUP(C339,'Miembros de campaña PRVE'!C:D,2,0),(VLOOKUP(C339,'SIC - FLOW! - Solicitudes BOFU '!B:C,2,0))),"")</f>
        <v>43893</v>
      </c>
      <c r="F339" s="12" t="str">
        <f>IFNA(IFNA(VLOOKUP(C339,'Estado de leads de campaña PRVE'!B:D,3,0),(VLOOKUP(C339,'Leads Sf Origen webDetailers Hs'!A:C,3,0))),"NA")</f>
        <v>NA</v>
      </c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7" t="str">
        <f>'SIC - FLOW! - Solicitudes BOFU '!B27</f>
        <v>450@gmail.com</v>
      </c>
      <c r="B340" s="33"/>
      <c r="C340" s="36" t="str">
        <f>IFERROR(__xludf.DUMMYFUNCTION("""COMPUTED_VALUE"""),"834@gmail.com")</f>
        <v>834@gmail.com</v>
      </c>
      <c r="D340" s="12" t="str">
        <f>IFNA(VLOOKUP(C340,'Miembros de campaña PRVE'!C:E,3,0),"NA")</f>
        <v>NA</v>
      </c>
      <c r="E340" s="35">
        <f>IFNA(IFNA(VLOOKUP(C340,'Miembros de campaña PRVE'!C:D,2,0),(VLOOKUP(C340,'SIC - FLOW! - Solicitudes BOFU '!B:C,2,0))),"")</f>
        <v>43874</v>
      </c>
      <c r="F340" s="12" t="str">
        <f>IFNA(IFNA(VLOOKUP(C340,'Estado de leads de campaña PRVE'!B:D,3,0),(VLOOKUP(C340,'Leads Sf Origen webDetailers Hs'!A:C,3,0))),"NA")</f>
        <v>NA</v>
      </c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7" t="str">
        <f>'SIC - FLOW! - Solicitudes BOFU '!B28</f>
        <v>427@gmail.com</v>
      </c>
      <c r="B341" s="33"/>
      <c r="C341" s="36" t="str">
        <f>IFERROR(__xludf.DUMMYFUNCTION("""COMPUTED_VALUE"""),"2857@gmail.com")</f>
        <v>2857@gmail.com</v>
      </c>
      <c r="D341" s="12" t="str">
        <f>IFNA(VLOOKUP(C341,'Miembros de campaña PRVE'!C:E,3,0),"NA")</f>
        <v>NA</v>
      </c>
      <c r="E341" s="35">
        <f>IFNA(IFNA(VLOOKUP(C341,'Miembros de campaña PRVE'!C:D,2,0),(VLOOKUP(C341,'SIC - FLOW! - Solicitudes BOFU '!B:C,2,0))),"")</f>
        <v>43860</v>
      </c>
      <c r="F341" s="12" t="str">
        <f>IFNA(IFNA(VLOOKUP(C341,'Estado de leads de campaña PRVE'!B:D,3,0),(VLOOKUP(C341,'Leads Sf Origen webDetailers Hs'!A:C,3,0))),"NA")</f>
        <v>NA</v>
      </c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7" t="str">
        <f>'SIC - FLOW! - Solicitudes BOFU '!B29</f>
        <v>451@ingelux.com</v>
      </c>
      <c r="B342" s="33"/>
      <c r="C342" s="36" t="str">
        <f>IFERROR(__xludf.DUMMYFUNCTION("""COMPUTED_VALUE"""),"2862@gmail.com")</f>
        <v>2862@gmail.com</v>
      </c>
      <c r="D342" s="12" t="str">
        <f>IFNA(VLOOKUP(C342,'Miembros de campaña PRVE'!C:E,3,0),"NA")</f>
        <v>NA</v>
      </c>
      <c r="E342" s="35">
        <f>IFNA(IFNA(VLOOKUP(C342,'Miembros de campaña PRVE'!C:D,2,0),(VLOOKUP(C342,'SIC - FLOW! - Solicitudes BOFU '!B:C,2,0))),"")</f>
        <v>43859</v>
      </c>
      <c r="F342" s="12" t="str">
        <f>IFNA(IFNA(VLOOKUP(C342,'Estado de leads de campaña PRVE'!B:D,3,0),(VLOOKUP(C342,'Leads Sf Origen webDetailers Hs'!A:C,3,0))),"NA")</f>
        <v>NA</v>
      </c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7" t="str">
        <f>'SIC - FLOW! - Solicitudes BOFU '!B30</f>
        <v>448@gmail.com</v>
      </c>
      <c r="B343" s="33"/>
      <c r="C343" s="38"/>
      <c r="D343" s="33"/>
      <c r="E343" s="39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7" t="str">
        <f>'SIC - FLOW! - Solicitudes BOFU '!B31</f>
        <v>260@hotmail.com</v>
      </c>
      <c r="B344" s="33"/>
      <c r="C344" s="38"/>
      <c r="D344" s="40"/>
      <c r="E344" s="39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7" t="str">
        <f>'SIC - FLOW! - Solicitudes BOFU '!B32</f>
        <v>454@gmail.com</v>
      </c>
      <c r="B345" s="33"/>
      <c r="C345" s="38"/>
      <c r="D345" s="33"/>
      <c r="E345" s="39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7" t="str">
        <f>'SIC - FLOW! - Solicitudes BOFU '!B33</f>
        <v>470@gmail.com</v>
      </c>
      <c r="B346" s="33"/>
      <c r="C346" s="38"/>
      <c r="D346" s="33"/>
      <c r="E346" s="39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7" t="str">
        <f>'SIC - FLOW! - Solicitudes BOFU '!B34</f>
        <v>468@yahoo.es</v>
      </c>
      <c r="B347" s="33"/>
      <c r="C347" s="38"/>
      <c r="D347" s="33"/>
      <c r="E347" s="39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7" t="str">
        <f>'SIC - FLOW! - Solicitudes BOFU '!B35</f>
        <v>481@gmail.com</v>
      </c>
      <c r="B348" s="33"/>
      <c r="C348" s="38"/>
      <c r="D348" s="33"/>
      <c r="E348" s="39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7" t="str">
        <f>'SIC - FLOW! - Solicitudes BOFU '!B36</f>
        <v>521@gmail.com</v>
      </c>
      <c r="B349" s="33"/>
      <c r="C349" s="38"/>
      <c r="D349" s="33"/>
      <c r="E349" s="39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7" t="str">
        <f>'SIC - FLOW! - Solicitudes BOFU '!B37</f>
        <v>526@gmail.com</v>
      </c>
      <c r="B350" s="33"/>
      <c r="C350" s="38"/>
      <c r="D350" s="33"/>
      <c r="E350" s="39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7" t="str">
        <f>'SIC - FLOW! - Solicitudes BOFU '!B38</f>
        <v>569@hotmail.com</v>
      </c>
      <c r="B351" s="33"/>
      <c r="C351" s="38"/>
      <c r="D351" s="33"/>
      <c r="E351" s="39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7" t="str">
        <f>'SIC - FLOW! - Solicitudes BOFU '!B39</f>
        <v>565@gmail.com</v>
      </c>
      <c r="B352" s="33"/>
      <c r="C352" s="38"/>
      <c r="D352" s="33"/>
      <c r="E352" s="39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7" t="str">
        <f>'SIC - FLOW! - Solicitudes BOFU '!B40</f>
        <v>4070@hotmail.com</v>
      </c>
      <c r="B353" s="33"/>
      <c r="C353" s="38"/>
      <c r="D353" s="33"/>
      <c r="E353" s="39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7" t="str">
        <f>'SIC - FLOW! - Solicitudes BOFU '!B41</f>
        <v>583@iesmontsia.org</v>
      </c>
      <c r="B354" s="33"/>
      <c r="C354" s="38"/>
      <c r="D354" s="33"/>
      <c r="E354" s="39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7" t="str">
        <f>'SIC - FLOW! - Solicitudes BOFU '!B42</f>
        <v>667@ces2010.es</v>
      </c>
      <c r="B355" s="33"/>
      <c r="C355" s="38"/>
      <c r="D355" s="33"/>
      <c r="E355" s="39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7" t="str">
        <f>'SIC - FLOW! - Solicitudes BOFU '!B43</f>
        <v>635@coneq.es</v>
      </c>
      <c r="B356" s="33"/>
      <c r="C356" s="38"/>
      <c r="D356" s="33"/>
      <c r="E356" s="39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7" t="str">
        <f>'SIC - FLOW! - Solicitudes BOFU '!B44</f>
        <v>3190@aprenergia.es</v>
      </c>
      <c r="B357" s="33"/>
      <c r="C357" s="38"/>
      <c r="D357" s="33"/>
      <c r="E357" s="39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7" t="str">
        <f>'SIC - FLOW! - Solicitudes BOFU '!B45</f>
        <v>726@gmail.com</v>
      </c>
      <c r="B358" s="33"/>
      <c r="C358" s="38"/>
      <c r="D358" s="33"/>
      <c r="E358" s="39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7" t="str">
        <f>'SIC - FLOW! - Solicitudes BOFU '!B46</f>
        <v>3766@outlook.com</v>
      </c>
      <c r="B359" s="33"/>
      <c r="C359" s="38"/>
      <c r="D359" s="33"/>
      <c r="E359" s="39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7" t="str">
        <f>'SIC - FLOW! - Solicitudes BOFU '!B47</f>
        <v>608@sgingenieros.es</v>
      </c>
      <c r="B360" s="33"/>
      <c r="C360" s="38"/>
      <c r="D360" s="33"/>
      <c r="E360" s="39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7" t="str">
        <f>'SIC - FLOW! - Solicitudes BOFU '!B48</f>
        <v>3026@gmail.com</v>
      </c>
      <c r="B361" s="33"/>
      <c r="C361" s="38"/>
      <c r="D361" s="33"/>
      <c r="E361" s="39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7" t="str">
        <f>'SIC - FLOW! - Solicitudes BOFU '!B49</f>
        <v>3370@hotmail.com</v>
      </c>
      <c r="B362" s="33"/>
      <c r="C362" s="38"/>
      <c r="D362" s="33"/>
      <c r="E362" s="39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7" t="str">
        <f>'SIC - FLOW! - Solicitudes BOFU '!B50</f>
        <v>668@dipucordoba.es</v>
      </c>
      <c r="B363" s="33"/>
      <c r="C363" s="38"/>
      <c r="D363" s="33"/>
      <c r="E363" s="39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7" t="str">
        <f>'SIC - FLOW! - Solicitudes BOFU '!B51</f>
        <v>352@live.com.mx</v>
      </c>
      <c r="B364" s="33"/>
      <c r="C364" s="38"/>
      <c r="D364" s="33"/>
      <c r="E364" s="39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7" t="str">
        <f>'SIC - FLOW! - Solicitudes BOFU '!B52</f>
        <v>733@gmail.com</v>
      </c>
      <c r="B365" s="33"/>
      <c r="C365" s="38"/>
      <c r="D365" s="33"/>
      <c r="E365" s="39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7" t="str">
        <f>'SIC - FLOW! - Solicitudes BOFU '!B53</f>
        <v>701@gmail.com</v>
      </c>
      <c r="B366" s="33"/>
      <c r="C366" s="38"/>
      <c r="D366" s="33"/>
      <c r="E366" s="39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7" t="str">
        <f>'SIC - FLOW! - Solicitudes BOFU '!B54</f>
        <v>735@serveiskronier55.com</v>
      </c>
      <c r="B367" s="33"/>
      <c r="C367" s="38"/>
      <c r="D367" s="33"/>
      <c r="E367" s="39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7" t="str">
        <f>'SIC - FLOW! - Solicitudes BOFU '!B55</f>
        <v>3028@gmail.com</v>
      </c>
      <c r="B368" s="33"/>
      <c r="C368" s="38"/>
      <c r="D368" s="33"/>
      <c r="E368" s="39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7" t="str">
        <f>'SIC - FLOW! - Solicitudes BOFU '!B56</f>
        <v>3037@gmail.com</v>
      </c>
      <c r="B369" s="33"/>
      <c r="C369" s="38"/>
      <c r="D369" s="33"/>
      <c r="E369" s="39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7" t="str">
        <f>'SIC - FLOW! - Solicitudes BOFU '!B57</f>
        <v>642@ecoviv.eu</v>
      </c>
      <c r="B370" s="33"/>
      <c r="C370" s="38"/>
      <c r="D370" s="33"/>
      <c r="E370" s="39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7" t="str">
        <f>'SIC - FLOW! - Solicitudes BOFU '!B58</f>
        <v>3025@ingenierosvigo.com</v>
      </c>
      <c r="B371" s="33"/>
      <c r="C371" s="38"/>
      <c r="D371" s="33"/>
      <c r="E371" s="39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7" t="str">
        <f>'SIC - FLOW! - Solicitudes BOFU '!B59</f>
        <v>615@iealcazar.com</v>
      </c>
      <c r="B372" s="33"/>
      <c r="C372" s="38"/>
      <c r="D372" s="33"/>
      <c r="E372" s="39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7" t="str">
        <f>'SIC - FLOW! - Solicitudes BOFU '!B60</f>
        <v>3519@gmail.com</v>
      </c>
      <c r="B373" s="33"/>
      <c r="C373" s="38"/>
      <c r="D373" s="33"/>
      <c r="E373" s="39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7" t="str">
        <f>'SIC - FLOW! - Solicitudes BOFU '!B61</f>
        <v>567@sonovatec.com</v>
      </c>
      <c r="B374" s="33"/>
      <c r="C374" s="38"/>
      <c r="D374" s="33"/>
      <c r="E374" s="39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7" t="str">
        <f>'SIC - FLOW! - Solicitudes BOFU '!B62</f>
        <v>3367@gmail.com</v>
      </c>
      <c r="B375" s="33"/>
      <c r="C375" s="38"/>
      <c r="D375" s="33"/>
      <c r="E375" s="39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7" t="str">
        <f>'SIC - FLOW! - Solicitudes BOFU '!B63</f>
        <v>601@gmail.com</v>
      </c>
      <c r="B376" s="33"/>
      <c r="C376" s="38"/>
      <c r="D376" s="33"/>
      <c r="E376" s="39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7" t="str">
        <f>'SIC - FLOW! - Solicitudes BOFU '!B64</f>
        <v>623@gmail.com</v>
      </c>
      <c r="B377" s="33"/>
      <c r="C377" s="38"/>
      <c r="D377" s="33"/>
      <c r="E377" s="39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7" t="str">
        <f>'SIC - FLOW! - Solicitudes BOFU '!B65</f>
        <v>713@gmail.com</v>
      </c>
      <c r="B378" s="33"/>
      <c r="C378" s="38"/>
      <c r="D378" s="33"/>
      <c r="E378" s="39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7" t="str">
        <f>'SIC - FLOW! - Solicitudes BOFU '!B66</f>
        <v>749@gmail.com</v>
      </c>
      <c r="B379" s="33"/>
      <c r="C379" s="38"/>
      <c r="D379" s="33"/>
      <c r="E379" s="39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7" t="str">
        <f>'SIC - FLOW! - Solicitudes BOFU '!B67</f>
        <v>3030@a6ingenieria.es</v>
      </c>
      <c r="B380" s="33"/>
      <c r="C380" s="38"/>
      <c r="D380" s="33"/>
      <c r="E380" s="39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7" t="str">
        <f>'SIC - FLOW! - Solicitudes BOFU '!B68</f>
        <v>207@tecnicasyrecursos.com</v>
      </c>
      <c r="B381" s="33"/>
      <c r="C381" s="38"/>
      <c r="D381" s="33"/>
      <c r="E381" s="39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7" t="str">
        <f>'SIC - FLOW! - Solicitudes BOFU '!B69</f>
        <v>770@inmotiza.com</v>
      </c>
      <c r="B382" s="33"/>
      <c r="C382" s="38"/>
      <c r="D382" s="33"/>
      <c r="E382" s="39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7" t="str">
        <f>'SIC - FLOW! - Solicitudes BOFU '!B70</f>
        <v>3046@gmail.com</v>
      </c>
      <c r="B383" s="33"/>
      <c r="C383" s="38"/>
      <c r="D383" s="33"/>
      <c r="E383" s="39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7" t="str">
        <f>'SIC - FLOW! - Solicitudes BOFU '!B71</f>
        <v>634@easycharger.es</v>
      </c>
      <c r="B384" s="33"/>
      <c r="C384" s="38"/>
      <c r="D384" s="33"/>
      <c r="E384" s="39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7" t="str">
        <f>'SIC - FLOW! - Solicitudes BOFU '!B72</f>
        <v>2082@hotmail.com</v>
      </c>
      <c r="B385" s="33"/>
      <c r="C385" s="38"/>
      <c r="D385" s="33"/>
      <c r="E385" s="39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7" t="str">
        <f>'SIC - FLOW! - Solicitudes BOFU '!B73</f>
        <v>773@perequart.com</v>
      </c>
      <c r="B386" s="33"/>
      <c r="C386" s="38"/>
      <c r="D386" s="33"/>
      <c r="E386" s="39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7" t="str">
        <f>'SIC - FLOW! - Solicitudes BOFU '!B74</f>
        <v>684@gmail.com</v>
      </c>
      <c r="B387" s="33"/>
      <c r="C387" s="38"/>
      <c r="D387" s="33"/>
      <c r="E387" s="39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7" t="str">
        <f>'SIC - FLOW! - Solicitudes BOFU '!B75</f>
        <v>957@germaniaweb.com</v>
      </c>
      <c r="B388" s="33"/>
      <c r="C388" s="38"/>
      <c r="D388" s="33"/>
      <c r="E388" s="39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7" t="str">
        <f>'SIC - FLOW! - Solicitudes BOFU '!B76</f>
        <v>789@simsabdn.cat</v>
      </c>
      <c r="B389" s="33"/>
      <c r="C389" s="38"/>
      <c r="D389" s="33"/>
      <c r="E389" s="39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7" t="str">
        <f>'SIC - FLOW! - Solicitudes BOFU '!B77</f>
        <v>597@svingenieria.com.co</v>
      </c>
      <c r="B390" s="33"/>
      <c r="C390" s="38"/>
      <c r="D390" s="33"/>
      <c r="E390" s="39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7" t="str">
        <f>'SIC - FLOW! - Solicitudes BOFU '!B78</f>
        <v>781@gmail.com</v>
      </c>
      <c r="B391" s="33"/>
      <c r="C391" s="38"/>
      <c r="D391" s="33"/>
      <c r="E391" s="39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7" t="str">
        <f>'SIC - FLOW! - Solicitudes BOFU '!B79</f>
        <v>802@hotmail.com</v>
      </c>
      <c r="B392" s="33"/>
      <c r="C392" s="38"/>
      <c r="D392" s="33"/>
      <c r="E392" s="39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7" t="str">
        <f>'SIC - FLOW! - Solicitudes BOFU '!B80</f>
        <v>4730@yahoo.com</v>
      </c>
      <c r="B393" s="33"/>
      <c r="C393" s="38"/>
      <c r="D393" s="33"/>
      <c r="E393" s="39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7" t="str">
        <f>'SIC - FLOW! - Solicitudes BOFU '!B81</f>
        <v>800@taubertek.com</v>
      </c>
      <c r="B394" s="33"/>
      <c r="C394" s="38"/>
      <c r="D394" s="33"/>
      <c r="E394" s="39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7" t="str">
        <f>'SIC - FLOW! - Solicitudes BOFU '!B82</f>
        <v>609@ritelecenergia.es</v>
      </c>
      <c r="B395" s="33"/>
      <c r="C395" s="38"/>
      <c r="D395" s="33"/>
      <c r="E395" s="39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7" t="str">
        <f>'SIC - FLOW! - Solicitudes BOFU '!B83</f>
        <v>801@hotmail.es</v>
      </c>
      <c r="B396" s="33"/>
      <c r="C396" s="38"/>
      <c r="D396" s="33"/>
      <c r="E396" s="39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7" t="str">
        <f>'SIC - FLOW! - Solicitudes BOFU '!B84</f>
        <v>418@proyectosict.net</v>
      </c>
      <c r="B397" s="33"/>
      <c r="C397" s="38"/>
      <c r="D397" s="33"/>
      <c r="E397" s="39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7" t="str">
        <f>'SIC - FLOW! - Solicitudes BOFU '!B85</f>
        <v>3036@romeroycantalejo.com</v>
      </c>
      <c r="B398" s="33"/>
      <c r="C398" s="38"/>
      <c r="D398" s="33"/>
      <c r="E398" s="39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7" t="str">
        <f>'SIC - FLOW! - Solicitudes BOFU '!B86</f>
        <v>904@inboundcycle.com</v>
      </c>
      <c r="B399" s="33"/>
      <c r="C399" s="38"/>
      <c r="D399" s="33"/>
      <c r="E399" s="39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7" t="str">
        <f>'SIC - FLOW! - Solicitudes BOFU '!B87</f>
        <v>3033@gmail.com</v>
      </c>
      <c r="B400" s="33"/>
      <c r="C400" s="38"/>
      <c r="D400" s="33"/>
      <c r="E400" s="39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7" t="str">
        <f>'SIC - FLOW! - Solicitudes BOFU '!B88</f>
        <v>823@gmail.com</v>
      </c>
      <c r="B401" s="33"/>
      <c r="C401" s="38"/>
      <c r="D401" s="33"/>
      <c r="E401" s="39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7" t="str">
        <f>'SIC - FLOW! - Solicitudes BOFU '!B89</f>
        <v>217@esypro.net</v>
      </c>
      <c r="B402" s="33"/>
      <c r="C402" s="38"/>
      <c r="D402" s="33"/>
      <c r="E402" s="39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7" t="str">
        <f>'SIC - FLOW! - Solicitudes BOFU '!B90</f>
        <v>847@lodeal.es</v>
      </c>
      <c r="B403" s="33"/>
      <c r="C403" s="38"/>
      <c r="D403" s="33"/>
      <c r="E403" s="39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7" t="str">
        <f>'SIC - FLOW! - Solicitudes BOFU '!B91</f>
        <v>3038@hotmail.com</v>
      </c>
      <c r="B404" s="33"/>
      <c r="C404" s="38"/>
      <c r="D404" s="33"/>
      <c r="E404" s="39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7" t="str">
        <f>'SIC - FLOW! - Solicitudes BOFU '!B92</f>
        <v>933@orsei.es</v>
      </c>
      <c r="B405" s="33"/>
      <c r="C405" s="38"/>
      <c r="D405" s="33"/>
      <c r="E405" s="39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7" t="str">
        <f>'SIC - FLOW! - Solicitudes BOFU '!B93</f>
        <v>868@gmail.com</v>
      </c>
      <c r="B406" s="33"/>
      <c r="C406" s="38"/>
      <c r="D406" s="33"/>
      <c r="E406" s="39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7" t="str">
        <f>'SIC - FLOW! - Solicitudes BOFU '!B94</f>
        <v>3040@icloud.com</v>
      </c>
      <c r="B407" s="33"/>
      <c r="C407" s="38"/>
      <c r="D407" s="33"/>
      <c r="E407" s="39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7" t="str">
        <f>'SIC - FLOW! - Solicitudes BOFU '!B95</f>
        <v>884@enersos.es</v>
      </c>
      <c r="B408" s="33"/>
      <c r="C408" s="38"/>
      <c r="D408" s="33"/>
      <c r="E408" s="39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7" t="str">
        <f>'SIC - FLOW! - Solicitudes BOFU '!B96</f>
        <v>886@gmail.com</v>
      </c>
      <c r="B409" s="33"/>
      <c r="C409" s="38"/>
      <c r="D409" s="33"/>
      <c r="E409" s="39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7" t="str">
        <f>'SIC - FLOW! - Solicitudes BOFU '!B97</f>
        <v>946@gmail.com</v>
      </c>
      <c r="B410" s="33"/>
      <c r="C410" s="38"/>
      <c r="D410" s="33"/>
      <c r="E410" s="39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7" t="str">
        <f>'SIC - FLOW! - Solicitudes BOFU '!B98</f>
        <v>936@gmail.com</v>
      </c>
      <c r="B411" s="33"/>
      <c r="C411" s="38"/>
      <c r="D411" s="33"/>
      <c r="E411" s="39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7" t="str">
        <f>'SIC - FLOW! - Solicitudes BOFU '!B99</f>
        <v>935@gmail.com</v>
      </c>
      <c r="B412" s="33"/>
      <c r="C412" s="38"/>
      <c r="D412" s="33"/>
      <c r="E412" s="39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7" t="str">
        <f>'SIC - FLOW! - Solicitudes BOFU '!B100</f>
        <v>1004@telefonica.net</v>
      </c>
      <c r="B413" s="33"/>
      <c r="C413" s="38"/>
      <c r="D413" s="33"/>
      <c r="E413" s="39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7" t="str">
        <f>'SIC - FLOW! - Solicitudes BOFU '!B101</f>
        <v>1039@yahoo.es</v>
      </c>
      <c r="B414" s="33"/>
      <c r="C414" s="38"/>
      <c r="D414" s="33"/>
      <c r="E414" s="39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7" t="str">
        <f>'SIC - FLOW! - Solicitudes BOFU '!B102</f>
        <v>1063@gmail.com</v>
      </c>
      <c r="B415" s="33"/>
      <c r="C415" s="38"/>
      <c r="D415" s="33"/>
      <c r="E415" s="39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7" t="str">
        <f>'SIC - FLOW! - Solicitudes BOFU '!B103</f>
        <v>1075@gmail.com</v>
      </c>
      <c r="B416" s="33"/>
      <c r="C416" s="38"/>
      <c r="D416" s="33"/>
      <c r="E416" s="39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7" t="str">
        <f>'SIC - FLOW! - Solicitudes BOFU '!B104</f>
        <v>1064@abxat.com</v>
      </c>
      <c r="B417" s="33"/>
      <c r="C417" s="38"/>
      <c r="D417" s="33"/>
      <c r="E417" s="39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7" t="str">
        <f>'SIC - FLOW! - Solicitudes BOFU '!B105</f>
        <v>1111@hotmail.com</v>
      </c>
      <c r="B418" s="33"/>
      <c r="C418" s="38"/>
      <c r="D418" s="33"/>
      <c r="E418" s="39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7" t="str">
        <f>'SIC - FLOW! - Solicitudes BOFU '!B106</f>
        <v>1154@gmail.com</v>
      </c>
      <c r="B419" s="33"/>
      <c r="C419" s="38"/>
      <c r="D419" s="33"/>
      <c r="E419" s="39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7" t="str">
        <f>'SIC - FLOW! - Solicitudes BOFU '!B107</f>
        <v>1117@hotmail.com</v>
      </c>
      <c r="B420" s="33"/>
      <c r="C420" s="38"/>
      <c r="D420" s="33"/>
      <c r="E420" s="39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7" t="str">
        <f>'SIC - FLOW! - Solicitudes BOFU '!B108</f>
        <v>1559@strong.es</v>
      </c>
      <c r="B421" s="33"/>
      <c r="C421" s="38"/>
      <c r="D421" s="33"/>
      <c r="E421" s="39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7" t="str">
        <f>'SIC - FLOW! - Solicitudes BOFU '!B109</f>
        <v>647@apis-ing.es</v>
      </c>
      <c r="B422" s="33"/>
      <c r="C422" s="38"/>
      <c r="D422" s="33"/>
      <c r="E422" s="39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7" t="str">
        <f>'SIC - FLOW! - Solicitudes BOFU '!B110</f>
        <v>1454@yahoo.es</v>
      </c>
      <c r="B423" s="33"/>
      <c r="C423" s="38"/>
      <c r="D423" s="33"/>
      <c r="E423" s="39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7" t="str">
        <f>'SIC - FLOW! - Solicitudes BOFU '!B111</f>
        <v>1673@gailmafra.com</v>
      </c>
      <c r="B424" s="33"/>
      <c r="C424" s="38"/>
      <c r="D424" s="33"/>
      <c r="E424" s="39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7" t="str">
        <f>'SIC - FLOW! - Solicitudes BOFU '!B112</f>
        <v>1626@adaliaradio.com</v>
      </c>
      <c r="B425" s="33"/>
      <c r="C425" s="38"/>
      <c r="D425" s="33"/>
      <c r="E425" s="39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7" t="str">
        <f>'SIC - FLOW! - Solicitudes BOFU '!B113</f>
        <v>408@ic3sl.com</v>
      </c>
      <c r="B426" s="33"/>
      <c r="C426" s="38"/>
      <c r="D426" s="33"/>
      <c r="E426" s="39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7" t="str">
        <f>'SIC - FLOW! - Solicitudes BOFU '!B114</f>
        <v>1602@gmail.com</v>
      </c>
      <c r="B427" s="33"/>
      <c r="C427" s="38"/>
      <c r="D427" s="33"/>
      <c r="E427" s="39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7" t="str">
        <f>'SIC - FLOW! - Solicitudes BOFU '!B115</f>
        <v>1391@grupojab.es</v>
      </c>
      <c r="B428" s="33"/>
      <c r="C428" s="38"/>
      <c r="D428" s="33"/>
      <c r="E428" s="39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7" t="str">
        <f>'SIC - FLOW! - Solicitudes BOFU '!B116</f>
        <v>1489@gmail.com</v>
      </c>
      <c r="B429" s="33"/>
      <c r="C429" s="38"/>
      <c r="D429" s="33"/>
      <c r="E429" s="39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7" t="str">
        <f>'SIC - FLOW! - Solicitudes BOFU '!B117</f>
        <v>380@acp-level.es</v>
      </c>
      <c r="B430" s="33"/>
      <c r="C430" s="38"/>
      <c r="D430" s="33"/>
      <c r="E430" s="39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7" t="str">
        <f>'SIC - FLOW! - Solicitudes BOFU '!B118</f>
        <v>4724@gmail.com</v>
      </c>
      <c r="B431" s="33"/>
      <c r="C431" s="38"/>
      <c r="D431" s="33"/>
      <c r="E431" s="39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7" t="str">
        <f>'SIC - FLOW! - Solicitudes BOFU '!B119</f>
        <v>4718@gmail.com</v>
      </c>
      <c r="B432" s="33"/>
      <c r="C432" s="38"/>
      <c r="D432" s="33"/>
      <c r="E432" s="39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7" t="str">
        <f>'SIC - FLOW! - Solicitudes BOFU '!B120</f>
        <v>1800@hotmail.com</v>
      </c>
      <c r="B433" s="33"/>
      <c r="C433" s="38"/>
      <c r="D433" s="33"/>
      <c r="E433" s="39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7" t="str">
        <f>'SIC - FLOW! - Solicitudes BOFU '!B121</f>
        <v>1603@gmail.com</v>
      </c>
      <c r="B434" s="33"/>
      <c r="C434" s="38"/>
      <c r="D434" s="33"/>
      <c r="E434" s="39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7" t="str">
        <f>'SIC - FLOW! - Solicitudes BOFU '!B122</f>
        <v>1226@agiceringenieros.es</v>
      </c>
      <c r="B435" s="33"/>
      <c r="C435" s="38"/>
      <c r="D435" s="33"/>
      <c r="E435" s="39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7" t="str">
        <f>'SIC - FLOW! - Solicitudes BOFU '!B123</f>
        <v>1268@gamai.com</v>
      </c>
      <c r="B436" s="33"/>
      <c r="C436" s="38"/>
      <c r="D436" s="33"/>
      <c r="E436" s="39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7" t="str">
        <f>'SIC - FLOW! - Solicitudes BOFU '!B124</f>
        <v>1383@grupoazmont.com</v>
      </c>
      <c r="B437" s="33"/>
      <c r="C437" s="38"/>
      <c r="D437" s="33"/>
      <c r="E437" s="39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7" t="str">
        <f>'SIC - FLOW! - Solicitudes BOFU '!B125</f>
        <v>1695@gruponortica.com</v>
      </c>
      <c r="B438" s="33"/>
      <c r="C438" s="38"/>
      <c r="D438" s="33"/>
      <c r="E438" s="39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7" t="str">
        <f>'SIC - FLOW! - Solicitudes BOFU '!B126</f>
        <v>1284@gmail.com</v>
      </c>
      <c r="B439" s="33"/>
      <c r="C439" s="38"/>
      <c r="D439" s="33"/>
      <c r="E439" s="39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7" t="str">
        <f>'SIC - FLOW! - Solicitudes BOFU '!B127</f>
        <v>1265@hotmail.com</v>
      </c>
      <c r="B440" s="33"/>
      <c r="C440" s="38"/>
      <c r="D440" s="33"/>
      <c r="E440" s="39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7" t="str">
        <f>'SIC - FLOW! - Solicitudes BOFU '!B128</f>
        <v>187@castelyfernandez.es</v>
      </c>
      <c r="B441" s="33"/>
      <c r="C441" s="38"/>
      <c r="D441" s="33"/>
      <c r="E441" s="39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7" t="str">
        <f>'SIC - FLOW! - Solicitudes BOFU '!B129</f>
        <v>1515@expertline.es</v>
      </c>
      <c r="B442" s="33"/>
      <c r="C442" s="38"/>
      <c r="D442" s="33"/>
      <c r="E442" s="39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7" t="str">
        <f>'SIC - FLOW! - Solicitudes BOFU '!B130</f>
        <v>1369@atribal.es</v>
      </c>
      <c r="B443" s="33"/>
      <c r="C443" s="38"/>
      <c r="D443" s="33"/>
      <c r="E443" s="39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7" t="str">
        <f>'SIC - FLOW! - Solicitudes BOFU '!B131</f>
        <v>1728@gmail.com</v>
      </c>
      <c r="B444" s="33"/>
      <c r="C444" s="38"/>
      <c r="D444" s="33"/>
      <c r="E444" s="39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7" t="str">
        <f>'SIC - FLOW! - Solicitudes BOFU '!B132</f>
        <v>374@copitima.com</v>
      </c>
      <c r="B445" s="33"/>
      <c r="C445" s="38"/>
      <c r="D445" s="33"/>
      <c r="E445" s="39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7" t="str">
        <f>'SIC - FLOW! - Solicitudes BOFU '!B133</f>
        <v>1778@gmail.com</v>
      </c>
      <c r="B446" s="33"/>
      <c r="C446" s="38"/>
      <c r="D446" s="33"/>
      <c r="E446" s="39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7" t="str">
        <f>'SIC - FLOW! - Solicitudes BOFU '!B134</f>
        <v>1716@fuengiroluz.es</v>
      </c>
      <c r="B447" s="33"/>
      <c r="C447" s="38"/>
      <c r="D447" s="33"/>
      <c r="E447" s="39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7" t="str">
        <f>'SIC - FLOW! - Solicitudes BOFU '!B135</f>
        <v>1614@electronalon.es</v>
      </c>
      <c r="B448" s="33"/>
      <c r="C448" s="38"/>
      <c r="D448" s="33"/>
      <c r="E448" s="39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7" t="str">
        <f>'SIC - FLOW! - Solicitudes BOFU '!B136</f>
        <v>1896@gmail.com</v>
      </c>
      <c r="B449" s="33"/>
      <c r="C449" s="38"/>
      <c r="D449" s="33"/>
      <c r="E449" s="39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7" t="str">
        <f>'SIC - FLOW! - Solicitudes BOFU '!B137</f>
        <v>1901@gmail.com</v>
      </c>
      <c r="B450" s="33"/>
      <c r="C450" s="38"/>
      <c r="D450" s="33"/>
      <c r="E450" s="39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7" t="str">
        <f>'SIC - FLOW! - Solicitudes BOFU '!B138</f>
        <v>2029@sonepar.es</v>
      </c>
      <c r="B451" s="33"/>
      <c r="C451" s="38"/>
      <c r="D451" s="33"/>
      <c r="E451" s="39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7" t="str">
        <f>'SIC - FLOW! - Solicitudes BOFU '!B139</f>
        <v>1487@gmail.com</v>
      </c>
      <c r="B452" s="33"/>
      <c r="C452" s="38"/>
      <c r="D452" s="33"/>
      <c r="E452" s="39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7" t="str">
        <f>'SIC - FLOW! - Solicitudes BOFU '!B140</f>
        <v>1108@enginyerstarragona.cat</v>
      </c>
      <c r="B453" s="33"/>
      <c r="C453" s="38"/>
      <c r="D453" s="33"/>
      <c r="E453" s="39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7" t="str">
        <f>'SIC - FLOW! - Solicitudes BOFU '!B141</f>
        <v>563@salesianospamplona.net</v>
      </c>
      <c r="B454" s="33"/>
      <c r="C454" s="38"/>
      <c r="D454" s="33"/>
      <c r="E454" s="39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7" t="str">
        <f>'SIC - FLOW! - Solicitudes BOFU '!B142</f>
        <v>2057@gmail.com</v>
      </c>
      <c r="B455" s="33"/>
      <c r="C455" s="38"/>
      <c r="D455" s="33"/>
      <c r="E455" s="39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7" t="str">
        <f>'SIC - FLOW! - Solicitudes BOFU '!B143</f>
        <v>2035@yahoo.es</v>
      </c>
      <c r="B456" s="33"/>
      <c r="C456" s="38"/>
      <c r="D456" s="33"/>
      <c r="E456" s="39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7" t="str">
        <f>'SIC - FLOW! - Solicitudes BOFU '!B144</f>
        <v>1675@exinor.com</v>
      </c>
      <c r="B457" s="33"/>
      <c r="C457" s="38"/>
      <c r="D457" s="33"/>
      <c r="E457" s="39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7" t="str">
        <f>'SIC - FLOW! - Solicitudes BOFU '!B145</f>
        <v>1965@tienda-gasnatural.com</v>
      </c>
      <c r="B458" s="33"/>
      <c r="C458" s="38"/>
      <c r="D458" s="33"/>
      <c r="E458" s="39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7" t="str">
        <f>'SIC - FLOW! - Solicitudes BOFU '!B146</f>
        <v>1930@gmail.com</v>
      </c>
      <c r="B459" s="33"/>
      <c r="C459" s="38"/>
      <c r="D459" s="33"/>
      <c r="E459" s="39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7" t="str">
        <f>'SIC - FLOW! - Solicitudes BOFU '!B147</f>
        <v>1940@electromercantil.es</v>
      </c>
      <c r="B460" s="33"/>
      <c r="C460" s="38"/>
      <c r="D460" s="33"/>
      <c r="E460" s="39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7" t="str">
        <f>'SIC - FLOW! - Solicitudes BOFU '!B148</f>
        <v>1535@hotmail.com</v>
      </c>
      <c r="B461" s="33"/>
      <c r="C461" s="38"/>
      <c r="D461" s="33"/>
      <c r="E461" s="39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7" t="str">
        <f>'SIC - FLOW! - Solicitudes BOFU '!B149</f>
        <v>1233@hotmail.com</v>
      </c>
      <c r="B462" s="33"/>
      <c r="C462" s="38"/>
      <c r="D462" s="33"/>
      <c r="E462" s="39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7" t="str">
        <f>'SIC - FLOW! - Solicitudes BOFU '!B150</f>
        <v>1397@olibayas.net</v>
      </c>
      <c r="B463" s="33"/>
      <c r="C463" s="38"/>
      <c r="D463" s="33"/>
      <c r="E463" s="39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7" t="str">
        <f>'SIC - FLOW! - Solicitudes BOFU '!B151</f>
        <v>1443@hotmail.com</v>
      </c>
      <c r="B464" s="33"/>
      <c r="C464" s="38"/>
      <c r="D464" s="33"/>
      <c r="E464" s="39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7" t="str">
        <f>'SIC - FLOW! - Solicitudes BOFU '!B152</f>
        <v>2074@hotmail.com</v>
      </c>
      <c r="B465" s="33"/>
      <c r="C465" s="38"/>
      <c r="D465" s="33"/>
      <c r="E465" s="39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7" t="str">
        <f>'SIC - FLOW! - Solicitudes BOFU '!B153</f>
        <v>2076@gmail.com</v>
      </c>
      <c r="B466" s="33"/>
      <c r="C466" s="38"/>
      <c r="D466" s="33"/>
      <c r="E466" s="39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7" t="str">
        <f>'SIC - FLOW! - Solicitudes BOFU '!B154</f>
        <v>2083@gmail.com</v>
      </c>
      <c r="B467" s="33"/>
      <c r="C467" s="38"/>
      <c r="D467" s="33"/>
      <c r="E467" s="39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7" t="str">
        <f>'SIC - FLOW! - Solicitudes BOFU '!B155</f>
        <v>2097@hotmail.com</v>
      </c>
      <c r="B468" s="33"/>
      <c r="C468" s="38"/>
      <c r="D468" s="33"/>
      <c r="E468" s="39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7" t="str">
        <f>'SIC - FLOW! - Solicitudes BOFU '!B156</f>
        <v>2110@ingeconsulting.com</v>
      </c>
      <c r="B469" s="33"/>
      <c r="C469" s="38"/>
      <c r="D469" s="33"/>
      <c r="E469" s="39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7" t="str">
        <f>'SIC - FLOW! - Solicitudes BOFU '!B157</f>
        <v>2112@gmail.com</v>
      </c>
      <c r="B470" s="33"/>
      <c r="C470" s="38"/>
      <c r="D470" s="33"/>
      <c r="E470" s="39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7" t="str">
        <f>'SIC - FLOW! - Solicitudes BOFU '!B158</f>
        <v>2105@nauta.cu</v>
      </c>
      <c r="B471" s="33"/>
      <c r="C471" s="38"/>
      <c r="D471" s="33"/>
      <c r="E471" s="39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7" t="str">
        <f>'SIC - FLOW! - Solicitudes BOFU '!B159</f>
        <v>2109@huelvanorte.es</v>
      </c>
      <c r="B472" s="33"/>
      <c r="C472" s="38"/>
      <c r="D472" s="33"/>
      <c r="E472" s="39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7" t="str">
        <f>'SIC - FLOW! - Solicitudes BOFU '!B160</f>
        <v>808@ale.es</v>
      </c>
      <c r="B473" s="33"/>
      <c r="C473" s="38"/>
      <c r="D473" s="33"/>
      <c r="E473" s="39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7" t="str">
        <f>'SIC - FLOW! - Solicitudes BOFU '!B161</f>
        <v>3086@gmail.com</v>
      </c>
      <c r="B474" s="33"/>
      <c r="C474" s="38"/>
      <c r="D474" s="33"/>
      <c r="E474" s="39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7" t="str">
        <f>'SIC - FLOW! - Solicitudes BOFU '!B162</f>
        <v>2119@gmail.com</v>
      </c>
      <c r="B475" s="33"/>
      <c r="C475" s="38"/>
      <c r="D475" s="33"/>
      <c r="E475" s="39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7" t="str">
        <f>'SIC - FLOW! - Solicitudes BOFU '!B163</f>
        <v>2366@energies.cat</v>
      </c>
      <c r="B476" s="33"/>
      <c r="C476" s="38"/>
      <c r="D476" s="33"/>
      <c r="E476" s="39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7" t="str">
        <f>'SIC - FLOW! - Solicitudes BOFU '!B164</f>
        <v>2128@gmail.com</v>
      </c>
      <c r="B477" s="33"/>
      <c r="C477" s="38"/>
      <c r="D477" s="33"/>
      <c r="E477" s="39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7" t="str">
        <f>'SIC - FLOW! - Solicitudes BOFU '!B165</f>
        <v>2140@gmail.com</v>
      </c>
      <c r="B478" s="33"/>
      <c r="C478" s="38"/>
      <c r="D478" s="33"/>
      <c r="E478" s="39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7" t="str">
        <f>'SIC - FLOW! - Solicitudes BOFU '!B166</f>
        <v>2139@gmail.com</v>
      </c>
      <c r="B479" s="33"/>
      <c r="C479" s="38"/>
      <c r="D479" s="33"/>
      <c r="E479" s="39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7" t="str">
        <f>'SIC - FLOW! - Solicitudes BOFU '!B167</f>
        <v>2150@yahoo.es</v>
      </c>
      <c r="B480" s="33"/>
      <c r="C480" s="38"/>
      <c r="D480" s="33"/>
      <c r="E480" s="39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7" t="str">
        <f>'SIC - FLOW! - Solicitudes BOFU '!B168</f>
        <v>1411@ujaen.es</v>
      </c>
      <c r="B481" s="33"/>
      <c r="C481" s="38"/>
      <c r="D481" s="33"/>
      <c r="E481" s="39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7" t="str">
        <f>'SIC - FLOW! - Solicitudes BOFU '!B169</f>
        <v>3047@gmail.com</v>
      </c>
      <c r="B482" s="33"/>
      <c r="C482" s="38"/>
      <c r="D482" s="33"/>
      <c r="E482" s="39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7" t="str">
        <f>'SIC - FLOW! - Solicitudes BOFU '!B170</f>
        <v>2195@yahoo.es</v>
      </c>
      <c r="B483" s="33"/>
      <c r="C483" s="38"/>
      <c r="D483" s="33"/>
      <c r="E483" s="39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7" t="str">
        <f>'SIC - FLOW! - Solicitudes BOFU '!B171</f>
        <v>2209@elecem.es</v>
      </c>
      <c r="B484" s="33"/>
      <c r="C484" s="38"/>
      <c r="D484" s="33"/>
      <c r="E484" s="39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7" t="str">
        <f>'SIC - FLOW! - Solicitudes BOFU '!B172</f>
        <v>2218@gmx.es</v>
      </c>
      <c r="B485" s="33"/>
      <c r="C485" s="38"/>
      <c r="D485" s="33"/>
      <c r="E485" s="39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7" t="str">
        <f>'SIC - FLOW! - Solicitudes BOFU '!B173</f>
        <v>2208@wp.pl</v>
      </c>
      <c r="B486" s="33"/>
      <c r="C486" s="38"/>
      <c r="D486" s="33"/>
      <c r="E486" s="39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7" t="str">
        <f>'SIC - FLOW! - Solicitudes BOFU '!B174</f>
        <v>2220@hotmail.com</v>
      </c>
      <c r="B487" s="33"/>
      <c r="C487" s="38"/>
      <c r="D487" s="33"/>
      <c r="E487" s="39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7" t="str">
        <f>'SIC - FLOW! - Solicitudes BOFU '!B175</f>
        <v>3201@sub-vidayfoto.com</v>
      </c>
      <c r="B488" s="33"/>
      <c r="C488" s="38"/>
      <c r="D488" s="33"/>
      <c r="E488" s="39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7" t="str">
        <f>'SIC - FLOW! - Solicitudes BOFU '!B176</f>
        <v>2229@enerluz.es</v>
      </c>
      <c r="B489" s="33"/>
      <c r="C489" s="38"/>
      <c r="D489" s="33"/>
      <c r="E489" s="39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7" t="str">
        <f>'SIC - FLOW! - Solicitudes BOFU '!B177</f>
        <v>595@centroasturianobarcelona.com</v>
      </c>
      <c r="B490" s="33"/>
      <c r="C490" s="38"/>
      <c r="D490" s="33"/>
      <c r="E490" s="39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7" t="str">
        <f>'SIC - FLOW! - Solicitudes BOFU '!B178</f>
        <v>2252@energestic.es</v>
      </c>
      <c r="B491" s="33"/>
      <c r="C491" s="38"/>
      <c r="D491" s="33"/>
      <c r="E491" s="39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7" t="str">
        <f>'SIC - FLOW! - Solicitudes BOFU '!B179</f>
        <v>3098@soc.redcitroen.com</v>
      </c>
      <c r="B492" s="33"/>
      <c r="C492" s="38"/>
      <c r="D492" s="33"/>
      <c r="E492" s="39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7" t="str">
        <f>'SIC - FLOW! - Solicitudes BOFU '!B180</f>
        <v>3065@sarria.salesians.cat</v>
      </c>
      <c r="B493" s="33"/>
      <c r="C493" s="38"/>
      <c r="D493" s="33"/>
      <c r="E493" s="39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7" t="str">
        <f>'SIC - FLOW! - Solicitudes BOFU '!B181</f>
        <v>2283@hotmail.com</v>
      </c>
      <c r="B494" s="33"/>
      <c r="C494" s="38"/>
      <c r="D494" s="33"/>
      <c r="E494" s="39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7" t="str">
        <f>'SIC - FLOW! - Solicitudes BOFU '!B182</f>
        <v>1659@orpoint.com</v>
      </c>
      <c r="B495" s="33"/>
      <c r="C495" s="38"/>
      <c r="D495" s="33"/>
      <c r="E495" s="39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7" t="str">
        <f>'SIC - FLOW! - Solicitudes BOFU '!B183</f>
        <v>2289@hotmail.com</v>
      </c>
      <c r="B496" s="33"/>
      <c r="C496" s="38"/>
      <c r="D496" s="33"/>
      <c r="E496" s="39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7" t="str">
        <f>'SIC - FLOW! - Solicitudes BOFU '!B184</f>
        <v>2311@deluxson.com</v>
      </c>
      <c r="B497" s="33"/>
      <c r="C497" s="38"/>
      <c r="D497" s="33"/>
      <c r="E497" s="39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7" t="str">
        <f>'SIC - FLOW! - Solicitudes BOFU '!B185</f>
        <v>2329@hotmail.com</v>
      </c>
      <c r="B498" s="33"/>
      <c r="C498" s="38"/>
      <c r="D498" s="33"/>
      <c r="E498" s="39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7" t="str">
        <f>'SIC - FLOW! - Solicitudes BOFU '!B186</f>
        <v>2372@gmail.com</v>
      </c>
      <c r="B499" s="33"/>
      <c r="C499" s="38"/>
      <c r="D499" s="33"/>
      <c r="E499" s="39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7" t="str">
        <f>'SIC - FLOW! - Solicitudes BOFU '!B187</f>
        <v>1414@gmail.com</v>
      </c>
      <c r="B500" s="33"/>
      <c r="C500" s="38"/>
      <c r="D500" s="33"/>
      <c r="E500" s="39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7" t="str">
        <f>'SIC - FLOW! - Solicitudes BOFU '!B188</f>
        <v>2388@gmail.com</v>
      </c>
      <c r="B501" s="33"/>
      <c r="C501" s="38"/>
      <c r="D501" s="33"/>
      <c r="E501" s="39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7" t="str">
        <f>'SIC - FLOW! - Solicitudes BOFU '!B189</f>
        <v>1826@gestionservicios.com</v>
      </c>
      <c r="B502" s="33"/>
      <c r="C502" s="38"/>
      <c r="D502" s="33"/>
      <c r="E502" s="39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7" t="str">
        <f>'SIC - FLOW! - Solicitudes BOFU '!B190</f>
        <v>925@eco-voltaica.com</v>
      </c>
      <c r="B503" s="33"/>
      <c r="C503" s="38"/>
      <c r="D503" s="33"/>
      <c r="E503" s="39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7" t="str">
        <f>'SIC - FLOW! - Solicitudes BOFU '!B191</f>
        <v>2338@gmail.com</v>
      </c>
      <c r="B504" s="33"/>
      <c r="C504" s="38"/>
      <c r="D504" s="33"/>
      <c r="E504" s="39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7" t="str">
        <f>'SIC - FLOW! - Solicitudes BOFU '!B192</f>
        <v>2408@me.com</v>
      </c>
      <c r="B505" s="33"/>
      <c r="C505" s="38"/>
      <c r="D505" s="33"/>
      <c r="E505" s="39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7" t="str">
        <f>'SIC - FLOW! - Solicitudes BOFU '!B193</f>
        <v>700@gmail.com</v>
      </c>
      <c r="B506" s="33"/>
      <c r="C506" s="38"/>
      <c r="D506" s="33"/>
      <c r="E506" s="39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7" t="str">
        <f>'SIC - FLOW! - Solicitudes BOFU '!B194</f>
        <v>2330@gmail.com</v>
      </c>
      <c r="B507" s="33"/>
      <c r="C507" s="38"/>
      <c r="D507" s="33"/>
      <c r="E507" s="39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7" t="str">
        <f>'SIC - FLOW! - Solicitudes BOFU '!B195</f>
        <v>2498@adtelcom.es</v>
      </c>
      <c r="B508" s="33"/>
      <c r="C508" s="38"/>
      <c r="D508" s="33"/>
      <c r="E508" s="39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7" t="str">
        <f>'SIC - FLOW! - Solicitudes BOFU '!B196</f>
        <v>1687@gestilar.com</v>
      </c>
      <c r="B509" s="33"/>
      <c r="C509" s="38"/>
      <c r="D509" s="33"/>
      <c r="E509" s="39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7" t="str">
        <f>'SIC - FLOW! - Solicitudes BOFU '!B197</f>
        <v>2440@imanzanera.com</v>
      </c>
      <c r="B510" s="33"/>
      <c r="C510" s="38"/>
      <c r="D510" s="33"/>
      <c r="E510" s="39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7" t="str">
        <f>'SIC - FLOW! - Solicitudes BOFU '!B198</f>
        <v>2442@gmail.com</v>
      </c>
      <c r="B511" s="33"/>
      <c r="C511" s="38"/>
      <c r="D511" s="33"/>
      <c r="E511" s="39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7" t="str">
        <f>'SIC - FLOW! - Solicitudes BOFU '!B199</f>
        <v>3089@yahoo.es</v>
      </c>
      <c r="B512" s="33"/>
      <c r="C512" s="38"/>
      <c r="D512" s="33"/>
      <c r="E512" s="39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7" t="str">
        <f>'SIC - FLOW! - Solicitudes BOFU '!B200</f>
        <v>2444@gmail.com</v>
      </c>
      <c r="B513" s="33"/>
      <c r="C513" s="38"/>
      <c r="D513" s="33"/>
      <c r="E513" s="39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7" t="str">
        <f>'SIC - FLOW! - Solicitudes BOFU '!B201</f>
        <v>3096@hotmail.com</v>
      </c>
      <c r="B514" s="33"/>
      <c r="C514" s="38"/>
      <c r="D514" s="33"/>
      <c r="E514" s="39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7" t="str">
        <f>'SIC - FLOW! - Solicitudes BOFU '!B202</f>
        <v>416@dominguezelectricidad.es</v>
      </c>
      <c r="B515" s="33"/>
      <c r="C515" s="38"/>
      <c r="D515" s="33"/>
      <c r="E515" s="39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7" t="str">
        <f>'SIC - FLOW! - Solicitudes BOFU '!B203</f>
        <v>1188@gmail.com</v>
      </c>
      <c r="B516" s="33"/>
      <c r="C516" s="33"/>
      <c r="D516" s="33"/>
      <c r="E516" s="39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7" t="str">
        <f>'SIC - FLOW! - Solicitudes BOFU '!B204</f>
        <v>2483@gmail.com</v>
      </c>
      <c r="B517" s="33"/>
      <c r="C517" s="33"/>
      <c r="D517" s="33"/>
      <c r="E517" s="39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7" t="str">
        <f>'SIC - FLOW! - Solicitudes BOFU '!B205</f>
        <v>654@staperpetua.cat</v>
      </c>
      <c r="B518" s="33"/>
      <c r="C518" s="33"/>
      <c r="D518" s="33"/>
      <c r="E518" s="39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7" t="str">
        <f>'SIC - FLOW! - Solicitudes BOFU '!B206</f>
        <v>2490@mantenencies.com</v>
      </c>
      <c r="B519" s="33"/>
      <c r="C519" s="33"/>
      <c r="D519" s="33"/>
      <c r="E519" s="39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7" t="str">
        <f>'SIC - FLOW! - Solicitudes BOFU '!B207</f>
        <v>3130@gmail.com</v>
      </c>
      <c r="B520" s="33"/>
      <c r="C520" s="33"/>
      <c r="D520" s="33"/>
      <c r="E520" s="39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7" t="str">
        <f>'SIC - FLOW! - Solicitudes BOFU '!B208</f>
        <v>3133@danfar.com</v>
      </c>
      <c r="B521" s="33"/>
      <c r="C521" s="33"/>
      <c r="D521" s="33"/>
      <c r="E521" s="39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7" t="str">
        <f>'SIC - FLOW! - Solicitudes BOFU '!B209</f>
        <v>625@hotmail.com</v>
      </c>
      <c r="B522" s="33"/>
      <c r="C522" s="33"/>
      <c r="D522" s="33"/>
      <c r="E522" s="39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7" t="str">
        <f>'SIC - FLOW! - Solicitudes BOFU '!B210</f>
        <v>1377@hotmail.com</v>
      </c>
      <c r="B523" s="33"/>
      <c r="C523" s="33"/>
      <c r="D523" s="33"/>
      <c r="E523" s="39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7" t="str">
        <f>'SIC - FLOW! - Solicitudes BOFU '!B211</f>
        <v>2531@arquitecturaygestion.com</v>
      </c>
      <c r="B524" s="33"/>
      <c r="C524" s="33"/>
      <c r="D524" s="33"/>
      <c r="E524" s="39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7" t="str">
        <f>'SIC - FLOW! - Solicitudes BOFU '!B212</f>
        <v>2530@galimar.com.es</v>
      </c>
      <c r="B525" s="33"/>
      <c r="C525" s="33"/>
      <c r="D525" s="33"/>
      <c r="E525" s="39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7" t="str">
        <f>'SIC - FLOW! - Solicitudes BOFU '!B213</f>
        <v>1510@adelanteenergia.es</v>
      </c>
      <c r="B526" s="33"/>
      <c r="C526" s="33"/>
      <c r="D526" s="33"/>
      <c r="E526" s="39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7" t="str">
        <f>'SIC - FLOW! - Solicitudes BOFU '!B214</f>
        <v>3139@coitt.es</v>
      </c>
      <c r="B527" s="33"/>
      <c r="C527" s="33"/>
      <c r="D527" s="33"/>
      <c r="E527" s="39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7" t="str">
        <f>'SIC - FLOW! - Solicitudes BOFU '!B215</f>
        <v>2560@gmail.com</v>
      </c>
      <c r="B528" s="33"/>
      <c r="C528" s="33"/>
      <c r="D528" s="33"/>
      <c r="E528" s="39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7" t="str">
        <f>'SIC - FLOW! - Solicitudes BOFU '!B216</f>
        <v>4731@hotmail.com</v>
      </c>
      <c r="B529" s="33"/>
      <c r="C529" s="33"/>
      <c r="D529" s="33"/>
      <c r="E529" s="39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7" t="str">
        <f>'SIC - FLOW! - Solicitudes BOFU '!B217</f>
        <v>2607@hotmail.com</v>
      </c>
      <c r="B530" s="33"/>
      <c r="C530" s="33"/>
      <c r="D530" s="33"/>
      <c r="E530" s="39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7" t="str">
        <f>'SIC - FLOW! - Solicitudes BOFU '!B218</f>
        <v>2619@gmail.com</v>
      </c>
      <c r="B531" s="33"/>
      <c r="C531" s="33"/>
      <c r="D531" s="33"/>
      <c r="E531" s="39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7" t="str">
        <f>'SIC - FLOW! - Solicitudes BOFU '!B219</f>
        <v>862@fpcm.es</v>
      </c>
      <c r="B532" s="33"/>
      <c r="C532" s="33"/>
      <c r="D532" s="33"/>
      <c r="E532" s="41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7" t="str">
        <f>'SIC - FLOW! - Solicitudes BOFU '!B220</f>
        <v>2664@gmail.com</v>
      </c>
      <c r="B533" s="33"/>
      <c r="C533" s="33"/>
      <c r="D533" s="33"/>
      <c r="E533" s="41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7" t="str">
        <f>'SIC - FLOW! - Solicitudes BOFU '!B221</f>
        <v>1104@gmail.com</v>
      </c>
      <c r="B534" s="33"/>
      <c r="C534" s="33"/>
      <c r="D534" s="33"/>
      <c r="E534" s="41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7" t="str">
        <f>'SIC - FLOW! - Solicitudes BOFU '!B222</f>
        <v>3148@gmail.com</v>
      </c>
      <c r="B535" s="33"/>
      <c r="C535" s="33"/>
      <c r="D535" s="33"/>
      <c r="E535" s="41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7" t="str">
        <f>'SIC - FLOW! - Solicitudes BOFU '!B223</f>
        <v>3156@gmail.com</v>
      </c>
      <c r="B536" s="33"/>
      <c r="C536" s="33"/>
      <c r="D536" s="33"/>
      <c r="E536" s="41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7" t="str">
        <f>'SIC - FLOW! - Solicitudes BOFU '!B224</f>
        <v>3157@hotmail.com</v>
      </c>
      <c r="B537" s="33"/>
      <c r="C537" s="33"/>
      <c r="D537" s="33"/>
      <c r="E537" s="41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7" t="str">
        <f>'SIC - FLOW! - Solicitudes BOFU '!B225</f>
        <v>2682@dipucuenca.es</v>
      </c>
      <c r="B538" s="33"/>
      <c r="C538" s="33"/>
      <c r="D538" s="33"/>
      <c r="E538" s="41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7" t="str">
        <f>'SIC - FLOW! - Solicitudes BOFU '!B226</f>
        <v>2683@live.fr</v>
      </c>
      <c r="B539" s="33"/>
      <c r="C539" s="33"/>
      <c r="D539" s="33"/>
      <c r="E539" s="41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7" t="str">
        <f>'SIC - FLOW! - Solicitudes BOFU '!B227</f>
        <v>2679@hotmail.com</v>
      </c>
      <c r="B540" s="33"/>
      <c r="C540" s="33"/>
      <c r="D540" s="33"/>
      <c r="E540" s="41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7" t="str">
        <f>'SIC - FLOW! - Solicitudes BOFU '!B228</f>
        <v>2684@hotmail.com</v>
      </c>
      <c r="B541" s="33"/>
      <c r="C541" s="33"/>
      <c r="D541" s="33"/>
      <c r="E541" s="41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7" t="str">
        <f>'SIC - FLOW! - Solicitudes BOFU '!B229</f>
        <v>3160@yahoo.com</v>
      </c>
      <c r="B542" s="33"/>
      <c r="C542" s="33"/>
      <c r="D542" s="33"/>
      <c r="E542" s="41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7" t="str">
        <f>'SIC - FLOW! - Solicitudes BOFU '!B230</f>
        <v>2810@sensorstecnics.net</v>
      </c>
      <c r="B543" s="33"/>
      <c r="C543" s="33"/>
      <c r="D543" s="33"/>
      <c r="E543" s="41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7" t="str">
        <f>'SIC - FLOW! - Solicitudes BOFU '!B231</f>
        <v>2703@hotmail.com</v>
      </c>
      <c r="B544" s="33"/>
      <c r="C544" s="33"/>
      <c r="D544" s="33"/>
      <c r="E544" s="41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7" t="str">
        <f>'SIC - FLOW! - Solicitudes BOFU '!B232</f>
        <v>2701@gmail.com</v>
      </c>
      <c r="B545" s="33"/>
      <c r="C545" s="33"/>
      <c r="D545" s="33"/>
      <c r="E545" s="41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7" t="str">
        <f>'SIC - FLOW! - Solicitudes BOFU '!B233</f>
        <v>649@yahoo.es</v>
      </c>
      <c r="B546" s="33"/>
      <c r="C546" s="33"/>
      <c r="D546" s="33"/>
      <c r="E546" s="41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7" t="str">
        <f>'SIC - FLOW! - Solicitudes BOFU '!B234</f>
        <v>2706@opportunity-one.com</v>
      </c>
      <c r="B547" s="33"/>
      <c r="C547" s="33"/>
      <c r="D547" s="33"/>
      <c r="E547" s="41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7" t="str">
        <f>'SIC - FLOW! - Solicitudes BOFU '!B235</f>
        <v>2749@gmail.com</v>
      </c>
      <c r="B548" s="33"/>
      <c r="C548" s="33"/>
      <c r="D548" s="33"/>
      <c r="E548" s="41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7" t="str">
        <f>'SIC - FLOW! - Solicitudes BOFU '!B236</f>
        <v>1295@hotmail.es</v>
      </c>
      <c r="B549" s="33"/>
      <c r="C549" s="33"/>
      <c r="D549" s="33"/>
      <c r="E549" s="41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7" t="str">
        <f>'SIC - FLOW! - Solicitudes BOFU '!B237</f>
        <v>3193@metalux.es</v>
      </c>
      <c r="B550" s="33"/>
      <c r="C550" s="33"/>
      <c r="D550" s="33"/>
      <c r="E550" s="41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7" t="str">
        <f>'SIC - FLOW! - Solicitudes BOFU '!B238</f>
        <v>2764@gmail.com</v>
      </c>
      <c r="B551" s="33"/>
      <c r="C551" s="33"/>
      <c r="D551" s="33"/>
      <c r="E551" s="41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7" t="str">
        <f>'SIC - FLOW! - Solicitudes BOFU '!B239</f>
        <v>3199@gmail.com</v>
      </c>
      <c r="B552" s="33"/>
      <c r="C552" s="33"/>
      <c r="D552" s="33"/>
      <c r="E552" s="41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7" t="str">
        <f>'SIC - FLOW! - Solicitudes BOFU '!B240</f>
        <v>2787@grupocematel.com</v>
      </c>
      <c r="B553" s="33"/>
      <c r="C553" s="33"/>
      <c r="D553" s="33"/>
      <c r="E553" s="41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7" t="str">
        <f>'SIC - FLOW! - Solicitudes BOFU '!B241</f>
        <v>834@gmail.com</v>
      </c>
      <c r="B554" s="33"/>
      <c r="C554" s="33"/>
      <c r="D554" s="33"/>
      <c r="E554" s="41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7" t="str">
        <f>'SIC - FLOW! - Solicitudes BOFU '!B242</f>
        <v>2793@gmail.com</v>
      </c>
      <c r="B555" s="33"/>
      <c r="C555" s="33"/>
      <c r="D555" s="33"/>
      <c r="E555" s="41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7" t="str">
        <f>'SIC - FLOW! - Solicitudes BOFU '!B243</f>
        <v>1697@yahoo.es</v>
      </c>
      <c r="B556" s="33"/>
      <c r="C556" s="33"/>
      <c r="D556" s="33"/>
      <c r="E556" s="41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7" t="str">
        <f>'SIC - FLOW! - Solicitudes BOFU '!B244</f>
        <v>1079@outlook.es</v>
      </c>
      <c r="B557" s="33"/>
      <c r="C557" s="33"/>
      <c r="D557" s="33"/>
      <c r="E557" s="41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7" t="str">
        <f>'SIC - FLOW! - Solicitudes BOFU '!B245</f>
        <v>2828@coaatz.org</v>
      </c>
      <c r="B558" s="33"/>
      <c r="C558" s="33"/>
      <c r="D558" s="33"/>
      <c r="E558" s="41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7" t="str">
        <f>'SIC - FLOW! - Solicitudes BOFU '!B246</f>
        <v>2824@gmail.com</v>
      </c>
      <c r="B559" s="33"/>
      <c r="C559" s="33"/>
      <c r="D559" s="33"/>
      <c r="E559" s="41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7" t="str">
        <f>'SIC - FLOW! - Solicitudes BOFU '!B247</f>
        <v>4729@ono.com</v>
      </c>
      <c r="B560" s="33"/>
      <c r="C560" s="33"/>
      <c r="D560" s="33"/>
      <c r="E560" s="41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7" t="str">
        <f>'SIC - FLOW! - Solicitudes BOFU '!B248</f>
        <v>3240@gmail.com</v>
      </c>
      <c r="B561" s="33"/>
      <c r="C561" s="33"/>
      <c r="D561" s="33"/>
      <c r="E561" s="41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7" t="str">
        <f>'SIC - FLOW! - Solicitudes BOFU '!B249</f>
        <v>2856@eurocabos.es</v>
      </c>
      <c r="B562" s="33"/>
      <c r="C562" s="33"/>
      <c r="D562" s="33"/>
      <c r="E562" s="41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7" t="str">
        <f>'SIC - FLOW! - Solicitudes BOFU '!B250</f>
        <v>2857@gmail.com</v>
      </c>
      <c r="B563" s="33"/>
      <c r="C563" s="33"/>
      <c r="D563" s="33"/>
      <c r="E563" s="41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7" t="str">
        <f>'SIC - FLOW! - Solicitudes BOFU '!B251</f>
        <v>2844@alamos.es</v>
      </c>
      <c r="B564" s="33"/>
      <c r="C564" s="33"/>
      <c r="D564" s="33"/>
      <c r="E564" s="41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7" t="str">
        <f>'SIC - FLOW! - Solicitudes BOFU '!B252</f>
        <v>1021@proturhotels.com</v>
      </c>
      <c r="B565" s="33"/>
      <c r="C565" s="33"/>
      <c r="D565" s="33"/>
      <c r="E565" s="41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7" t="str">
        <f>'SIC - FLOW! - Solicitudes BOFU '!B253</f>
        <v>2862@gmail.com</v>
      </c>
      <c r="B566" s="33"/>
      <c r="C566" s="33"/>
      <c r="D566" s="33"/>
      <c r="E566" s="41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7" t="str">
        <f>'SIC - FLOW! - Solicitudes BOFU '!B254</f>
        <v>2874@broa.net</v>
      </c>
      <c r="B567" s="33"/>
      <c r="C567" s="33"/>
      <c r="D567" s="33"/>
      <c r="E567" s="41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7" t="str">
        <f>'SIC - FLOW! - Solicitudes BOFU '!B255</f>
        <v>2871@assinsta.com</v>
      </c>
      <c r="B568" s="33"/>
      <c r="C568" s="33"/>
      <c r="D568" s="33"/>
      <c r="E568" s="41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7" t="str">
        <f>'SIC - FLOW! - Solicitudes BOFU '!B256</f>
        <v>2879@hbalcells.com</v>
      </c>
      <c r="B569" s="33"/>
      <c r="C569" s="33"/>
      <c r="D569" s="33"/>
      <c r="E569" s="41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7" t="str">
        <f>'SIC - FLOW! - Solicitudes BOFU '!B257</f>
        <v>1628@solbesingenieros.com</v>
      </c>
      <c r="B570" s="33"/>
      <c r="C570" s="33"/>
      <c r="D570" s="33"/>
      <c r="E570" s="41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7" t="str">
        <f>'SIC - FLOW! - Solicitudes BOFU '!B258</f>
        <v>3284@efimarket.com</v>
      </c>
      <c r="B571" s="33"/>
      <c r="C571" s="33"/>
      <c r="D571" s="33"/>
      <c r="E571" s="41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7" t="str">
        <f>'SIC - FLOW! - Solicitudes BOFU '!B259</f>
        <v>2899@gmail.com</v>
      </c>
      <c r="B572" s="33"/>
      <c r="C572" s="33"/>
      <c r="D572" s="33"/>
      <c r="E572" s="41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7" t="str">
        <f>'SIC - FLOW! - Solicitudes BOFU '!B260</f>
        <v>1654@movinetenergia.com</v>
      </c>
      <c r="B573" s="33"/>
      <c r="C573" s="33"/>
      <c r="D573" s="33"/>
      <c r="E573" s="41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7" t="str">
        <f>'SIC - FLOW! - Solicitudes BOFU '!B261</f>
        <v>2914@aldaproyectos.es</v>
      </c>
      <c r="B574" s="33"/>
      <c r="C574" s="33"/>
      <c r="D574" s="33"/>
      <c r="E574" s="41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7" t="str">
        <f>'SIC - FLOW! - Solicitudes BOFU '!B262</f>
        <v>2916@diazrojo.com</v>
      </c>
      <c r="B575" s="33"/>
      <c r="C575" s="33"/>
      <c r="D575" s="33"/>
      <c r="E575" s="41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7" t="str">
        <f>'SIC - FLOW! - Solicitudes BOFU '!B263</f>
        <v>2919@gmail.com</v>
      </c>
      <c r="B576" s="33"/>
      <c r="C576" s="33"/>
      <c r="D576" s="33"/>
      <c r="E576" s="41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7" t="str">
        <f>'SIC - FLOW! - Solicitudes BOFU '!B264</f>
        <v>2922@tecnicanorte.com</v>
      </c>
      <c r="B577" s="33"/>
      <c r="C577" s="33"/>
      <c r="D577" s="33"/>
      <c r="E577" s="41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7" t="str">
        <f>'SIC - FLOW! - Solicitudes BOFU '!B265</f>
        <v>3297@hotmail.com</v>
      </c>
      <c r="B578" s="33"/>
      <c r="C578" s="33"/>
      <c r="D578" s="33"/>
      <c r="E578" s="41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7" t="str">
        <f>'SIC - FLOW! - Solicitudes BOFU '!B266</f>
        <v>2931@telefonica.net</v>
      </c>
      <c r="B579" s="33"/>
      <c r="C579" s="33"/>
      <c r="D579" s="33"/>
      <c r="E579" s="41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7" t="str">
        <f>'SIC - FLOW! - Solicitudes BOFU '!B267</f>
        <v>2935@hotellosllanos.es</v>
      </c>
      <c r="B580" s="33"/>
      <c r="C580" s="33"/>
      <c r="D580" s="33"/>
      <c r="E580" s="41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7" t="str">
        <f>'SIC - FLOW! - Solicitudes BOFU '!B268</f>
        <v>3322@gmail.com</v>
      </c>
      <c r="B581" s="33"/>
      <c r="C581" s="33"/>
      <c r="D581" s="33"/>
      <c r="E581" s="41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7" t="str">
        <f>'SIC - FLOW! - Solicitudes BOFU '!B269</f>
        <v>2950@telematel.com</v>
      </c>
      <c r="B582" s="33"/>
      <c r="C582" s="33"/>
      <c r="D582" s="33"/>
      <c r="E582" s="41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7" t="str">
        <f>'SIC - FLOW! - Solicitudes BOFU '!B270</f>
        <v>2958@gmail.com</v>
      </c>
      <c r="B583" s="33"/>
      <c r="C583" s="33"/>
      <c r="D583" s="33"/>
      <c r="E583" s="41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7" t="str">
        <f>'SIC - FLOW! - Solicitudes BOFU '!B271</f>
        <v>2970@sonepar.es</v>
      </c>
      <c r="B584" s="33"/>
      <c r="C584" s="33"/>
      <c r="D584" s="33"/>
      <c r="E584" s="41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7" t="str">
        <f>'SIC - FLOW! - Solicitudes BOFU '!B272</f>
        <v>1516@gmail.com</v>
      </c>
      <c r="B585" s="33"/>
      <c r="C585" s="33"/>
      <c r="D585" s="33"/>
      <c r="E585" s="41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7" t="str">
        <f>'SIC - FLOW! - Solicitudes BOFU '!B273</f>
        <v>2966@gmail.com</v>
      </c>
      <c r="B586" s="33"/>
      <c r="C586" s="33"/>
      <c r="D586" s="33"/>
      <c r="E586" s="41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7" t="str">
        <f>'SIC - FLOW! - Solicitudes BOFU '!B274</f>
        <v>1607@talesingenieria.es</v>
      </c>
      <c r="B587" s="33"/>
      <c r="C587" s="33"/>
      <c r="D587" s="33"/>
      <c r="E587" s="41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7" t="str">
        <f>'SIC - FLOW! - Solicitudes BOFU '!B275</f>
        <v>1237@gmail.com</v>
      </c>
      <c r="B588" s="33"/>
      <c r="C588" s="33"/>
      <c r="D588" s="33"/>
      <c r="E588" s="41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7" t="str">
        <f>'SIC - FLOW! - Solicitudes BOFU '!B276</f>
        <v>1498@gmail.com</v>
      </c>
      <c r="B589" s="33"/>
      <c r="C589" s="33"/>
      <c r="D589" s="33"/>
      <c r="E589" s="41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7" t="str">
        <f>'SIC - FLOW! - Solicitudes BOFU '!B277</f>
        <v>2983@hotmail.com</v>
      </c>
      <c r="B590" s="33"/>
      <c r="C590" s="33"/>
      <c r="D590" s="33"/>
      <c r="E590" s="41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42"/>
      <c r="B591" s="33"/>
      <c r="C591" s="33"/>
      <c r="D591" s="33"/>
      <c r="E591" s="41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42"/>
      <c r="B592" s="33"/>
      <c r="C592" s="33"/>
      <c r="D592" s="33"/>
      <c r="E592" s="41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42"/>
      <c r="B593" s="33"/>
      <c r="C593" s="33"/>
      <c r="D593" s="33"/>
      <c r="E593" s="41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42"/>
      <c r="B594" s="33"/>
      <c r="C594" s="33"/>
      <c r="D594" s="33"/>
      <c r="E594" s="41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42"/>
      <c r="B595" s="33"/>
      <c r="C595" s="33"/>
      <c r="D595" s="33"/>
      <c r="E595" s="41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42"/>
      <c r="B596" s="33"/>
      <c r="C596" s="33"/>
      <c r="D596" s="33"/>
      <c r="E596" s="41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42"/>
      <c r="B597" s="33"/>
      <c r="C597" s="33"/>
      <c r="D597" s="33"/>
      <c r="E597" s="41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42"/>
      <c r="B598" s="33"/>
      <c r="C598" s="33"/>
      <c r="D598" s="33"/>
      <c r="E598" s="41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42"/>
      <c r="B599" s="33"/>
      <c r="C599" s="33"/>
      <c r="D599" s="33"/>
      <c r="E599" s="41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42"/>
      <c r="B600" s="33"/>
      <c r="C600" s="33"/>
      <c r="D600" s="33"/>
      <c r="E600" s="41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42"/>
      <c r="B601" s="33"/>
      <c r="C601" s="33"/>
      <c r="D601" s="33"/>
      <c r="E601" s="41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42"/>
      <c r="B602" s="33"/>
      <c r="C602" s="33"/>
      <c r="D602" s="33"/>
      <c r="E602" s="41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42"/>
      <c r="B603" s="33"/>
      <c r="C603" s="33"/>
      <c r="D603" s="33"/>
      <c r="E603" s="41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42"/>
      <c r="B604" s="33"/>
      <c r="C604" s="33"/>
      <c r="D604" s="33"/>
      <c r="E604" s="41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42"/>
      <c r="B605" s="33"/>
      <c r="C605" s="33"/>
      <c r="D605" s="33"/>
      <c r="E605" s="41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42"/>
      <c r="B606" s="33"/>
      <c r="C606" s="33"/>
      <c r="D606" s="33"/>
      <c r="E606" s="41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42"/>
      <c r="B607" s="33"/>
      <c r="C607" s="33"/>
      <c r="D607" s="33"/>
      <c r="E607" s="41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42"/>
      <c r="B608" s="33"/>
      <c r="C608" s="33"/>
      <c r="D608" s="33"/>
      <c r="E608" s="41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42"/>
      <c r="B609" s="33"/>
      <c r="C609" s="33"/>
      <c r="D609" s="33"/>
      <c r="E609" s="41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42"/>
      <c r="B610" s="33"/>
      <c r="C610" s="33"/>
      <c r="D610" s="33"/>
      <c r="E610" s="41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42"/>
      <c r="B611" s="33"/>
      <c r="C611" s="33"/>
      <c r="D611" s="33"/>
      <c r="E611" s="41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42"/>
      <c r="B612" s="33"/>
      <c r="C612" s="33"/>
      <c r="D612" s="33"/>
      <c r="E612" s="41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42"/>
      <c r="B613" s="33"/>
      <c r="C613" s="33"/>
      <c r="D613" s="33"/>
      <c r="E613" s="41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42"/>
      <c r="B614" s="33"/>
      <c r="C614" s="33"/>
      <c r="D614" s="33"/>
      <c r="E614" s="41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42"/>
      <c r="B615" s="33"/>
      <c r="C615" s="33"/>
      <c r="D615" s="33"/>
      <c r="E615" s="41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42"/>
      <c r="B616" s="33"/>
      <c r="C616" s="33"/>
      <c r="D616" s="33"/>
      <c r="E616" s="41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42"/>
      <c r="B617" s="33"/>
      <c r="C617" s="33"/>
      <c r="D617" s="33"/>
      <c r="E617" s="41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42"/>
      <c r="B618" s="33"/>
      <c r="C618" s="33"/>
      <c r="D618" s="33"/>
      <c r="E618" s="41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42"/>
      <c r="B619" s="33"/>
      <c r="C619" s="33"/>
      <c r="D619" s="33"/>
      <c r="E619" s="41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42"/>
      <c r="B620" s="33"/>
      <c r="C620" s="33"/>
      <c r="D620" s="33"/>
      <c r="E620" s="41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42"/>
      <c r="B621" s="33"/>
      <c r="C621" s="33"/>
      <c r="D621" s="33"/>
      <c r="E621" s="41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42"/>
      <c r="B622" s="33"/>
      <c r="C622" s="33"/>
      <c r="D622" s="33"/>
      <c r="E622" s="41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42"/>
      <c r="B623" s="33"/>
      <c r="C623" s="33"/>
      <c r="D623" s="33"/>
      <c r="E623" s="41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42"/>
      <c r="B624" s="33"/>
      <c r="C624" s="33"/>
      <c r="D624" s="33"/>
      <c r="E624" s="41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42"/>
      <c r="B625" s="33"/>
      <c r="C625" s="33"/>
      <c r="D625" s="33"/>
      <c r="E625" s="41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42"/>
      <c r="B626" s="33"/>
      <c r="C626" s="33"/>
      <c r="D626" s="33"/>
      <c r="E626" s="41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42"/>
      <c r="B627" s="33"/>
      <c r="C627" s="33"/>
      <c r="D627" s="33"/>
      <c r="E627" s="41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42"/>
      <c r="B628" s="33"/>
      <c r="C628" s="33"/>
      <c r="D628" s="33"/>
      <c r="E628" s="41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42"/>
      <c r="B629" s="33"/>
      <c r="C629" s="33"/>
      <c r="D629" s="33"/>
      <c r="E629" s="41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42"/>
      <c r="B630" s="33"/>
      <c r="C630" s="33"/>
      <c r="D630" s="33"/>
      <c r="E630" s="41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42"/>
      <c r="B631" s="33"/>
      <c r="C631" s="33"/>
      <c r="D631" s="33"/>
      <c r="E631" s="41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42"/>
      <c r="B632" s="33"/>
      <c r="C632" s="33"/>
      <c r="D632" s="33"/>
      <c r="E632" s="41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42"/>
      <c r="B633" s="33"/>
      <c r="C633" s="33"/>
      <c r="D633" s="33"/>
      <c r="E633" s="41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42"/>
      <c r="B634" s="33"/>
      <c r="C634" s="33"/>
      <c r="D634" s="33"/>
      <c r="E634" s="41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42"/>
      <c r="B635" s="33"/>
      <c r="C635" s="33"/>
      <c r="D635" s="33"/>
      <c r="E635" s="41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42"/>
      <c r="B636" s="33"/>
      <c r="C636" s="33"/>
      <c r="D636" s="33"/>
      <c r="E636" s="41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42"/>
      <c r="B637" s="33"/>
      <c r="C637" s="33"/>
      <c r="D637" s="33"/>
      <c r="E637" s="41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42"/>
      <c r="B638" s="33"/>
      <c r="C638" s="33"/>
      <c r="D638" s="33"/>
      <c r="E638" s="41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42"/>
      <c r="B639" s="33"/>
      <c r="C639" s="33"/>
      <c r="D639" s="33"/>
      <c r="E639" s="41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42"/>
      <c r="B640" s="33"/>
      <c r="C640" s="33"/>
      <c r="D640" s="33"/>
      <c r="E640" s="41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42"/>
      <c r="B641" s="33"/>
      <c r="C641" s="33"/>
      <c r="D641" s="33"/>
      <c r="E641" s="41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42"/>
      <c r="B642" s="33"/>
      <c r="C642" s="33"/>
      <c r="D642" s="33"/>
      <c r="E642" s="41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42"/>
      <c r="B643" s="33"/>
      <c r="C643" s="33"/>
      <c r="D643" s="33"/>
      <c r="E643" s="41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42"/>
      <c r="B644" s="33"/>
      <c r="C644" s="33"/>
      <c r="D644" s="33"/>
      <c r="E644" s="41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42"/>
      <c r="B645" s="33"/>
      <c r="C645" s="33"/>
      <c r="D645" s="33"/>
      <c r="E645" s="41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42"/>
      <c r="B646" s="33"/>
      <c r="C646" s="33"/>
      <c r="D646" s="33"/>
      <c r="E646" s="41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42"/>
      <c r="B647" s="33"/>
      <c r="C647" s="33"/>
      <c r="D647" s="33"/>
      <c r="E647" s="41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42"/>
      <c r="B648" s="33"/>
      <c r="C648" s="33"/>
      <c r="D648" s="33"/>
      <c r="E648" s="41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42"/>
      <c r="B649" s="33"/>
      <c r="C649" s="33"/>
      <c r="D649" s="33"/>
      <c r="E649" s="41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42"/>
      <c r="B650" s="33"/>
      <c r="C650" s="33"/>
      <c r="D650" s="33"/>
      <c r="E650" s="41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42"/>
      <c r="B651" s="33"/>
      <c r="C651" s="33"/>
      <c r="D651" s="33"/>
      <c r="E651" s="41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42"/>
      <c r="B652" s="33"/>
      <c r="C652" s="33"/>
      <c r="D652" s="33"/>
      <c r="E652" s="41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42"/>
      <c r="B653" s="33"/>
      <c r="C653" s="33"/>
      <c r="D653" s="33"/>
      <c r="E653" s="41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42"/>
      <c r="B654" s="33"/>
      <c r="C654" s="33"/>
      <c r="D654" s="33"/>
      <c r="E654" s="41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42"/>
      <c r="B655" s="33"/>
      <c r="C655" s="33"/>
      <c r="D655" s="33"/>
      <c r="E655" s="41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42"/>
      <c r="B656" s="33"/>
      <c r="C656" s="33"/>
      <c r="D656" s="33"/>
      <c r="E656" s="41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42"/>
      <c r="B657" s="33"/>
      <c r="C657" s="33"/>
      <c r="D657" s="33"/>
      <c r="E657" s="41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42"/>
      <c r="B658" s="33"/>
      <c r="C658" s="33"/>
      <c r="D658" s="33"/>
      <c r="E658" s="41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42"/>
      <c r="B659" s="33"/>
      <c r="C659" s="33"/>
      <c r="D659" s="33"/>
      <c r="E659" s="41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42"/>
      <c r="B660" s="33"/>
      <c r="C660" s="33"/>
      <c r="D660" s="33"/>
      <c r="E660" s="41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42"/>
      <c r="B661" s="33"/>
      <c r="C661" s="33"/>
      <c r="D661" s="33"/>
      <c r="E661" s="41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42"/>
      <c r="B662" s="33"/>
      <c r="C662" s="33"/>
      <c r="D662" s="33"/>
      <c r="E662" s="41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42"/>
      <c r="B663" s="33"/>
      <c r="C663" s="33"/>
      <c r="D663" s="33"/>
      <c r="E663" s="41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42"/>
      <c r="B664" s="33"/>
      <c r="C664" s="33"/>
      <c r="D664" s="33"/>
      <c r="E664" s="41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42"/>
      <c r="B665" s="33"/>
      <c r="C665" s="33"/>
      <c r="D665" s="33"/>
      <c r="E665" s="41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42"/>
      <c r="B666" s="33"/>
      <c r="C666" s="33"/>
      <c r="D666" s="33"/>
      <c r="E666" s="41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42"/>
      <c r="B667" s="33"/>
      <c r="C667" s="33"/>
      <c r="D667" s="33"/>
      <c r="E667" s="41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42"/>
      <c r="B668" s="33"/>
      <c r="C668" s="33"/>
      <c r="D668" s="33"/>
      <c r="E668" s="41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42"/>
      <c r="B669" s="33"/>
      <c r="C669" s="33"/>
      <c r="D669" s="33"/>
      <c r="E669" s="41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42"/>
      <c r="B670" s="33"/>
      <c r="C670" s="33"/>
      <c r="D670" s="33"/>
      <c r="E670" s="41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42"/>
      <c r="B671" s="33"/>
      <c r="C671" s="33"/>
      <c r="D671" s="33"/>
      <c r="E671" s="41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42"/>
      <c r="B672" s="33"/>
      <c r="C672" s="33"/>
      <c r="D672" s="33"/>
      <c r="E672" s="41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42"/>
      <c r="B673" s="33"/>
      <c r="C673" s="33"/>
      <c r="D673" s="33"/>
      <c r="E673" s="41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42"/>
      <c r="B674" s="33"/>
      <c r="C674" s="33"/>
      <c r="D674" s="33"/>
      <c r="E674" s="41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42"/>
      <c r="B675" s="33"/>
      <c r="C675" s="33"/>
      <c r="D675" s="33"/>
      <c r="E675" s="41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42"/>
      <c r="B676" s="33"/>
      <c r="C676" s="33"/>
      <c r="D676" s="33"/>
      <c r="E676" s="41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42"/>
      <c r="B677" s="33"/>
      <c r="C677" s="33"/>
      <c r="D677" s="33"/>
      <c r="E677" s="41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42"/>
      <c r="B678" s="33"/>
      <c r="C678" s="33"/>
      <c r="D678" s="33"/>
      <c r="E678" s="41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42"/>
      <c r="B679" s="33"/>
      <c r="C679" s="33"/>
      <c r="D679" s="33"/>
      <c r="E679" s="41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42"/>
      <c r="B680" s="33"/>
      <c r="C680" s="33"/>
      <c r="D680" s="33"/>
      <c r="E680" s="41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42"/>
      <c r="B681" s="33"/>
      <c r="C681" s="33"/>
      <c r="D681" s="33"/>
      <c r="E681" s="41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42"/>
      <c r="B682" s="33"/>
      <c r="C682" s="33"/>
      <c r="D682" s="33"/>
      <c r="E682" s="41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42"/>
      <c r="B683" s="33"/>
      <c r="C683" s="33"/>
      <c r="D683" s="33"/>
      <c r="E683" s="41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42"/>
      <c r="B684" s="33"/>
      <c r="C684" s="33"/>
      <c r="D684" s="33"/>
      <c r="E684" s="41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42"/>
      <c r="B685" s="33"/>
      <c r="C685" s="33"/>
      <c r="D685" s="33"/>
      <c r="E685" s="41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42"/>
      <c r="B686" s="33"/>
      <c r="C686" s="33"/>
      <c r="D686" s="33"/>
      <c r="E686" s="41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42"/>
      <c r="B687" s="33"/>
      <c r="C687" s="33"/>
      <c r="D687" s="33"/>
      <c r="E687" s="41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42"/>
      <c r="B688" s="33"/>
      <c r="C688" s="33"/>
      <c r="D688" s="33"/>
      <c r="E688" s="41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42"/>
      <c r="B689" s="33"/>
      <c r="C689" s="33"/>
      <c r="D689" s="33"/>
      <c r="E689" s="41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42"/>
      <c r="B690" s="33"/>
      <c r="C690" s="33"/>
      <c r="D690" s="33"/>
      <c r="E690" s="41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42"/>
      <c r="B691" s="33"/>
      <c r="C691" s="33"/>
      <c r="D691" s="33"/>
      <c r="E691" s="41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42"/>
      <c r="B692" s="33"/>
      <c r="C692" s="33"/>
      <c r="D692" s="33"/>
      <c r="E692" s="41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42"/>
      <c r="B693" s="33"/>
      <c r="C693" s="33"/>
      <c r="D693" s="33"/>
      <c r="E693" s="41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42"/>
      <c r="B694" s="33"/>
      <c r="C694" s="33"/>
      <c r="D694" s="33"/>
      <c r="E694" s="41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42"/>
      <c r="B695" s="33"/>
      <c r="C695" s="33"/>
      <c r="D695" s="33"/>
      <c r="E695" s="41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42"/>
      <c r="B696" s="33"/>
      <c r="C696" s="33"/>
      <c r="D696" s="33"/>
      <c r="E696" s="41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42"/>
      <c r="B697" s="33"/>
      <c r="C697" s="33"/>
      <c r="D697" s="33"/>
      <c r="E697" s="41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42"/>
      <c r="B698" s="33"/>
      <c r="C698" s="33"/>
      <c r="D698" s="33"/>
      <c r="E698" s="41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42"/>
      <c r="B699" s="33"/>
      <c r="C699" s="33"/>
      <c r="D699" s="33"/>
      <c r="E699" s="41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42"/>
      <c r="B700" s="33"/>
      <c r="C700" s="33"/>
      <c r="D700" s="33"/>
      <c r="E700" s="41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42"/>
      <c r="B701" s="33"/>
      <c r="C701" s="33"/>
      <c r="D701" s="33"/>
      <c r="E701" s="41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42"/>
      <c r="B702" s="33"/>
      <c r="C702" s="33"/>
      <c r="D702" s="33"/>
      <c r="E702" s="41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42"/>
      <c r="B703" s="33"/>
      <c r="C703" s="33"/>
      <c r="D703" s="33"/>
      <c r="E703" s="41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42"/>
      <c r="B704" s="33"/>
      <c r="C704" s="33"/>
      <c r="D704" s="33"/>
      <c r="E704" s="41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42"/>
      <c r="B705" s="33"/>
      <c r="C705" s="33"/>
      <c r="D705" s="33"/>
      <c r="E705" s="41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42"/>
      <c r="B706" s="33"/>
      <c r="C706" s="33"/>
      <c r="D706" s="33"/>
      <c r="E706" s="41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42"/>
      <c r="B707" s="33"/>
      <c r="C707" s="33"/>
      <c r="D707" s="33"/>
      <c r="E707" s="41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42"/>
      <c r="B708" s="33"/>
      <c r="C708" s="33"/>
      <c r="D708" s="33"/>
      <c r="E708" s="41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42"/>
      <c r="B709" s="33"/>
      <c r="C709" s="33"/>
      <c r="D709" s="33"/>
      <c r="E709" s="41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42"/>
      <c r="B710" s="33"/>
      <c r="C710" s="33"/>
      <c r="D710" s="33"/>
      <c r="E710" s="41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42"/>
      <c r="B711" s="33"/>
      <c r="C711" s="33"/>
      <c r="D711" s="33"/>
      <c r="E711" s="41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42"/>
      <c r="B712" s="33"/>
      <c r="C712" s="33"/>
      <c r="D712" s="33"/>
      <c r="E712" s="41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42"/>
      <c r="B713" s="33"/>
      <c r="C713" s="33"/>
      <c r="D713" s="33"/>
      <c r="E713" s="41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42"/>
      <c r="B714" s="33"/>
      <c r="C714" s="33"/>
      <c r="D714" s="33"/>
      <c r="E714" s="41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42"/>
      <c r="B715" s="33"/>
      <c r="C715" s="33"/>
      <c r="D715" s="33"/>
      <c r="E715" s="41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42"/>
      <c r="B716" s="33"/>
      <c r="C716" s="33"/>
      <c r="D716" s="33"/>
      <c r="E716" s="41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42"/>
      <c r="B717" s="33"/>
      <c r="C717" s="33"/>
      <c r="D717" s="33"/>
      <c r="E717" s="41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42"/>
      <c r="B718" s="33"/>
      <c r="C718" s="33"/>
      <c r="D718" s="33"/>
      <c r="E718" s="41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42"/>
      <c r="B719" s="33"/>
      <c r="C719" s="33"/>
      <c r="D719" s="33"/>
      <c r="E719" s="41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42"/>
      <c r="B720" s="33"/>
      <c r="C720" s="33"/>
      <c r="D720" s="33"/>
      <c r="E720" s="41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42"/>
      <c r="B721" s="33"/>
      <c r="C721" s="33"/>
      <c r="D721" s="33"/>
      <c r="E721" s="41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42"/>
      <c r="B722" s="33"/>
      <c r="C722" s="33"/>
      <c r="D722" s="33"/>
      <c r="E722" s="41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42"/>
      <c r="B723" s="33"/>
      <c r="C723" s="33"/>
      <c r="D723" s="33"/>
      <c r="E723" s="41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42"/>
      <c r="B724" s="33"/>
      <c r="C724" s="33"/>
      <c r="D724" s="33"/>
      <c r="E724" s="41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42"/>
      <c r="B725" s="33"/>
      <c r="C725" s="33"/>
      <c r="D725" s="33"/>
      <c r="E725" s="41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42"/>
      <c r="B726" s="33"/>
      <c r="C726" s="33"/>
      <c r="D726" s="33"/>
      <c r="E726" s="41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42"/>
      <c r="B727" s="33"/>
      <c r="C727" s="33"/>
      <c r="D727" s="33"/>
      <c r="E727" s="41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42"/>
      <c r="B728" s="33"/>
      <c r="C728" s="33"/>
      <c r="D728" s="33"/>
      <c r="E728" s="41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42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42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42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42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42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42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42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42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42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42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42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42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42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42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42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42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42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42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42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42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42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40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40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40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40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40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40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40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40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40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40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40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40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40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40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40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40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40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40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40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40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40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40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40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40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40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40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40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40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40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40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40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40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40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40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40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40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40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40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40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40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40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2" width="12.63"/>
    <col customWidth="1" min="13" max="13" width="13.38"/>
    <col customWidth="1" min="14" max="15" width="12.63"/>
  </cols>
  <sheetData>
    <row r="1">
      <c r="K1" s="43"/>
      <c r="L1" s="44" t="s">
        <v>2053</v>
      </c>
      <c r="M1" s="44" t="s">
        <v>2054</v>
      </c>
      <c r="N1" s="44" t="s">
        <v>2</v>
      </c>
      <c r="O1" s="44" t="s">
        <v>2055</v>
      </c>
    </row>
    <row r="2">
      <c r="K2" s="14"/>
      <c r="L2" s="46" t="s">
        <v>2056</v>
      </c>
      <c r="M2" s="46" t="s">
        <v>1547</v>
      </c>
      <c r="N2" s="46" t="s">
        <v>2057</v>
      </c>
      <c r="O2" s="46">
        <f t="shared" ref="O2:O3" si="1">IF(C5="",0,C5)</f>
        <v>5</v>
      </c>
    </row>
    <row r="3">
      <c r="K3" s="47"/>
      <c r="L3" s="48" t="s">
        <v>2056</v>
      </c>
      <c r="M3" s="46" t="s">
        <v>2058</v>
      </c>
      <c r="N3" s="46" t="s">
        <v>2059</v>
      </c>
      <c r="O3" s="46">
        <f t="shared" si="1"/>
        <v>2</v>
      </c>
    </row>
    <row r="4">
      <c r="K4" s="14"/>
      <c r="L4" s="46" t="s">
        <v>2056</v>
      </c>
      <c r="M4" s="46" t="s">
        <v>1547</v>
      </c>
      <c r="N4" s="46" t="s">
        <v>6</v>
      </c>
      <c r="O4" s="46">
        <f t="shared" ref="O4:O8" si="2">IF(C9="",0,C9)</f>
        <v>0</v>
      </c>
    </row>
    <row r="5">
      <c r="K5" s="14"/>
      <c r="L5" s="46" t="s">
        <v>2056</v>
      </c>
      <c r="M5" s="46" t="s">
        <v>1547</v>
      </c>
      <c r="N5" s="48" t="s">
        <v>2061</v>
      </c>
      <c r="O5" s="46">
        <f t="shared" si="2"/>
        <v>0</v>
      </c>
    </row>
    <row r="6">
      <c r="K6" s="14"/>
      <c r="L6" s="46" t="s">
        <v>2056</v>
      </c>
      <c r="M6" s="46" t="s">
        <v>1547</v>
      </c>
      <c r="N6" s="48" t="s">
        <v>21</v>
      </c>
      <c r="O6" s="46">
        <f t="shared" si="2"/>
        <v>0</v>
      </c>
    </row>
    <row r="7">
      <c r="K7" s="14"/>
      <c r="L7" s="46" t="s">
        <v>2056</v>
      </c>
      <c r="M7" s="49" t="s">
        <v>1547</v>
      </c>
      <c r="N7" s="48" t="s">
        <v>15</v>
      </c>
      <c r="O7" s="46">
        <f t="shared" si="2"/>
        <v>5</v>
      </c>
    </row>
    <row r="8">
      <c r="K8" s="14"/>
      <c r="L8" s="46" t="s">
        <v>2056</v>
      </c>
      <c r="M8" s="49" t="s">
        <v>2061</v>
      </c>
      <c r="N8" s="50" t="s">
        <v>2061</v>
      </c>
      <c r="O8" s="46">
        <f t="shared" si="2"/>
        <v>2</v>
      </c>
    </row>
    <row r="9">
      <c r="K9" s="14"/>
      <c r="L9" s="46" t="s">
        <v>2063</v>
      </c>
      <c r="M9" s="46" t="s">
        <v>1547</v>
      </c>
      <c r="N9" s="46" t="s">
        <v>2057</v>
      </c>
      <c r="O9" s="46">
        <f t="shared" ref="O9:O10" si="3">IF(D5="",0,D5)</f>
        <v>1</v>
      </c>
    </row>
    <row r="10">
      <c r="K10" s="14"/>
      <c r="L10" s="46" t="s">
        <v>2063</v>
      </c>
      <c r="M10" s="46" t="s">
        <v>2058</v>
      </c>
      <c r="N10" s="46" t="s">
        <v>2059</v>
      </c>
      <c r="O10" s="46">
        <f t="shared" si="3"/>
        <v>2</v>
      </c>
    </row>
    <row r="11">
      <c r="K11" s="14"/>
      <c r="L11" s="46" t="s">
        <v>2063</v>
      </c>
      <c r="M11" s="46" t="s">
        <v>1547</v>
      </c>
      <c r="N11" s="46" t="s">
        <v>6</v>
      </c>
      <c r="O11" s="46">
        <f t="shared" ref="O11:O14" si="4">IF(D8="",0,D8)</f>
        <v>10</v>
      </c>
    </row>
    <row r="12">
      <c r="K12" s="14"/>
      <c r="L12" s="46" t="s">
        <v>2063</v>
      </c>
      <c r="M12" s="46" t="s">
        <v>1547</v>
      </c>
      <c r="N12" s="48" t="s">
        <v>2061</v>
      </c>
      <c r="O12" s="46">
        <f t="shared" si="4"/>
        <v>0</v>
      </c>
    </row>
    <row r="13">
      <c r="K13" s="14"/>
      <c r="L13" s="46" t="s">
        <v>2063</v>
      </c>
      <c r="M13" s="46" t="s">
        <v>1547</v>
      </c>
      <c r="N13" s="48" t="s">
        <v>21</v>
      </c>
      <c r="O13" s="46">
        <f t="shared" si="4"/>
        <v>0</v>
      </c>
    </row>
    <row r="14">
      <c r="K14" s="14"/>
      <c r="L14" s="46" t="s">
        <v>2063</v>
      </c>
      <c r="M14" s="49" t="s">
        <v>1547</v>
      </c>
      <c r="N14" s="48" t="s">
        <v>15</v>
      </c>
      <c r="O14" s="46">
        <f t="shared" si="4"/>
        <v>1</v>
      </c>
    </row>
    <row r="15">
      <c r="K15" s="14"/>
      <c r="L15" s="46" t="s">
        <v>2063</v>
      </c>
      <c r="M15" s="49" t="s">
        <v>2061</v>
      </c>
      <c r="N15" s="50" t="s">
        <v>2061</v>
      </c>
      <c r="O15" s="46">
        <f>IF(D13="",0,D13)</f>
        <v>1</v>
      </c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46" t="s">
        <v>2066</v>
      </c>
      <c r="M16" s="46" t="s">
        <v>1547</v>
      </c>
      <c r="N16" s="46" t="s">
        <v>2057</v>
      </c>
      <c r="O16" s="46">
        <f t="shared" ref="O16:O17" si="5">IF(E5="",0,E5)</f>
        <v>3</v>
      </c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46" t="s">
        <v>2066</v>
      </c>
      <c r="M17" s="46" t="s">
        <v>2058</v>
      </c>
      <c r="N17" s="46" t="s">
        <v>2059</v>
      </c>
      <c r="O17" s="46">
        <f t="shared" si="5"/>
        <v>4</v>
      </c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46" t="s">
        <v>2066</v>
      </c>
      <c r="M18" s="46" t="s">
        <v>1547</v>
      </c>
      <c r="N18" s="46" t="s">
        <v>6</v>
      </c>
      <c r="O18" s="46">
        <f t="shared" ref="O18:O21" si="6">IF(E8="",0,E8)</f>
        <v>10</v>
      </c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46" t="s">
        <v>2066</v>
      </c>
      <c r="M19" s="46" t="s">
        <v>1547</v>
      </c>
      <c r="N19" s="48" t="s">
        <v>2061</v>
      </c>
      <c r="O19" s="46">
        <f t="shared" si="6"/>
        <v>3</v>
      </c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46" t="s">
        <v>2066</v>
      </c>
      <c r="M20" s="46" t="s">
        <v>1547</v>
      </c>
      <c r="N20" s="48" t="s">
        <v>21</v>
      </c>
      <c r="O20" s="46">
        <f t="shared" si="6"/>
        <v>1</v>
      </c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46" t="s">
        <v>2066</v>
      </c>
      <c r="M21" s="49" t="s">
        <v>1547</v>
      </c>
      <c r="N21" s="48" t="s">
        <v>15</v>
      </c>
      <c r="O21" s="46">
        <f t="shared" si="6"/>
        <v>1</v>
      </c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46" t="s">
        <v>2066</v>
      </c>
      <c r="M22" s="49" t="s">
        <v>2061</v>
      </c>
      <c r="N22" s="50" t="s">
        <v>2061</v>
      </c>
      <c r="O22" s="46">
        <f>IF(E13="",0,E13)</f>
        <v>7</v>
      </c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46" t="s">
        <v>2067</v>
      </c>
      <c r="M23" s="46" t="s">
        <v>1547</v>
      </c>
      <c r="N23" s="46" t="s">
        <v>2057</v>
      </c>
      <c r="O23" s="46">
        <f t="shared" ref="O23:O24" si="7">IF(F5="",0,F5)</f>
        <v>12</v>
      </c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46" t="s">
        <v>2067</v>
      </c>
      <c r="M24" s="46" t="s">
        <v>2058</v>
      </c>
      <c r="N24" s="46" t="s">
        <v>2059</v>
      </c>
      <c r="O24" s="46">
        <f t="shared" si="7"/>
        <v>14</v>
      </c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46" t="s">
        <v>2067</v>
      </c>
      <c r="M25" s="46" t="s">
        <v>1547</v>
      </c>
      <c r="N25" s="46" t="s">
        <v>6</v>
      </c>
      <c r="O25" s="46">
        <f t="shared" ref="O25:O28" si="8">IF(F8="",0,F8)</f>
        <v>28</v>
      </c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46" t="s">
        <v>2067</v>
      </c>
      <c r="M26" s="46" t="s">
        <v>1547</v>
      </c>
      <c r="N26" s="48" t="s">
        <v>2061</v>
      </c>
      <c r="O26" s="46">
        <f t="shared" si="8"/>
        <v>2</v>
      </c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46" t="s">
        <v>2067</v>
      </c>
      <c r="M27" s="46" t="s">
        <v>1547</v>
      </c>
      <c r="N27" s="48" t="s">
        <v>21</v>
      </c>
      <c r="O27" s="46">
        <f t="shared" si="8"/>
        <v>3</v>
      </c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46" t="s">
        <v>2067</v>
      </c>
      <c r="M28" s="49" t="s">
        <v>1547</v>
      </c>
      <c r="N28" s="48" t="s">
        <v>15</v>
      </c>
      <c r="O28" s="46">
        <f t="shared" si="8"/>
        <v>1</v>
      </c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46" t="s">
        <v>2067</v>
      </c>
      <c r="M29" s="49" t="s">
        <v>2061</v>
      </c>
      <c r="N29" s="50" t="s">
        <v>2061</v>
      </c>
      <c r="O29" s="46">
        <f>IF(F13="",0,F13)</f>
        <v>9</v>
      </c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46" t="s">
        <v>2068</v>
      </c>
      <c r="M30" s="46" t="s">
        <v>1547</v>
      </c>
      <c r="N30" s="46" t="s">
        <v>2057</v>
      </c>
      <c r="O30" s="46">
        <f t="shared" ref="O30:O31" si="9">IF(G5="",0,G5)</f>
        <v>6</v>
      </c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46" t="s">
        <v>2068</v>
      </c>
      <c r="M31" s="46" t="s">
        <v>2058</v>
      </c>
      <c r="N31" s="46" t="s">
        <v>2059</v>
      </c>
      <c r="O31" s="46">
        <f t="shared" si="9"/>
        <v>10</v>
      </c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46" t="s">
        <v>2068</v>
      </c>
      <c r="M32" s="46" t="s">
        <v>1547</v>
      </c>
      <c r="N32" s="46" t="s">
        <v>6</v>
      </c>
      <c r="O32" s="46">
        <f t="shared" ref="O32:O35" si="10">IF(G8="",0,G8)</f>
        <v>26</v>
      </c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46" t="s">
        <v>2068</v>
      </c>
      <c r="M33" s="46" t="s">
        <v>1547</v>
      </c>
      <c r="N33" s="48" t="s">
        <v>2061</v>
      </c>
      <c r="O33" s="46">
        <f t="shared" si="10"/>
        <v>0</v>
      </c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46" t="s">
        <v>2068</v>
      </c>
      <c r="M34" s="46" t="s">
        <v>1547</v>
      </c>
      <c r="N34" s="48" t="s">
        <v>21</v>
      </c>
      <c r="O34" s="46">
        <f t="shared" si="10"/>
        <v>1</v>
      </c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46" t="s">
        <v>2068</v>
      </c>
      <c r="M35" s="49" t="s">
        <v>1547</v>
      </c>
      <c r="N35" s="48" t="s">
        <v>15</v>
      </c>
      <c r="O35" s="46">
        <f t="shared" si="10"/>
        <v>0</v>
      </c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46" t="s">
        <v>2068</v>
      </c>
      <c r="M36" s="49" t="s">
        <v>2061</v>
      </c>
      <c r="N36" s="50" t="s">
        <v>2061</v>
      </c>
      <c r="O36" s="46">
        <f>IF(G13="",0,G13)</f>
        <v>7</v>
      </c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46" t="s">
        <v>2069</v>
      </c>
      <c r="M37" s="46" t="s">
        <v>1547</v>
      </c>
      <c r="N37" s="46" t="s">
        <v>2057</v>
      </c>
      <c r="O37" s="46">
        <f t="shared" ref="O37:O38" si="11">IF(H5="",0,H5)</f>
        <v>18</v>
      </c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46" t="s">
        <v>2069</v>
      </c>
      <c r="M38" s="46" t="s">
        <v>2058</v>
      </c>
      <c r="N38" s="46" t="s">
        <v>2059</v>
      </c>
      <c r="O38" s="46">
        <f t="shared" si="11"/>
        <v>41</v>
      </c>
    </row>
    <row r="39" ht="15.75" customHeight="1">
      <c r="L39" s="46" t="s">
        <v>2069</v>
      </c>
      <c r="M39" s="46" t="s">
        <v>1547</v>
      </c>
      <c r="N39" s="46" t="s">
        <v>6</v>
      </c>
      <c r="O39" s="46">
        <f t="shared" ref="O39:O42" si="12">IF(H8="",0,H8)</f>
        <v>82</v>
      </c>
    </row>
    <row r="40" ht="15.75" customHeight="1">
      <c r="L40" s="46" t="s">
        <v>2069</v>
      </c>
      <c r="M40" s="46" t="s">
        <v>1547</v>
      </c>
      <c r="N40" s="48" t="s">
        <v>2061</v>
      </c>
      <c r="O40" s="46">
        <f t="shared" si="12"/>
        <v>6</v>
      </c>
    </row>
    <row r="41" ht="15.75" customHeight="1">
      <c r="L41" s="46" t="s">
        <v>2069</v>
      </c>
      <c r="M41" s="46" t="s">
        <v>1547</v>
      </c>
      <c r="N41" s="48" t="s">
        <v>21</v>
      </c>
      <c r="O41" s="46">
        <f t="shared" si="12"/>
        <v>11</v>
      </c>
    </row>
    <row r="42" ht="15.75" customHeight="1">
      <c r="L42" s="46" t="s">
        <v>2069</v>
      </c>
      <c r="M42" s="49" t="s">
        <v>1547</v>
      </c>
      <c r="N42" s="48" t="s">
        <v>15</v>
      </c>
      <c r="O42" s="46">
        <f t="shared" si="12"/>
        <v>3</v>
      </c>
    </row>
    <row r="43" ht="15.75" customHeight="1">
      <c r="L43" s="46" t="s">
        <v>2069</v>
      </c>
      <c r="M43" s="49" t="s">
        <v>2061</v>
      </c>
      <c r="N43" s="50" t="s">
        <v>2061</v>
      </c>
      <c r="O43" s="46">
        <f>IF(H13="",0,H13)</f>
        <v>3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25"/>
    <col customWidth="1" min="2" max="2" width="18.13"/>
    <col customWidth="1" min="3" max="6" width="12.63"/>
  </cols>
  <sheetData>
    <row r="1">
      <c r="A1" s="51" t="s">
        <v>2070</v>
      </c>
      <c r="B1" s="52" t="s">
        <v>2071</v>
      </c>
      <c r="C1" s="17"/>
      <c r="D1" s="53"/>
      <c r="E1" s="53"/>
      <c r="F1" s="53"/>
      <c r="G1" s="53"/>
    </row>
    <row r="2">
      <c r="A2" s="54" t="s">
        <v>2072</v>
      </c>
      <c r="B2" s="55">
        <v>5.0</v>
      </c>
      <c r="C2" s="17"/>
      <c r="D2" s="53"/>
      <c r="E2" s="53"/>
      <c r="F2" s="53"/>
      <c r="G2" s="53"/>
    </row>
    <row r="3">
      <c r="A3" s="54" t="s">
        <v>2073</v>
      </c>
      <c r="B3" s="55">
        <v>16.0</v>
      </c>
      <c r="C3" s="17"/>
      <c r="D3" s="53"/>
      <c r="E3" s="53"/>
      <c r="F3" s="53"/>
      <c r="G3" s="53"/>
    </row>
    <row r="4">
      <c r="A4" s="54" t="s">
        <v>2074</v>
      </c>
      <c r="B4" s="55">
        <v>1.0</v>
      </c>
      <c r="C4" s="17"/>
      <c r="D4" s="53"/>
      <c r="E4" s="53"/>
      <c r="F4" s="53"/>
      <c r="G4" s="53"/>
    </row>
    <row r="5">
      <c r="A5" s="54" t="s">
        <v>2075</v>
      </c>
      <c r="B5" s="55">
        <v>3.0</v>
      </c>
      <c r="C5" s="17"/>
      <c r="D5" s="53"/>
      <c r="E5" s="53"/>
      <c r="F5" s="53"/>
      <c r="G5" s="53"/>
    </row>
    <row r="6">
      <c r="A6" s="54" t="s">
        <v>2076</v>
      </c>
      <c r="B6" s="55">
        <v>5.0</v>
      </c>
      <c r="C6" s="17"/>
      <c r="D6" s="53"/>
      <c r="E6" s="53"/>
      <c r="F6" s="53"/>
      <c r="G6" s="53"/>
    </row>
    <row r="7">
      <c r="A7" s="17"/>
      <c r="B7" s="17"/>
      <c r="C7" s="17"/>
      <c r="D7" s="53"/>
      <c r="E7" s="53"/>
      <c r="F7" s="53"/>
      <c r="G7" s="53"/>
    </row>
    <row r="8">
      <c r="A8" s="17"/>
      <c r="B8" s="17"/>
      <c r="C8" s="17"/>
      <c r="D8" s="53"/>
      <c r="E8" s="53"/>
      <c r="F8" s="53"/>
      <c r="G8" s="53"/>
    </row>
    <row r="9">
      <c r="A9" s="53"/>
      <c r="B9" s="53"/>
      <c r="C9" s="56"/>
      <c r="D9" s="53"/>
      <c r="E9" s="53"/>
      <c r="F9" s="53"/>
      <c r="G9" s="53"/>
    </row>
    <row r="10">
      <c r="A10" s="53"/>
      <c r="B10" s="53"/>
      <c r="C10" s="56"/>
      <c r="D10" s="53"/>
      <c r="E10" s="53"/>
      <c r="F10" s="53"/>
      <c r="G10" s="53"/>
    </row>
    <row r="11">
      <c r="A11" s="53"/>
      <c r="B11" s="53"/>
      <c r="C11" s="57"/>
      <c r="D11" s="53"/>
      <c r="E11" s="53"/>
      <c r="F11" s="53"/>
      <c r="G11" s="53"/>
    </row>
    <row r="12">
      <c r="A12" s="53"/>
      <c r="B12" s="53"/>
      <c r="C12" s="57"/>
      <c r="D12" s="53"/>
      <c r="E12" s="53"/>
      <c r="F12" s="53"/>
      <c r="G12" s="53"/>
    </row>
    <row r="13">
      <c r="A13" s="53"/>
      <c r="B13" s="53"/>
      <c r="C13" s="57"/>
      <c r="D13" s="53"/>
      <c r="E13" s="53"/>
      <c r="F13" s="53"/>
      <c r="G13" s="53"/>
    </row>
    <row r="14">
      <c r="A14" s="53"/>
      <c r="B14" s="53"/>
      <c r="C14" s="56"/>
      <c r="D14" s="53"/>
      <c r="E14" s="53"/>
      <c r="F14" s="53"/>
      <c r="G14" s="53"/>
    </row>
    <row r="15">
      <c r="A15" s="53"/>
      <c r="B15" s="53"/>
      <c r="C15" s="56"/>
      <c r="D15" s="53"/>
      <c r="E15" s="53"/>
      <c r="F15" s="53"/>
      <c r="G15" s="53"/>
    </row>
    <row r="16">
      <c r="A16" s="53"/>
      <c r="B16" s="53"/>
      <c r="C16" s="56"/>
      <c r="D16" s="53"/>
      <c r="E16" s="53"/>
      <c r="F16" s="53"/>
      <c r="G16" s="53"/>
    </row>
    <row r="17">
      <c r="A17" s="53"/>
      <c r="B17" s="53"/>
      <c r="C17" s="56"/>
      <c r="D17" s="53"/>
      <c r="E17" s="53"/>
      <c r="F17" s="53"/>
      <c r="G17" s="53"/>
    </row>
    <row r="18">
      <c r="A18" s="53"/>
      <c r="B18" s="53"/>
      <c r="C18" s="56"/>
      <c r="D18" s="53"/>
      <c r="E18" s="53"/>
      <c r="F18" s="53"/>
      <c r="G18" s="53"/>
    </row>
    <row r="19" ht="15.75" customHeight="1">
      <c r="A19" s="53"/>
      <c r="B19" s="53"/>
      <c r="C19" s="56"/>
      <c r="D19" s="53"/>
      <c r="E19" s="53"/>
      <c r="F19" s="53"/>
      <c r="G19" s="53"/>
    </row>
    <row r="20" ht="15.75" customHeight="1">
      <c r="A20" s="53"/>
      <c r="B20" s="53"/>
      <c r="C20" s="56"/>
      <c r="D20" s="53"/>
      <c r="E20" s="53"/>
      <c r="F20" s="53"/>
      <c r="G20" s="53"/>
    </row>
    <row r="21" ht="15.75" customHeight="1">
      <c r="A21" s="53"/>
      <c r="B21" s="53"/>
      <c r="C21" s="56"/>
      <c r="D21" s="53"/>
      <c r="E21" s="53"/>
      <c r="F21" s="53"/>
      <c r="G21" s="53"/>
    </row>
    <row r="22" ht="15.75" customHeight="1">
      <c r="A22" s="53"/>
      <c r="B22" s="53"/>
      <c r="C22" s="56"/>
      <c r="D22" s="53"/>
      <c r="E22" s="53"/>
      <c r="F22" s="53"/>
      <c r="G22" s="53"/>
    </row>
    <row r="23" ht="15.75" customHeight="1">
      <c r="A23" s="53"/>
      <c r="B23" s="53"/>
      <c r="C23" s="56"/>
      <c r="D23" s="53"/>
      <c r="E23" s="53"/>
      <c r="F23" s="53"/>
      <c r="G23" s="53"/>
    </row>
    <row r="24" ht="15.75" customHeight="1">
      <c r="A24" s="53"/>
      <c r="B24" s="53"/>
      <c r="C24" s="56"/>
      <c r="D24" s="53"/>
      <c r="E24" s="53"/>
      <c r="F24" s="53"/>
      <c r="G24" s="53"/>
    </row>
    <row r="25" ht="15.75" customHeight="1">
      <c r="A25" s="53"/>
      <c r="B25" s="53"/>
      <c r="C25" s="56"/>
      <c r="D25" s="53"/>
      <c r="E25" s="53"/>
      <c r="F25" s="53"/>
      <c r="G25" s="53"/>
    </row>
    <row r="26" ht="15.75" customHeight="1">
      <c r="A26" s="53"/>
      <c r="B26" s="53"/>
      <c r="C26" s="56"/>
      <c r="D26" s="53"/>
      <c r="E26" s="53"/>
      <c r="F26" s="53"/>
      <c r="G26" s="53"/>
    </row>
    <row r="27" ht="15.75" customHeight="1">
      <c r="A27" s="53"/>
      <c r="B27" s="53"/>
      <c r="C27" s="56"/>
      <c r="D27" s="53"/>
      <c r="E27" s="53"/>
      <c r="F27" s="53"/>
      <c r="G27" s="53"/>
    </row>
    <row r="28" ht="15.75" customHeight="1">
      <c r="A28" s="53"/>
      <c r="B28" s="53"/>
      <c r="C28" s="57"/>
      <c r="D28" s="53"/>
      <c r="E28" s="53"/>
      <c r="F28" s="53"/>
      <c r="G28" s="53"/>
    </row>
    <row r="29" ht="15.75" customHeight="1">
      <c r="A29" s="53"/>
      <c r="B29" s="53"/>
      <c r="C29" s="56"/>
      <c r="D29" s="53"/>
      <c r="E29" s="53"/>
      <c r="F29" s="53"/>
      <c r="G29" s="53"/>
    </row>
    <row r="30" ht="15.75" customHeight="1">
      <c r="A30" s="53"/>
      <c r="B30" s="53"/>
      <c r="C30" s="56"/>
      <c r="D30" s="53"/>
      <c r="E30" s="53"/>
      <c r="F30" s="53"/>
      <c r="G30" s="53"/>
    </row>
    <row r="31" ht="15.75" customHeight="1">
      <c r="A31" s="53"/>
      <c r="B31" s="53"/>
      <c r="C31" s="56"/>
      <c r="D31" s="53"/>
      <c r="E31" s="53"/>
      <c r="F31" s="53"/>
      <c r="G31" s="53"/>
    </row>
    <row r="32" ht="15.75" customHeight="1">
      <c r="A32" s="53"/>
      <c r="B32" s="53"/>
      <c r="C32" s="56"/>
      <c r="D32" s="53"/>
      <c r="E32" s="53"/>
      <c r="F32" s="53"/>
      <c r="G32" s="53"/>
    </row>
    <row r="33" ht="15.75" customHeight="1">
      <c r="A33" s="53"/>
      <c r="B33" s="53"/>
      <c r="C33" s="56"/>
      <c r="D33" s="53"/>
      <c r="E33" s="53"/>
      <c r="F33" s="53"/>
      <c r="G33" s="53"/>
    </row>
    <row r="34" ht="15.75" customHeight="1">
      <c r="A34" s="53"/>
      <c r="B34" s="53"/>
      <c r="C34" s="56"/>
      <c r="D34" s="53"/>
      <c r="E34" s="53"/>
      <c r="F34" s="53"/>
      <c r="G34" s="53"/>
    </row>
    <row r="35" ht="15.75" customHeight="1">
      <c r="A35" s="53"/>
      <c r="B35" s="53"/>
      <c r="C35" s="56"/>
      <c r="D35" s="53"/>
      <c r="E35" s="53"/>
      <c r="F35" s="53"/>
      <c r="G35" s="53"/>
    </row>
    <row r="36" ht="15.75" customHeight="1">
      <c r="A36" s="53"/>
      <c r="B36" s="53"/>
      <c r="C36" s="57"/>
      <c r="D36" s="53"/>
      <c r="E36" s="53"/>
      <c r="F36" s="53"/>
      <c r="G36" s="53"/>
    </row>
    <row r="37" ht="15.75" customHeight="1">
      <c r="A37" s="53"/>
      <c r="B37" s="53"/>
      <c r="C37" s="56"/>
      <c r="D37" s="53"/>
      <c r="E37" s="53"/>
      <c r="F37" s="53"/>
      <c r="G37" s="53"/>
    </row>
    <row r="38" ht="15.75" customHeight="1">
      <c r="A38" s="53"/>
      <c r="B38" s="53"/>
      <c r="C38" s="56"/>
      <c r="D38" s="53"/>
      <c r="E38" s="53"/>
      <c r="F38" s="53"/>
      <c r="G38" s="53"/>
    </row>
    <row r="39" ht="15.75" customHeight="1">
      <c r="A39" s="53"/>
      <c r="B39" s="53"/>
      <c r="C39" s="57"/>
      <c r="D39" s="53"/>
      <c r="E39" s="53"/>
      <c r="F39" s="53"/>
      <c r="G39" s="53"/>
    </row>
    <row r="40" ht="15.75" customHeight="1">
      <c r="A40" s="53"/>
      <c r="B40" s="53"/>
      <c r="C40" s="56"/>
      <c r="D40" s="53"/>
      <c r="E40" s="53"/>
      <c r="F40" s="53"/>
      <c r="G40" s="53"/>
    </row>
    <row r="41" ht="15.75" customHeight="1">
      <c r="A41" s="53"/>
      <c r="B41" s="53"/>
      <c r="C41" s="56"/>
      <c r="D41" s="53"/>
      <c r="E41" s="53"/>
      <c r="F41" s="53"/>
      <c r="G41" s="53"/>
    </row>
    <row r="42" ht="15.75" customHeight="1">
      <c r="A42" s="53"/>
      <c r="B42" s="53"/>
      <c r="C42" s="56"/>
      <c r="D42" s="53"/>
      <c r="E42" s="53"/>
      <c r="F42" s="53"/>
      <c r="G42" s="53"/>
    </row>
    <row r="43" ht="15.75" customHeight="1">
      <c r="A43" s="53"/>
      <c r="B43" s="53"/>
      <c r="C43" s="56"/>
      <c r="D43" s="53"/>
      <c r="E43" s="53"/>
      <c r="F43" s="53"/>
      <c r="G43" s="53"/>
    </row>
    <row r="44" ht="15.75" customHeight="1">
      <c r="A44" s="53"/>
      <c r="B44" s="53"/>
      <c r="C44" s="56"/>
      <c r="D44" s="53"/>
      <c r="E44" s="53"/>
      <c r="F44" s="53"/>
      <c r="G44" s="53"/>
    </row>
    <row r="45" ht="15.75" customHeight="1">
      <c r="A45" s="53"/>
      <c r="B45" s="53"/>
      <c r="C45" s="56"/>
      <c r="D45" s="53"/>
      <c r="E45" s="53"/>
      <c r="F45" s="53"/>
      <c r="G45" s="53"/>
    </row>
    <row r="46" ht="15.75" customHeight="1">
      <c r="A46" s="53"/>
      <c r="B46" s="53"/>
      <c r="C46" s="56"/>
      <c r="D46" s="53"/>
      <c r="E46" s="53"/>
      <c r="F46" s="53"/>
      <c r="G46" s="53"/>
    </row>
    <row r="47" ht="15.75" customHeight="1">
      <c r="A47" s="53"/>
      <c r="B47" s="53"/>
      <c r="C47" s="56"/>
      <c r="D47" s="53"/>
      <c r="E47" s="53"/>
      <c r="F47" s="53"/>
      <c r="G47" s="53"/>
    </row>
    <row r="48" ht="15.75" customHeight="1">
      <c r="A48" s="53"/>
      <c r="B48" s="53"/>
      <c r="C48" s="56"/>
      <c r="D48" s="53"/>
      <c r="E48" s="53"/>
      <c r="F48" s="53"/>
      <c r="G48" s="53"/>
    </row>
    <row r="49" ht="15.75" customHeight="1">
      <c r="A49" s="53"/>
      <c r="B49" s="53"/>
      <c r="C49" s="57"/>
      <c r="D49" s="53"/>
      <c r="E49" s="53"/>
      <c r="F49" s="53"/>
      <c r="G49" s="53"/>
    </row>
    <row r="50" ht="15.75" customHeight="1">
      <c r="A50" s="53"/>
      <c r="B50" s="53"/>
      <c r="C50" s="57"/>
      <c r="D50" s="53"/>
      <c r="E50" s="53"/>
      <c r="F50" s="53"/>
      <c r="G50" s="53"/>
    </row>
    <row r="51" ht="15.75" customHeight="1">
      <c r="A51" s="53"/>
      <c r="B51" s="53"/>
      <c r="C51" s="56"/>
      <c r="D51" s="53"/>
      <c r="E51" s="53"/>
      <c r="F51" s="53"/>
      <c r="G51" s="53"/>
    </row>
    <row r="52" ht="15.75" customHeight="1">
      <c r="A52" s="53"/>
      <c r="B52" s="53"/>
      <c r="C52" s="56"/>
      <c r="D52" s="53"/>
      <c r="E52" s="53"/>
      <c r="F52" s="53"/>
      <c r="G52" s="53"/>
    </row>
    <row r="53" ht="15.75" customHeight="1">
      <c r="A53" s="53"/>
      <c r="B53" s="53"/>
      <c r="C53" s="56"/>
      <c r="D53" s="53"/>
      <c r="E53" s="53"/>
      <c r="F53" s="53"/>
      <c r="G53" s="53"/>
    </row>
    <row r="54" ht="15.75" customHeight="1">
      <c r="A54" s="53"/>
      <c r="B54" s="53"/>
      <c r="C54" s="57"/>
      <c r="D54" s="53"/>
      <c r="E54" s="53"/>
      <c r="F54" s="53"/>
      <c r="G54" s="53"/>
    </row>
    <row r="55" ht="15.75" customHeight="1">
      <c r="A55" s="53"/>
      <c r="B55" s="53"/>
      <c r="C55" s="56"/>
      <c r="D55" s="53"/>
      <c r="E55" s="53"/>
      <c r="F55" s="53"/>
      <c r="G55" s="53"/>
    </row>
    <row r="56" ht="15.75" customHeight="1">
      <c r="A56" s="53"/>
      <c r="B56" s="53"/>
      <c r="C56" s="56"/>
      <c r="D56" s="53"/>
      <c r="E56" s="53"/>
      <c r="F56" s="53"/>
      <c r="G56" s="53"/>
    </row>
    <row r="57" ht="15.75" customHeight="1">
      <c r="A57" s="53"/>
      <c r="B57" s="53"/>
      <c r="C57" s="56"/>
      <c r="D57" s="53"/>
      <c r="E57" s="53"/>
      <c r="F57" s="53"/>
      <c r="G57" s="53"/>
    </row>
    <row r="58" ht="15.75" customHeight="1">
      <c r="A58" s="53"/>
      <c r="B58" s="53"/>
      <c r="C58" s="56"/>
      <c r="D58" s="53"/>
      <c r="E58" s="53"/>
      <c r="F58" s="53"/>
      <c r="G58" s="53"/>
    </row>
    <row r="59" ht="15.75" customHeight="1">
      <c r="A59" s="53"/>
      <c r="B59" s="53"/>
      <c r="C59" s="57"/>
      <c r="D59" s="53"/>
      <c r="E59" s="53"/>
      <c r="F59" s="53"/>
      <c r="G59" s="53"/>
    </row>
    <row r="60" ht="15.75" customHeight="1">
      <c r="A60" s="53"/>
      <c r="B60" s="53"/>
      <c r="C60" s="57"/>
      <c r="D60" s="53"/>
      <c r="E60" s="53"/>
      <c r="F60" s="53"/>
      <c r="G60" s="53"/>
    </row>
    <row r="61" ht="15.75" customHeight="1">
      <c r="A61" s="53"/>
      <c r="B61" s="53"/>
      <c r="C61" s="56"/>
      <c r="D61" s="53"/>
      <c r="E61" s="53"/>
      <c r="F61" s="53"/>
      <c r="G61" s="53"/>
    </row>
    <row r="62" ht="15.75" customHeight="1">
      <c r="A62" s="53"/>
      <c r="B62" s="53"/>
      <c r="C62" s="56"/>
      <c r="D62" s="53"/>
      <c r="E62" s="53"/>
      <c r="F62" s="53"/>
      <c r="G62" s="53"/>
    </row>
    <row r="63" ht="15.75" customHeight="1">
      <c r="A63" s="53"/>
      <c r="B63" s="53"/>
      <c r="C63" s="57"/>
      <c r="D63" s="53"/>
      <c r="E63" s="53"/>
      <c r="F63" s="53"/>
      <c r="G63" s="53"/>
    </row>
    <row r="64" ht="15.75" customHeight="1">
      <c r="A64" s="53"/>
      <c r="B64" s="53"/>
      <c r="C64" s="56"/>
      <c r="D64" s="53"/>
      <c r="E64" s="53"/>
      <c r="F64" s="53"/>
      <c r="G64" s="53"/>
    </row>
    <row r="65" ht="15.75" customHeight="1">
      <c r="A65" s="53"/>
      <c r="B65" s="53"/>
      <c r="C65" s="57"/>
      <c r="D65" s="53"/>
      <c r="E65" s="53"/>
      <c r="F65" s="53"/>
      <c r="G65" s="53"/>
    </row>
    <row r="66" ht="15.75" customHeight="1">
      <c r="A66" s="53"/>
      <c r="B66" s="53"/>
      <c r="C66" s="56"/>
      <c r="D66" s="53"/>
      <c r="E66" s="53"/>
      <c r="F66" s="53"/>
      <c r="G66" s="53"/>
    </row>
    <row r="67" ht="15.75" customHeight="1">
      <c r="A67" s="53"/>
      <c r="B67" s="53"/>
      <c r="C67" s="57"/>
      <c r="D67" s="53"/>
      <c r="E67" s="53"/>
      <c r="F67" s="53"/>
      <c r="G67" s="53"/>
    </row>
    <row r="68" ht="15.75" customHeight="1">
      <c r="A68" s="53"/>
      <c r="B68" s="53"/>
      <c r="C68" s="56"/>
      <c r="D68" s="53"/>
      <c r="E68" s="53"/>
      <c r="F68" s="53"/>
      <c r="G68" s="53"/>
    </row>
    <row r="69" ht="15.75" customHeight="1">
      <c r="A69" s="53"/>
      <c r="B69" s="53"/>
      <c r="C69" s="56"/>
      <c r="D69" s="53"/>
      <c r="E69" s="53"/>
      <c r="F69" s="53"/>
      <c r="G69" s="53"/>
    </row>
    <row r="70" ht="15.75" customHeight="1">
      <c r="A70" s="53"/>
      <c r="B70" s="53"/>
      <c r="C70" s="56"/>
      <c r="D70" s="53"/>
      <c r="E70" s="53"/>
      <c r="F70" s="53"/>
      <c r="G70" s="53"/>
    </row>
    <row r="71" ht="15.75" customHeight="1">
      <c r="A71" s="53"/>
      <c r="B71" s="53"/>
      <c r="C71" s="56"/>
      <c r="D71" s="53"/>
      <c r="E71" s="53"/>
      <c r="F71" s="53"/>
      <c r="G71" s="53"/>
    </row>
    <row r="72" ht="15.75" customHeight="1">
      <c r="A72" s="53"/>
      <c r="B72" s="53"/>
      <c r="C72" s="56"/>
      <c r="D72" s="53"/>
      <c r="E72" s="53"/>
      <c r="F72" s="53"/>
      <c r="G72" s="53"/>
    </row>
    <row r="73" ht="15.75" customHeight="1">
      <c r="A73" s="53"/>
      <c r="B73" s="53"/>
      <c r="C73" s="57"/>
      <c r="D73" s="53"/>
      <c r="E73" s="53"/>
      <c r="F73" s="53"/>
      <c r="G73" s="53"/>
    </row>
    <row r="74" ht="15.75" customHeight="1">
      <c r="A74" s="53"/>
      <c r="B74" s="53"/>
      <c r="C74" s="57"/>
      <c r="D74" s="53"/>
      <c r="E74" s="53"/>
      <c r="F74" s="53"/>
      <c r="G74" s="53"/>
    </row>
    <row r="75" ht="15.75" customHeight="1">
      <c r="A75" s="53"/>
      <c r="B75" s="53"/>
      <c r="C75" s="56"/>
      <c r="D75" s="53"/>
      <c r="E75" s="53"/>
      <c r="F75" s="53"/>
      <c r="G75" s="53"/>
    </row>
    <row r="76" ht="15.75" customHeight="1">
      <c r="A76" s="53"/>
      <c r="B76" s="53"/>
      <c r="C76" s="56"/>
      <c r="D76" s="53"/>
      <c r="E76" s="53"/>
      <c r="F76" s="53"/>
      <c r="G76" s="53"/>
    </row>
    <row r="77" ht="15.75" customHeight="1">
      <c r="A77" s="53"/>
      <c r="B77" s="53"/>
      <c r="C77" s="56"/>
      <c r="D77" s="53"/>
      <c r="E77" s="53"/>
      <c r="F77" s="53"/>
      <c r="G77" s="53"/>
    </row>
    <row r="78" ht="15.75" customHeight="1">
      <c r="A78" s="53"/>
      <c r="B78" s="53"/>
      <c r="C78" s="56"/>
      <c r="D78" s="53"/>
      <c r="E78" s="53"/>
      <c r="F78" s="53"/>
      <c r="G78" s="53"/>
    </row>
    <row r="79" ht="15.75" customHeight="1">
      <c r="A79" s="53"/>
      <c r="B79" s="53"/>
      <c r="C79" s="56"/>
      <c r="D79" s="53"/>
      <c r="E79" s="53"/>
      <c r="F79" s="53"/>
      <c r="G79" s="53"/>
    </row>
    <row r="80" ht="15.75" customHeight="1">
      <c r="A80" s="53"/>
      <c r="B80" s="53"/>
      <c r="C80" s="57"/>
      <c r="D80" s="53"/>
      <c r="E80" s="53"/>
      <c r="F80" s="53"/>
      <c r="G80" s="53"/>
    </row>
    <row r="81" ht="15.75" customHeight="1">
      <c r="A81" s="53"/>
      <c r="B81" s="53"/>
      <c r="C81" s="56"/>
      <c r="D81" s="53"/>
      <c r="E81" s="53"/>
      <c r="F81" s="53"/>
      <c r="G81" s="53"/>
    </row>
    <row r="82" ht="15.75" customHeight="1">
      <c r="A82" s="53"/>
      <c r="B82" s="53"/>
      <c r="C82" s="56"/>
      <c r="D82" s="53"/>
      <c r="E82" s="53"/>
      <c r="F82" s="53"/>
      <c r="G82" s="53"/>
    </row>
    <row r="83" ht="15.75" customHeight="1">
      <c r="A83" s="53"/>
      <c r="B83" s="53"/>
      <c r="C83" s="56"/>
      <c r="D83" s="53"/>
      <c r="E83" s="53"/>
      <c r="F83" s="53"/>
      <c r="G83" s="53"/>
    </row>
    <row r="84" ht="15.75" customHeight="1">
      <c r="A84" s="53"/>
      <c r="B84" s="53"/>
      <c r="C84" s="57"/>
      <c r="D84" s="53"/>
      <c r="E84" s="53"/>
      <c r="F84" s="53"/>
      <c r="G84" s="53"/>
    </row>
    <row r="85" ht="15.75" customHeight="1">
      <c r="A85" s="53"/>
      <c r="B85" s="53"/>
      <c r="C85" s="56"/>
      <c r="D85" s="53"/>
      <c r="E85" s="53"/>
      <c r="F85" s="53"/>
      <c r="G85" s="53"/>
    </row>
    <row r="86" ht="15.75" customHeight="1">
      <c r="A86" s="53"/>
      <c r="B86" s="53"/>
      <c r="C86" s="56"/>
      <c r="D86" s="53"/>
      <c r="E86" s="53"/>
      <c r="F86" s="53"/>
      <c r="G86" s="53"/>
    </row>
    <row r="87" ht="15.75" customHeight="1">
      <c r="A87" s="53"/>
      <c r="B87" s="53"/>
      <c r="C87" s="56"/>
      <c r="D87" s="53"/>
      <c r="E87" s="53"/>
      <c r="F87" s="53"/>
      <c r="G87" s="53"/>
    </row>
    <row r="88" ht="15.75" customHeight="1">
      <c r="A88" s="53"/>
      <c r="B88" s="53"/>
      <c r="C88" s="57"/>
      <c r="D88" s="53"/>
      <c r="E88" s="53"/>
      <c r="F88" s="53"/>
      <c r="G88" s="53"/>
    </row>
    <row r="89" ht="15.75" customHeight="1">
      <c r="A89" s="53"/>
      <c r="B89" s="53"/>
      <c r="C89" s="56"/>
      <c r="D89" s="53"/>
      <c r="E89" s="53"/>
      <c r="F89" s="53"/>
      <c r="G89" s="53"/>
    </row>
    <row r="90" ht="15.75" customHeight="1">
      <c r="A90" s="53"/>
      <c r="B90" s="53"/>
      <c r="C90" s="56"/>
      <c r="D90" s="53"/>
      <c r="E90" s="53"/>
      <c r="F90" s="53"/>
      <c r="G90" s="53"/>
    </row>
    <row r="91" ht="15.75" customHeight="1">
      <c r="A91" s="53"/>
      <c r="B91" s="53"/>
      <c r="C91" s="56"/>
      <c r="D91" s="53"/>
      <c r="E91" s="53"/>
      <c r="F91" s="53"/>
      <c r="G91" s="53"/>
    </row>
    <row r="92" ht="15.75" customHeight="1">
      <c r="A92" s="53"/>
      <c r="B92" s="53"/>
      <c r="C92" s="56"/>
      <c r="D92" s="53"/>
      <c r="E92" s="53"/>
      <c r="F92" s="53"/>
      <c r="G92" s="53"/>
    </row>
    <row r="93" ht="15.75" customHeight="1">
      <c r="A93" s="53"/>
      <c r="B93" s="53"/>
      <c r="C93" s="56"/>
      <c r="D93" s="53"/>
      <c r="E93" s="53"/>
      <c r="F93" s="53"/>
      <c r="G93" s="53"/>
    </row>
    <row r="94" ht="15.75" customHeight="1">
      <c r="A94" s="53"/>
      <c r="B94" s="53"/>
      <c r="C94" s="56"/>
      <c r="D94" s="53"/>
      <c r="E94" s="53"/>
      <c r="F94" s="53"/>
      <c r="G94" s="53"/>
    </row>
    <row r="95" ht="15.75" customHeight="1">
      <c r="A95" s="53"/>
      <c r="B95" s="53"/>
      <c r="C95" s="56"/>
      <c r="D95" s="53"/>
      <c r="E95" s="53"/>
      <c r="F95" s="53"/>
      <c r="G95" s="53"/>
    </row>
    <row r="96" ht="15.75" customHeight="1">
      <c r="A96" s="53"/>
      <c r="B96" s="53"/>
      <c r="C96" s="57"/>
      <c r="D96" s="53"/>
      <c r="E96" s="53"/>
      <c r="F96" s="53"/>
      <c r="G96" s="53"/>
    </row>
    <row r="97" ht="15.75" customHeight="1">
      <c r="A97" s="53"/>
      <c r="B97" s="53"/>
      <c r="C97" s="56"/>
      <c r="D97" s="53"/>
      <c r="E97" s="53"/>
      <c r="F97" s="53"/>
      <c r="G97" s="53"/>
    </row>
    <row r="98" ht="15.75" customHeight="1">
      <c r="A98" s="53"/>
      <c r="B98" s="53"/>
      <c r="C98" s="56"/>
      <c r="D98" s="53"/>
      <c r="E98" s="53"/>
      <c r="F98" s="53"/>
      <c r="G98" s="53"/>
    </row>
    <row r="99" ht="15.75" customHeight="1">
      <c r="A99" s="53"/>
      <c r="B99" s="53"/>
      <c r="C99" s="56"/>
      <c r="D99" s="53"/>
      <c r="E99" s="53"/>
      <c r="F99" s="53"/>
      <c r="G99" s="53"/>
    </row>
    <row r="100" ht="15.75" customHeight="1">
      <c r="A100" s="53"/>
      <c r="B100" s="53"/>
      <c r="C100" s="56"/>
      <c r="D100" s="53"/>
      <c r="E100" s="53"/>
      <c r="F100" s="53"/>
      <c r="G100" s="53"/>
    </row>
    <row r="101" ht="15.75" customHeight="1">
      <c r="A101" s="53"/>
      <c r="B101" s="53"/>
      <c r="C101" s="57"/>
      <c r="D101" s="53"/>
      <c r="E101" s="53"/>
      <c r="F101" s="53"/>
      <c r="G101" s="53"/>
    </row>
    <row r="102" ht="15.75" customHeight="1">
      <c r="A102" s="53"/>
      <c r="B102" s="53"/>
      <c r="C102" s="56"/>
      <c r="D102" s="53"/>
      <c r="E102" s="53"/>
      <c r="F102" s="53"/>
      <c r="G102" s="53"/>
    </row>
    <row r="103" ht="15.75" customHeight="1">
      <c r="A103" s="53"/>
      <c r="B103" s="53"/>
      <c r="C103" s="57"/>
      <c r="D103" s="53"/>
      <c r="E103" s="53"/>
      <c r="F103" s="53"/>
      <c r="G103" s="53"/>
    </row>
    <row r="104" ht="15.75" customHeight="1">
      <c r="A104" s="53"/>
      <c r="B104" s="53"/>
      <c r="C104" s="57"/>
      <c r="D104" s="53"/>
      <c r="E104" s="53"/>
      <c r="F104" s="53"/>
      <c r="G104" s="53"/>
    </row>
    <row r="105" ht="15.75" customHeight="1">
      <c r="A105" s="53"/>
      <c r="B105" s="53"/>
      <c r="C105" s="56"/>
      <c r="D105" s="53"/>
      <c r="E105" s="53"/>
      <c r="F105" s="53"/>
      <c r="G105" s="53"/>
    </row>
    <row r="106" ht="15.75" customHeight="1">
      <c r="A106" s="53"/>
      <c r="B106" s="53"/>
      <c r="C106" s="56"/>
      <c r="D106" s="53"/>
      <c r="E106" s="53"/>
      <c r="F106" s="53"/>
      <c r="G106" s="53"/>
    </row>
    <row r="107" ht="15.75" customHeight="1">
      <c r="A107" s="53"/>
      <c r="B107" s="53"/>
      <c r="C107" s="57"/>
      <c r="D107" s="53"/>
      <c r="E107" s="53"/>
      <c r="F107" s="53"/>
      <c r="G107" s="53"/>
    </row>
    <row r="108" ht="15.75" customHeight="1">
      <c r="A108" s="53"/>
      <c r="B108" s="53"/>
      <c r="C108" s="56"/>
      <c r="D108" s="53"/>
      <c r="E108" s="53"/>
      <c r="F108" s="53"/>
      <c r="G108" s="53"/>
    </row>
    <row r="109" ht="15.75" customHeight="1">
      <c r="A109" s="53"/>
      <c r="B109" s="53"/>
      <c r="C109" s="57"/>
      <c r="D109" s="53"/>
      <c r="E109" s="53"/>
      <c r="F109" s="53"/>
      <c r="G109" s="53"/>
    </row>
    <row r="110" ht="15.75" customHeight="1">
      <c r="A110" s="53"/>
      <c r="B110" s="53"/>
      <c r="C110" s="56"/>
      <c r="D110" s="53"/>
      <c r="E110" s="53"/>
      <c r="F110" s="53"/>
      <c r="G110" s="53"/>
    </row>
    <row r="111" ht="15.75" customHeight="1">
      <c r="A111" s="53"/>
      <c r="B111" s="53"/>
      <c r="C111" s="56"/>
      <c r="D111" s="53"/>
      <c r="E111" s="53"/>
      <c r="F111" s="53"/>
      <c r="G111" s="53"/>
    </row>
    <row r="112" ht="15.75" customHeight="1">
      <c r="A112" s="53"/>
      <c r="B112" s="53"/>
      <c r="C112" s="57"/>
      <c r="D112" s="53"/>
      <c r="E112" s="53"/>
      <c r="F112" s="53"/>
      <c r="G112" s="53"/>
    </row>
    <row r="113" ht="15.75" customHeight="1">
      <c r="A113" s="53"/>
      <c r="B113" s="53"/>
      <c r="C113" s="56"/>
      <c r="D113" s="53"/>
      <c r="E113" s="53"/>
      <c r="F113" s="53"/>
      <c r="G113" s="53"/>
    </row>
    <row r="114" ht="15.75" customHeight="1">
      <c r="A114" s="53"/>
      <c r="B114" s="53"/>
      <c r="C114" s="56"/>
      <c r="D114" s="53"/>
      <c r="E114" s="53"/>
      <c r="F114" s="53"/>
      <c r="G114" s="53"/>
    </row>
    <row r="115" ht="15.75" customHeight="1">
      <c r="A115" s="53"/>
      <c r="B115" s="53"/>
      <c r="C115" s="56"/>
      <c r="D115" s="53"/>
      <c r="E115" s="53"/>
      <c r="F115" s="53"/>
      <c r="G115" s="53"/>
    </row>
    <row r="116" ht="15.75" customHeight="1">
      <c r="A116" s="53"/>
      <c r="B116" s="53"/>
      <c r="C116" s="56"/>
      <c r="D116" s="53"/>
      <c r="E116" s="53"/>
      <c r="F116" s="53"/>
      <c r="G116" s="53"/>
    </row>
    <row r="117" ht="15.75" customHeight="1">
      <c r="A117" s="53"/>
      <c r="B117" s="53"/>
      <c r="C117" s="56"/>
      <c r="D117" s="53"/>
      <c r="E117" s="53"/>
      <c r="F117" s="53"/>
      <c r="G117" s="53"/>
    </row>
    <row r="118" ht="15.75" customHeight="1">
      <c r="A118" s="53"/>
      <c r="B118" s="53"/>
      <c r="C118" s="56"/>
      <c r="D118" s="53"/>
      <c r="E118" s="53"/>
      <c r="F118" s="53"/>
      <c r="G118" s="53"/>
    </row>
    <row r="119" ht="15.75" customHeight="1">
      <c r="A119" s="53"/>
      <c r="B119" s="53"/>
      <c r="C119" s="56"/>
      <c r="D119" s="53"/>
      <c r="E119" s="53"/>
      <c r="F119" s="53"/>
      <c r="G119" s="53"/>
    </row>
    <row r="120" ht="15.75" customHeight="1">
      <c r="A120" s="53"/>
      <c r="B120" s="53"/>
      <c r="C120" s="56"/>
      <c r="D120" s="53"/>
      <c r="E120" s="53"/>
      <c r="F120" s="53"/>
      <c r="G120" s="53"/>
    </row>
    <row r="121" ht="15.75" customHeight="1">
      <c r="A121" s="53"/>
      <c r="B121" s="53"/>
      <c r="C121" s="58"/>
      <c r="D121" s="53"/>
      <c r="E121" s="53"/>
      <c r="F121" s="53"/>
      <c r="G121" s="53"/>
    </row>
    <row r="122" ht="15.75" customHeight="1">
      <c r="A122" s="53"/>
      <c r="B122" s="53"/>
      <c r="C122" s="56"/>
      <c r="D122" s="53"/>
      <c r="E122" s="53"/>
      <c r="F122" s="53"/>
      <c r="G122" s="53"/>
    </row>
    <row r="123" ht="15.75" customHeight="1">
      <c r="A123" s="53"/>
      <c r="B123" s="53"/>
      <c r="C123" s="58"/>
      <c r="D123" s="53"/>
      <c r="E123" s="53"/>
      <c r="F123" s="53"/>
      <c r="G123" s="53"/>
    </row>
    <row r="124" ht="15.75" customHeight="1">
      <c r="A124" s="53"/>
      <c r="B124" s="53"/>
      <c r="C124" s="56"/>
      <c r="D124" s="53"/>
      <c r="E124" s="53"/>
      <c r="F124" s="53"/>
      <c r="G124" s="53"/>
    </row>
    <row r="125" ht="15.75" customHeight="1">
      <c r="A125" s="53"/>
      <c r="B125" s="53"/>
      <c r="C125" s="56"/>
      <c r="D125" s="53"/>
      <c r="E125" s="53"/>
      <c r="F125" s="53"/>
      <c r="G125" s="53"/>
    </row>
    <row r="126" ht="15.75" customHeight="1">
      <c r="A126" s="53"/>
      <c r="B126" s="53"/>
      <c r="C126" s="56"/>
      <c r="D126" s="53"/>
      <c r="E126" s="53"/>
      <c r="F126" s="53"/>
      <c r="G126" s="53"/>
    </row>
    <row r="127" ht="15.75" customHeight="1">
      <c r="A127" s="53"/>
      <c r="B127" s="53"/>
      <c r="C127" s="56"/>
      <c r="D127" s="53"/>
      <c r="E127" s="53"/>
      <c r="F127" s="53"/>
      <c r="G127" s="53"/>
    </row>
    <row r="128" ht="15.75" customHeight="1">
      <c r="A128" s="53"/>
      <c r="B128" s="53"/>
      <c r="C128" s="56"/>
      <c r="D128" s="53"/>
      <c r="E128" s="53"/>
      <c r="F128" s="53"/>
      <c r="G128" s="53"/>
    </row>
    <row r="129" ht="15.75" customHeight="1">
      <c r="A129" s="53"/>
      <c r="B129" s="53"/>
      <c r="C129" s="56"/>
      <c r="D129" s="53"/>
      <c r="E129" s="53"/>
      <c r="F129" s="53"/>
      <c r="G129" s="53"/>
    </row>
    <row r="130" ht="15.75" customHeight="1">
      <c r="A130" s="53"/>
      <c r="B130" s="53"/>
      <c r="C130" s="56"/>
      <c r="D130" s="53"/>
      <c r="E130" s="53"/>
      <c r="F130" s="53"/>
      <c r="G130" s="53"/>
    </row>
    <row r="131" ht="15.75" customHeight="1">
      <c r="A131" s="53"/>
      <c r="B131" s="53"/>
      <c r="C131" s="56"/>
      <c r="D131" s="53"/>
      <c r="E131" s="53"/>
      <c r="F131" s="53"/>
      <c r="G131" s="53"/>
    </row>
    <row r="132" ht="15.75" customHeight="1">
      <c r="A132" s="53"/>
      <c r="B132" s="53"/>
      <c r="C132" s="56"/>
      <c r="D132" s="53"/>
      <c r="E132" s="53"/>
      <c r="F132" s="53"/>
      <c r="G132" s="53"/>
    </row>
    <row r="133" ht="15.75" customHeight="1">
      <c r="A133" s="53"/>
      <c r="B133" s="53"/>
      <c r="C133" s="58"/>
      <c r="D133" s="53"/>
      <c r="E133" s="53"/>
      <c r="F133" s="53"/>
      <c r="G133" s="53"/>
    </row>
    <row r="134" ht="15.75" customHeight="1">
      <c r="A134" s="53"/>
      <c r="B134" s="53"/>
      <c r="C134" s="56"/>
      <c r="D134" s="53"/>
      <c r="E134" s="53"/>
      <c r="F134" s="53"/>
      <c r="G134" s="53"/>
    </row>
    <row r="135" ht="15.75" customHeight="1">
      <c r="A135" s="53"/>
      <c r="B135" s="53"/>
      <c r="C135" s="56"/>
      <c r="D135" s="53"/>
      <c r="E135" s="53"/>
      <c r="F135" s="53"/>
      <c r="G135" s="53"/>
    </row>
    <row r="136" ht="15.75" customHeight="1">
      <c r="A136" s="53"/>
      <c r="B136" s="53"/>
      <c r="C136" s="56"/>
      <c r="D136" s="53"/>
      <c r="E136" s="53"/>
      <c r="F136" s="53"/>
      <c r="G136" s="53"/>
    </row>
    <row r="137" ht="15.75" customHeight="1">
      <c r="A137" s="53"/>
      <c r="B137" s="53"/>
      <c r="C137" s="56"/>
      <c r="D137" s="53"/>
      <c r="E137" s="53"/>
      <c r="F137" s="53"/>
      <c r="G137" s="53"/>
    </row>
    <row r="138" ht="15.75" customHeight="1">
      <c r="A138" s="53"/>
      <c r="B138" s="53"/>
      <c r="C138" s="58"/>
      <c r="D138" s="53"/>
      <c r="E138" s="53"/>
      <c r="F138" s="53"/>
      <c r="G138" s="53"/>
    </row>
    <row r="139" ht="15.75" customHeight="1">
      <c r="A139" s="53"/>
      <c r="B139" s="53"/>
      <c r="C139" s="56"/>
      <c r="D139" s="53"/>
      <c r="E139" s="53"/>
      <c r="F139" s="53"/>
      <c r="G139" s="53"/>
    </row>
    <row r="140" ht="15.75" customHeight="1">
      <c r="A140" s="53"/>
      <c r="B140" s="53"/>
      <c r="C140" s="56"/>
      <c r="D140" s="53"/>
      <c r="E140" s="53"/>
      <c r="F140" s="53"/>
      <c r="G140" s="53"/>
    </row>
    <row r="141" ht="15.75" customHeight="1">
      <c r="A141" s="53"/>
      <c r="B141" s="53"/>
      <c r="C141" s="56"/>
      <c r="D141" s="53"/>
      <c r="E141" s="53"/>
      <c r="F141" s="53"/>
      <c r="G141" s="53"/>
    </row>
    <row r="142" ht="15.75" customHeight="1">
      <c r="A142" s="53"/>
      <c r="B142" s="53"/>
      <c r="C142" s="56"/>
      <c r="D142" s="53"/>
      <c r="E142" s="53"/>
      <c r="F142" s="53"/>
      <c r="G142" s="53"/>
    </row>
    <row r="143" ht="15.75" customHeight="1">
      <c r="A143" s="53"/>
      <c r="B143" s="53"/>
      <c r="C143" s="56"/>
      <c r="D143" s="53"/>
      <c r="E143" s="53"/>
      <c r="F143" s="53"/>
      <c r="G143" s="53"/>
    </row>
    <row r="144" ht="15.75" customHeight="1">
      <c r="A144" s="53"/>
      <c r="B144" s="53"/>
      <c r="C144" s="58"/>
      <c r="D144" s="53"/>
      <c r="E144" s="53"/>
      <c r="F144" s="53"/>
      <c r="G144" s="53"/>
    </row>
    <row r="145" ht="15.75" customHeight="1">
      <c r="A145" s="53"/>
      <c r="B145" s="53"/>
      <c r="C145" s="56"/>
      <c r="D145" s="53"/>
      <c r="E145" s="53"/>
      <c r="F145" s="53"/>
      <c r="G145" s="53"/>
    </row>
    <row r="146" ht="15.75" customHeight="1">
      <c r="A146" s="53"/>
      <c r="B146" s="53"/>
      <c r="C146" s="58"/>
      <c r="D146" s="53"/>
      <c r="E146" s="53"/>
      <c r="F146" s="53"/>
      <c r="G146" s="53"/>
    </row>
    <row r="147" ht="15.75" customHeight="1">
      <c r="A147" s="53"/>
      <c r="B147" s="53"/>
      <c r="C147" s="56"/>
      <c r="D147" s="53"/>
      <c r="E147" s="53"/>
      <c r="F147" s="53"/>
      <c r="G147" s="53"/>
    </row>
    <row r="148" ht="15.75" customHeight="1">
      <c r="A148" s="53"/>
      <c r="B148" s="53"/>
      <c r="C148" s="58"/>
      <c r="D148" s="53"/>
      <c r="E148" s="53"/>
      <c r="F148" s="53"/>
      <c r="G148" s="53"/>
    </row>
    <row r="149" ht="15.75" customHeight="1">
      <c r="A149" s="53"/>
      <c r="B149" s="53"/>
      <c r="C149" s="56"/>
      <c r="D149" s="53"/>
      <c r="E149" s="53"/>
      <c r="F149" s="53"/>
      <c r="G149" s="53"/>
    </row>
    <row r="150" ht="15.75" customHeight="1">
      <c r="A150" s="53"/>
      <c r="B150" s="53"/>
      <c r="C150" s="56"/>
      <c r="D150" s="53"/>
      <c r="E150" s="53"/>
      <c r="F150" s="53"/>
      <c r="G150" s="53"/>
    </row>
    <row r="151" ht="15.75" customHeight="1">
      <c r="A151" s="53"/>
      <c r="B151" s="53"/>
      <c r="C151" s="56"/>
      <c r="D151" s="53"/>
      <c r="E151" s="53"/>
      <c r="F151" s="53"/>
      <c r="G151" s="53"/>
    </row>
    <row r="152" ht="15.75" customHeight="1">
      <c r="A152" s="53"/>
      <c r="B152" s="53"/>
      <c r="C152" s="56"/>
      <c r="D152" s="53"/>
      <c r="E152" s="53"/>
      <c r="F152" s="53"/>
      <c r="G152" s="53"/>
    </row>
    <row r="153" ht="15.75" customHeight="1">
      <c r="A153" s="53"/>
      <c r="B153" s="53"/>
      <c r="C153" s="56"/>
      <c r="D153" s="53"/>
      <c r="E153" s="53"/>
      <c r="F153" s="53"/>
      <c r="G153" s="53"/>
    </row>
    <row r="154" ht="15.75" customHeight="1">
      <c r="A154" s="53"/>
      <c r="B154" s="53"/>
      <c r="C154" s="56"/>
      <c r="D154" s="53"/>
      <c r="E154" s="53"/>
      <c r="F154" s="53"/>
      <c r="G154" s="53"/>
    </row>
    <row r="155" ht="15.75" customHeight="1">
      <c r="A155" s="53"/>
      <c r="B155" s="53"/>
      <c r="C155" s="56"/>
      <c r="D155" s="53"/>
      <c r="E155" s="53"/>
      <c r="F155" s="53"/>
      <c r="G155" s="53"/>
    </row>
    <row r="156" ht="15.75" customHeight="1">
      <c r="A156" s="53"/>
      <c r="B156" s="53"/>
      <c r="C156" s="56"/>
      <c r="D156" s="53"/>
      <c r="E156" s="53"/>
      <c r="F156" s="53"/>
      <c r="G156" s="53"/>
    </row>
    <row r="157" ht="15.75" customHeight="1">
      <c r="A157" s="53"/>
      <c r="B157" s="53"/>
      <c r="C157" s="56"/>
      <c r="D157" s="53"/>
      <c r="E157" s="53"/>
      <c r="F157" s="53"/>
      <c r="G157" s="53"/>
    </row>
    <row r="158" ht="15.75" customHeight="1">
      <c r="A158" s="53"/>
      <c r="B158" s="53"/>
      <c r="C158" s="56"/>
      <c r="D158" s="53"/>
      <c r="E158" s="53"/>
      <c r="F158" s="53"/>
      <c r="G158" s="53"/>
    </row>
    <row r="159" ht="15.75" customHeight="1">
      <c r="A159" s="53"/>
      <c r="B159" s="53"/>
      <c r="C159" s="56"/>
      <c r="D159" s="53"/>
      <c r="E159" s="53"/>
      <c r="F159" s="53"/>
      <c r="G159" s="53"/>
    </row>
    <row r="160" ht="15.75" customHeight="1">
      <c r="A160" s="53"/>
      <c r="B160" s="53"/>
      <c r="C160" s="56"/>
      <c r="D160" s="53"/>
      <c r="E160" s="53"/>
      <c r="F160" s="53"/>
      <c r="G160" s="53"/>
    </row>
    <row r="161" ht="15.75" customHeight="1">
      <c r="A161" s="53"/>
      <c r="B161" s="53"/>
      <c r="C161" s="56"/>
      <c r="D161" s="53"/>
      <c r="E161" s="53"/>
      <c r="F161" s="53"/>
      <c r="G161" s="53"/>
    </row>
    <row r="162" ht="15.75" customHeight="1">
      <c r="A162" s="53"/>
      <c r="B162" s="53"/>
      <c r="C162" s="56"/>
      <c r="D162" s="53"/>
      <c r="E162" s="53"/>
      <c r="F162" s="53"/>
      <c r="G162" s="53"/>
    </row>
    <row r="163" ht="15.75" customHeight="1">
      <c r="A163" s="53"/>
      <c r="B163" s="53"/>
      <c r="C163" s="56"/>
      <c r="D163" s="53"/>
      <c r="E163" s="53"/>
      <c r="F163" s="53"/>
      <c r="G163" s="53"/>
    </row>
    <row r="164" ht="15.75" customHeight="1">
      <c r="A164" s="53"/>
      <c r="B164" s="53"/>
      <c r="C164" s="56"/>
      <c r="D164" s="53"/>
      <c r="E164" s="53"/>
      <c r="F164" s="53"/>
      <c r="G164" s="53"/>
    </row>
    <row r="165" ht="15.75" customHeight="1">
      <c r="A165" s="53"/>
      <c r="B165" s="53"/>
      <c r="C165" s="56"/>
      <c r="D165" s="53"/>
      <c r="E165" s="53"/>
      <c r="F165" s="53"/>
      <c r="G165" s="53"/>
    </row>
    <row r="166" ht="15.75" customHeight="1">
      <c r="A166" s="53"/>
      <c r="B166" s="53"/>
      <c r="C166" s="56"/>
      <c r="D166" s="53"/>
      <c r="E166" s="53"/>
      <c r="F166" s="53"/>
      <c r="G166" s="53"/>
    </row>
    <row r="167" ht="15.75" customHeight="1">
      <c r="A167" s="53"/>
      <c r="B167" s="53"/>
      <c r="C167" s="56"/>
      <c r="D167" s="53"/>
      <c r="E167" s="53"/>
      <c r="F167" s="53"/>
      <c r="G167" s="53"/>
    </row>
    <row r="168" ht="15.75" customHeight="1">
      <c r="A168" s="53"/>
      <c r="B168" s="53"/>
      <c r="C168" s="56"/>
      <c r="D168" s="53"/>
      <c r="E168" s="53"/>
      <c r="F168" s="53"/>
      <c r="G168" s="53"/>
    </row>
    <row r="169" ht="15.75" customHeight="1">
      <c r="A169" s="53"/>
      <c r="B169" s="53"/>
      <c r="C169" s="56"/>
      <c r="D169" s="53"/>
      <c r="E169" s="53"/>
      <c r="F169" s="53"/>
      <c r="G169" s="53"/>
    </row>
    <row r="170" ht="15.75" customHeight="1">
      <c r="A170" s="53"/>
      <c r="B170" s="53"/>
      <c r="C170" s="56"/>
      <c r="D170" s="53"/>
      <c r="E170" s="53"/>
      <c r="F170" s="53"/>
      <c r="G170" s="53"/>
    </row>
    <row r="171" ht="15.75" customHeight="1">
      <c r="A171" s="53"/>
      <c r="B171" s="53"/>
      <c r="C171" s="56"/>
      <c r="D171" s="53"/>
      <c r="E171" s="53"/>
      <c r="F171" s="53"/>
      <c r="G171" s="53"/>
    </row>
    <row r="172" ht="15.75" customHeight="1">
      <c r="A172" s="53"/>
      <c r="B172" s="53"/>
      <c r="C172" s="57"/>
      <c r="D172" s="53"/>
      <c r="E172" s="53"/>
      <c r="F172" s="53"/>
      <c r="G172" s="53"/>
    </row>
    <row r="173" ht="15.75" customHeight="1">
      <c r="A173" s="53"/>
      <c r="B173" s="53"/>
      <c r="C173" s="56"/>
      <c r="D173" s="53"/>
      <c r="E173" s="53"/>
      <c r="F173" s="53"/>
      <c r="G173" s="53"/>
    </row>
    <row r="174" ht="15.75" customHeight="1">
      <c r="A174" s="53"/>
      <c r="B174" s="53"/>
      <c r="C174" s="56"/>
      <c r="D174" s="53"/>
      <c r="E174" s="53"/>
      <c r="F174" s="53"/>
      <c r="G174" s="53"/>
    </row>
    <row r="175" ht="15.75" customHeight="1">
      <c r="A175" s="53"/>
      <c r="B175" s="53"/>
      <c r="C175" s="56"/>
      <c r="D175" s="53"/>
      <c r="E175" s="53"/>
      <c r="F175" s="53"/>
      <c r="G175" s="53"/>
    </row>
    <row r="176" ht="15.75" customHeight="1">
      <c r="A176" s="53"/>
      <c r="B176" s="53"/>
      <c r="C176" s="56"/>
      <c r="D176" s="53"/>
      <c r="E176" s="53"/>
      <c r="F176" s="53"/>
      <c r="G176" s="53"/>
    </row>
    <row r="177" ht="15.75" customHeight="1">
      <c r="A177" s="53"/>
      <c r="B177" s="53"/>
      <c r="C177" s="56"/>
      <c r="D177" s="53"/>
      <c r="E177" s="53"/>
      <c r="F177" s="53"/>
      <c r="G177" s="53"/>
    </row>
    <row r="178" ht="15.75" customHeight="1">
      <c r="A178" s="53"/>
      <c r="B178" s="53"/>
      <c r="C178" s="56"/>
      <c r="D178" s="53"/>
      <c r="E178" s="53"/>
      <c r="F178" s="53"/>
      <c r="G178" s="53"/>
    </row>
    <row r="179" ht="15.75" customHeight="1">
      <c r="A179" s="53"/>
      <c r="B179" s="53"/>
      <c r="C179" s="56"/>
      <c r="D179" s="53"/>
      <c r="E179" s="53"/>
      <c r="F179" s="53"/>
      <c r="G179" s="53"/>
    </row>
    <row r="180" ht="15.75" customHeight="1">
      <c r="A180" s="53"/>
      <c r="B180" s="53"/>
      <c r="C180" s="56"/>
      <c r="D180" s="53"/>
      <c r="E180" s="53"/>
      <c r="F180" s="53"/>
      <c r="G180" s="53"/>
    </row>
    <row r="181" ht="15.75" customHeight="1">
      <c r="A181" s="53"/>
      <c r="B181" s="53"/>
      <c r="C181" s="56"/>
      <c r="D181" s="53"/>
      <c r="E181" s="53"/>
      <c r="F181" s="53"/>
      <c r="G181" s="53"/>
    </row>
    <row r="182" ht="15.75" customHeight="1">
      <c r="A182" s="53"/>
      <c r="B182" s="53"/>
      <c r="C182" s="56"/>
      <c r="D182" s="53"/>
      <c r="E182" s="53"/>
      <c r="F182" s="53"/>
      <c r="G182" s="53"/>
    </row>
    <row r="183" ht="15.75" customHeight="1">
      <c r="A183" s="53"/>
      <c r="B183" s="53"/>
      <c r="C183" s="56"/>
      <c r="D183" s="53"/>
      <c r="E183" s="53"/>
      <c r="F183" s="53"/>
      <c r="G183" s="53"/>
    </row>
    <row r="184" ht="15.75" customHeight="1">
      <c r="A184" s="53"/>
      <c r="B184" s="53"/>
      <c r="C184" s="56"/>
      <c r="D184" s="53"/>
      <c r="E184" s="53"/>
      <c r="F184" s="53"/>
      <c r="G184" s="53"/>
    </row>
    <row r="185" ht="15.75" customHeight="1">
      <c r="A185" s="53"/>
      <c r="B185" s="53"/>
      <c r="C185" s="56"/>
      <c r="D185" s="53"/>
      <c r="E185" s="53"/>
      <c r="F185" s="53"/>
      <c r="G185" s="53"/>
    </row>
    <row r="186" ht="15.75" customHeight="1">
      <c r="A186" s="53"/>
      <c r="B186" s="53"/>
      <c r="C186" s="56"/>
      <c r="D186" s="53"/>
      <c r="E186" s="53"/>
      <c r="F186" s="53"/>
      <c r="G186" s="53"/>
    </row>
    <row r="187" ht="15.75" customHeight="1">
      <c r="A187" s="53"/>
      <c r="B187" s="53"/>
      <c r="C187" s="56"/>
      <c r="D187" s="53"/>
      <c r="E187" s="53"/>
      <c r="F187" s="53"/>
      <c r="G187" s="53"/>
    </row>
    <row r="188" ht="15.75" customHeight="1">
      <c r="A188" s="53"/>
      <c r="B188" s="53"/>
      <c r="C188" s="56"/>
      <c r="D188" s="53"/>
      <c r="E188" s="53"/>
      <c r="F188" s="53"/>
      <c r="G188" s="53"/>
    </row>
    <row r="189" ht="15.75" customHeight="1">
      <c r="A189" s="53"/>
      <c r="B189" s="53"/>
      <c r="C189" s="56"/>
      <c r="D189" s="53"/>
      <c r="E189" s="53"/>
      <c r="F189" s="53"/>
      <c r="G189" s="53"/>
    </row>
    <row r="190" ht="15.75" customHeight="1">
      <c r="A190" s="53"/>
      <c r="B190" s="53"/>
      <c r="C190" s="56"/>
      <c r="D190" s="53"/>
      <c r="E190" s="53"/>
      <c r="F190" s="53"/>
      <c r="G190" s="53"/>
    </row>
    <row r="191" ht="15.75" customHeight="1">
      <c r="A191" s="53"/>
      <c r="B191" s="53"/>
      <c r="C191" s="56"/>
      <c r="D191" s="53"/>
      <c r="E191" s="53"/>
      <c r="F191" s="53"/>
      <c r="G191" s="53"/>
    </row>
    <row r="192" ht="15.75" customHeight="1">
      <c r="A192" s="53"/>
      <c r="B192" s="53"/>
      <c r="C192" s="56"/>
      <c r="D192" s="53"/>
      <c r="E192" s="53"/>
      <c r="F192" s="53"/>
      <c r="G192" s="53"/>
    </row>
    <row r="193" ht="15.75" customHeight="1">
      <c r="A193" s="53"/>
      <c r="B193" s="53"/>
      <c r="C193" s="56"/>
      <c r="D193" s="53"/>
      <c r="E193" s="53"/>
      <c r="F193" s="53"/>
      <c r="G193" s="53"/>
    </row>
    <row r="194" ht="15.75" customHeight="1">
      <c r="A194" s="53"/>
      <c r="B194" s="53"/>
      <c r="C194" s="56"/>
      <c r="D194" s="53"/>
      <c r="E194" s="53"/>
      <c r="F194" s="53"/>
      <c r="G194" s="53"/>
    </row>
    <row r="195" ht="15.75" customHeight="1">
      <c r="A195" s="53"/>
      <c r="B195" s="53"/>
      <c r="C195" s="56"/>
      <c r="D195" s="53"/>
      <c r="E195" s="53"/>
      <c r="F195" s="53"/>
      <c r="G195" s="53"/>
    </row>
    <row r="196" ht="15.75" customHeight="1">
      <c r="A196" s="53"/>
      <c r="B196" s="53"/>
      <c r="C196" s="56"/>
      <c r="D196" s="53"/>
      <c r="E196" s="53"/>
      <c r="F196" s="53"/>
      <c r="G196" s="53"/>
    </row>
    <row r="197" ht="15.75" customHeight="1">
      <c r="A197" s="53"/>
      <c r="B197" s="53"/>
      <c r="C197" s="56"/>
      <c r="D197" s="53"/>
      <c r="E197" s="53"/>
      <c r="F197" s="53"/>
      <c r="G197" s="53"/>
    </row>
    <row r="198" ht="15.75" customHeight="1">
      <c r="A198" s="53"/>
      <c r="B198" s="53"/>
      <c r="C198" s="56"/>
      <c r="D198" s="53"/>
      <c r="E198" s="53"/>
      <c r="F198" s="53"/>
      <c r="G198" s="53"/>
    </row>
    <row r="199" ht="15.75" customHeight="1">
      <c r="A199" s="53"/>
      <c r="B199" s="53"/>
      <c r="C199" s="56"/>
      <c r="D199" s="53"/>
      <c r="E199" s="53"/>
      <c r="F199" s="53"/>
      <c r="G199" s="53"/>
    </row>
    <row r="200" ht="15.75" customHeight="1">
      <c r="A200" s="53"/>
      <c r="B200" s="53"/>
      <c r="C200" s="56"/>
      <c r="D200" s="53"/>
      <c r="E200" s="53"/>
      <c r="F200" s="53"/>
      <c r="G200" s="53"/>
    </row>
    <row r="201" ht="15.75" customHeight="1">
      <c r="A201" s="53"/>
      <c r="B201" s="53"/>
      <c r="C201" s="56"/>
      <c r="D201" s="53"/>
      <c r="E201" s="53"/>
      <c r="F201" s="53"/>
      <c r="G201" s="53"/>
    </row>
    <row r="202" ht="15.75" customHeight="1">
      <c r="A202" s="53"/>
      <c r="B202" s="53"/>
      <c r="C202" s="56"/>
      <c r="D202" s="53"/>
      <c r="E202" s="53"/>
      <c r="F202" s="53"/>
      <c r="G202" s="53"/>
    </row>
    <row r="203" ht="15.75" customHeight="1">
      <c r="A203" s="53"/>
      <c r="B203" s="53"/>
      <c r="C203" s="56"/>
      <c r="D203" s="53"/>
      <c r="E203" s="53"/>
      <c r="F203" s="53"/>
      <c r="G203" s="53"/>
    </row>
    <row r="204" ht="15.75" customHeight="1">
      <c r="A204" s="53"/>
      <c r="B204" s="53"/>
      <c r="C204" s="56"/>
      <c r="D204" s="53"/>
      <c r="E204" s="53"/>
      <c r="F204" s="53"/>
      <c r="G204" s="53"/>
    </row>
    <row r="205" ht="15.75" customHeight="1">
      <c r="A205" s="53"/>
      <c r="B205" s="53"/>
      <c r="C205" s="56"/>
      <c r="D205" s="53"/>
      <c r="E205" s="53"/>
      <c r="F205" s="53"/>
      <c r="G205" s="53"/>
    </row>
    <row r="206" ht="15.75" customHeight="1">
      <c r="A206" s="53"/>
      <c r="B206" s="53"/>
      <c r="C206" s="56"/>
      <c r="D206" s="53"/>
      <c r="E206" s="53"/>
      <c r="F206" s="53"/>
      <c r="G206" s="53"/>
    </row>
    <row r="207" ht="15.75" customHeight="1">
      <c r="A207" s="53"/>
      <c r="B207" s="53"/>
      <c r="C207" s="56"/>
      <c r="D207" s="53"/>
      <c r="E207" s="53"/>
      <c r="F207" s="53"/>
      <c r="G207" s="53"/>
    </row>
    <row r="208" ht="15.75" customHeight="1">
      <c r="A208" s="53"/>
      <c r="B208" s="53"/>
      <c r="C208" s="56"/>
      <c r="D208" s="53"/>
      <c r="E208" s="53"/>
      <c r="F208" s="53"/>
      <c r="G208" s="53"/>
    </row>
    <row r="209" ht="15.75" customHeight="1">
      <c r="A209" s="53"/>
      <c r="B209" s="53"/>
      <c r="C209" s="56"/>
      <c r="D209" s="53"/>
      <c r="E209" s="53"/>
      <c r="F209" s="53"/>
      <c r="G209" s="53"/>
    </row>
    <row r="210" ht="15.75" customHeight="1">
      <c r="A210" s="53"/>
      <c r="B210" s="53"/>
      <c r="C210" s="56"/>
      <c r="D210" s="53"/>
      <c r="E210" s="53"/>
      <c r="F210" s="53"/>
      <c r="G210" s="53"/>
    </row>
    <row r="211" ht="15.75" customHeight="1">
      <c r="A211" s="53"/>
      <c r="B211" s="53"/>
      <c r="C211" s="56"/>
      <c r="D211" s="53"/>
      <c r="E211" s="53"/>
      <c r="F211" s="53"/>
      <c r="G211" s="53"/>
    </row>
    <row r="212" ht="15.75" customHeight="1">
      <c r="A212" s="53"/>
      <c r="B212" s="53"/>
      <c r="C212" s="56"/>
      <c r="D212" s="53"/>
      <c r="E212" s="53"/>
      <c r="F212" s="53"/>
      <c r="G212" s="53"/>
    </row>
    <row r="213" ht="15.75" customHeight="1">
      <c r="A213" s="53"/>
      <c r="B213" s="53"/>
      <c r="C213" s="56"/>
      <c r="D213" s="53"/>
      <c r="E213" s="53"/>
      <c r="F213" s="53"/>
      <c r="G213" s="53"/>
    </row>
    <row r="214" ht="15.75" customHeight="1">
      <c r="A214" s="53"/>
      <c r="B214" s="53"/>
      <c r="C214" s="57"/>
      <c r="D214" s="53"/>
      <c r="E214" s="53"/>
      <c r="F214" s="53"/>
      <c r="G214" s="53"/>
    </row>
    <row r="215" ht="15.75" customHeight="1">
      <c r="A215" s="53"/>
      <c r="B215" s="53"/>
      <c r="C215" s="56"/>
      <c r="D215" s="53"/>
      <c r="E215" s="53"/>
      <c r="F215" s="53"/>
      <c r="G215" s="53"/>
    </row>
    <row r="216" ht="15.75" customHeight="1">
      <c r="A216" s="53"/>
      <c r="B216" s="53"/>
      <c r="C216" s="56"/>
      <c r="D216" s="53"/>
      <c r="E216" s="53"/>
      <c r="F216" s="53"/>
      <c r="G216" s="53"/>
    </row>
    <row r="217" ht="15.75" customHeight="1">
      <c r="A217" s="53"/>
      <c r="B217" s="53"/>
      <c r="C217" s="56"/>
      <c r="D217" s="53"/>
      <c r="E217" s="53"/>
      <c r="F217" s="53"/>
      <c r="G217" s="53"/>
    </row>
    <row r="218" ht="15.75" customHeight="1">
      <c r="A218" s="53"/>
      <c r="B218" s="53"/>
      <c r="C218" s="56"/>
      <c r="D218" s="53"/>
      <c r="E218" s="53"/>
      <c r="F218" s="53"/>
      <c r="G218" s="53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