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36" windowWidth="13380" windowHeight="5304" tabRatio="738" firstSheet="7" activeTab="7"/>
  </bookViews>
  <sheets>
    <sheet name="DewPointTest" sheetId="11" r:id="rId1"/>
    <sheet name="BubblePointTest" sheetId="7" r:id="rId2"/>
    <sheet name="Soave_PengRobinsonTest" sheetId="6" r:id="rId3"/>
    <sheet name="Mathias_StryjekVeraTest" sheetId="5" r:id="rId4"/>
    <sheet name="FlashTest" sheetId="12" r:id="rId5"/>
    <sheet name="CubicTest  (2)" sheetId="10" r:id="rId6"/>
    <sheet name="VDWMixingRuleTest" sheetId="9" r:id="rId7"/>
    <sheet name="CubicTest " sheetId="8" r:id="rId8"/>
    <sheet name="IdealGasTest" sheetId="1" r:id="rId9"/>
    <sheet name="VanDerWaalsTest" sheetId="2" r:id="rId10"/>
    <sheet name="CubicAlphaTest" sheetId="4" r:id="rId11"/>
    <sheet name="ComponentsData" sheetId="3" r:id="rId12"/>
    <sheet name="BubbleDiagram" sheetId="13" r:id="rId13"/>
  </sheets>
  <externalReferences>
    <externalReference r:id="rId14"/>
  </externalReferences>
  <definedNames>
    <definedName name="acentricFactor">ComponentsData!$C$4</definedName>
    <definedName name="methanolAcentricFactor">ComponentsData!$C$4</definedName>
    <definedName name="methanolCriticalPressure">ComponentsData!$C$5</definedName>
    <definedName name="methanolCriticalTemperature">ComponentsData!$C$6</definedName>
    <definedName name="methanolPrsvKappa">ComponentsData!$C$7</definedName>
    <definedName name="molarVolume">IdealGasTest!$C$4</definedName>
    <definedName name="pressure">IdealGasTest!$C$8</definedName>
    <definedName name="pressureTestMolarVolume">IdealGasTest!$C$4</definedName>
    <definedName name="pressureTestResult">IdealGasTest!$C$6</definedName>
    <definedName name="pressureTestTemperature">IdealGasTest!$C$5</definedName>
    <definedName name="temperature">IdealGasTest!$C$5</definedName>
    <definedName name="temperatureTestMolarVolume">IdealGasTest!$C$10</definedName>
    <definedName name="temperatureTestPressure">IdealGasTest!$C$11</definedName>
    <definedName name="temperatureTestResult">IdealGasTest!$C$12</definedName>
    <definedName name="universalGasConstant">ComponentsData!$C$1</definedName>
    <definedName name="volumeTestPressure">IdealGasTest!$C$8</definedName>
    <definedName name="volumeTestResult">IdealGasTest!$C$9</definedName>
    <definedName name="volumeTestTemperature">IdealGasTest!$C$7</definedName>
    <definedName name="waterAcentricFactor">ComponentsData!$D$4</definedName>
    <definedName name="waterCriticalPressure">ComponentsData!$D$5</definedName>
    <definedName name="waterCriticalTemperature">ComponentsData!$D$6</definedName>
    <definedName name="waterPrsvKappa">ComponentsData!$D$7</definedName>
  </definedNames>
  <calcPr calcId="125725"/>
</workbook>
</file>

<file path=xl/calcChain.xml><?xml version="1.0" encoding="utf-8"?>
<calcChain xmlns="http://schemas.openxmlformats.org/spreadsheetml/2006/main">
  <c r="C2" i="2"/>
  <c r="C12" i="1"/>
  <c r="C9"/>
  <c r="C6"/>
  <c r="D12" i="13"/>
  <c r="D13"/>
  <c r="D14"/>
  <c r="D15"/>
  <c r="D16"/>
  <c r="D17"/>
  <c r="D18"/>
  <c r="D19"/>
  <c r="D20"/>
  <c r="D21"/>
  <c r="D11"/>
  <c r="H4" i="7"/>
  <c r="U71"/>
  <c r="T71"/>
  <c r="S71"/>
  <c r="R71"/>
  <c r="Q71"/>
  <c r="P71"/>
  <c r="O71"/>
  <c r="N71"/>
  <c r="M71"/>
  <c r="L71"/>
  <c r="K71"/>
  <c r="K12"/>
  <c r="K11"/>
  <c r="K3"/>
  <c r="J35"/>
  <c r="L53"/>
  <c r="T37"/>
  <c r="S37"/>
  <c r="R37"/>
  <c r="Q37"/>
  <c r="P37"/>
  <c r="O37"/>
  <c r="N37"/>
  <c r="M37"/>
  <c r="L37"/>
  <c r="K37"/>
  <c r="J37"/>
  <c r="M38" a="1"/>
  <c r="Q72" a="1"/>
  <c r="J38" a="1"/>
  <c r="S38" a="1"/>
  <c r="N38" a="1"/>
  <c r="K72" a="1"/>
  <c r="P38" a="1"/>
  <c r="L72" a="1"/>
  <c r="T72" a="1"/>
  <c r="R72" a="1"/>
  <c r="K38" a="1"/>
  <c r="U72" a="1"/>
  <c r="P72" a="1"/>
  <c r="M72" a="1"/>
  <c r="T38" a="1"/>
  <c r="O38" a="1"/>
  <c r="O72" a="1"/>
  <c r="R38" a="1"/>
  <c r="S72" a="1"/>
  <c r="Q38" a="1"/>
  <c r="N72" a="1"/>
  <c r="L38" a="1"/>
  <c r="U75" l="1"/>
  <c r="U79"/>
  <c r="U74"/>
  <c r="U78"/>
  <c r="U73"/>
  <c r="U77"/>
  <c r="U81"/>
  <c r="U72"/>
  <c r="U76"/>
  <c r="U80"/>
  <c r="Q75"/>
  <c r="Q74"/>
  <c r="Q78"/>
  <c r="Q73"/>
  <c r="Q77"/>
  <c r="Q81"/>
  <c r="Q72"/>
  <c r="Q76"/>
  <c r="Q80"/>
  <c r="Q79"/>
  <c r="T74"/>
  <c r="T73"/>
  <c r="T77"/>
  <c r="T81"/>
  <c r="T72"/>
  <c r="T76"/>
  <c r="T80"/>
  <c r="T75"/>
  <c r="T79"/>
  <c r="T78"/>
  <c r="P74"/>
  <c r="P73"/>
  <c r="P77"/>
  <c r="P81"/>
  <c r="P72"/>
  <c r="P76"/>
  <c r="P80"/>
  <c r="P75"/>
  <c r="P79"/>
  <c r="P78"/>
  <c r="L74"/>
  <c r="L78"/>
  <c r="L73"/>
  <c r="L77"/>
  <c r="L81"/>
  <c r="L72"/>
  <c r="L76"/>
  <c r="L80"/>
  <c r="L75"/>
  <c r="L79"/>
  <c r="S73"/>
  <c r="S72"/>
  <c r="S76"/>
  <c r="S80"/>
  <c r="S75"/>
  <c r="S79"/>
  <c r="S74"/>
  <c r="S78"/>
  <c r="S77"/>
  <c r="S81"/>
  <c r="O72"/>
  <c r="O76"/>
  <c r="O80"/>
  <c r="O75"/>
  <c r="O79"/>
  <c r="O74"/>
  <c r="O78"/>
  <c r="O73"/>
  <c r="O77"/>
  <c r="O81"/>
  <c r="R72"/>
  <c r="R75"/>
  <c r="R79"/>
  <c r="R74"/>
  <c r="R78"/>
  <c r="R73"/>
  <c r="R77"/>
  <c r="R81"/>
  <c r="R76"/>
  <c r="R80"/>
  <c r="N75"/>
  <c r="N79"/>
  <c r="N74"/>
  <c r="N78"/>
  <c r="N73"/>
  <c r="N77"/>
  <c r="N81"/>
  <c r="N72"/>
  <c r="N76"/>
  <c r="N80"/>
  <c r="M74"/>
  <c r="M78"/>
  <c r="M73"/>
  <c r="M77"/>
  <c r="M81"/>
  <c r="M72"/>
  <c r="M76"/>
  <c r="M80"/>
  <c r="M75"/>
  <c r="M79"/>
  <c r="K73"/>
  <c r="K77"/>
  <c r="K81"/>
  <c r="K72"/>
  <c r="K76"/>
  <c r="K80"/>
  <c r="K75"/>
  <c r="K79"/>
  <c r="K74"/>
  <c r="K78"/>
  <c r="T40"/>
  <c r="T44"/>
  <c r="T48"/>
  <c r="T39"/>
  <c r="T43"/>
  <c r="T47"/>
  <c r="T38"/>
  <c r="T42"/>
  <c r="T46"/>
  <c r="T41"/>
  <c r="T45"/>
  <c r="Q40"/>
  <c r="Q44"/>
  <c r="Q48"/>
  <c r="Q41"/>
  <c r="Q45"/>
  <c r="Q39"/>
  <c r="Q43"/>
  <c r="Q47"/>
  <c r="Q38"/>
  <c r="Q42"/>
  <c r="Q46"/>
  <c r="N40"/>
  <c r="N44"/>
  <c r="N48"/>
  <c r="N41"/>
  <c r="N45"/>
  <c r="N39"/>
  <c r="N43"/>
  <c r="N47"/>
  <c r="N38"/>
  <c r="N42"/>
  <c r="N46"/>
  <c r="K40"/>
  <c r="K44"/>
  <c r="K48"/>
  <c r="K41"/>
  <c r="K45"/>
  <c r="K39"/>
  <c r="K43"/>
  <c r="K47"/>
  <c r="K38"/>
  <c r="K42"/>
  <c r="K46"/>
  <c r="S40"/>
  <c r="S44"/>
  <c r="S48"/>
  <c r="S39"/>
  <c r="S43"/>
  <c r="S47"/>
  <c r="S38"/>
  <c r="S42"/>
  <c r="S46"/>
  <c r="S41"/>
  <c r="S45"/>
  <c r="R40"/>
  <c r="R44"/>
  <c r="R48"/>
  <c r="R39"/>
  <c r="R43"/>
  <c r="R47"/>
  <c r="R38"/>
  <c r="R42"/>
  <c r="R46"/>
  <c r="R41"/>
  <c r="R45"/>
  <c r="P40"/>
  <c r="P44"/>
  <c r="P48"/>
  <c r="P39"/>
  <c r="P43"/>
  <c r="P47"/>
  <c r="P38"/>
  <c r="P42"/>
  <c r="P46"/>
  <c r="P41"/>
  <c r="P45"/>
  <c r="O40"/>
  <c r="O44"/>
  <c r="O48"/>
  <c r="O41"/>
  <c r="O39"/>
  <c r="O43"/>
  <c r="O47"/>
  <c r="O38"/>
  <c r="O42"/>
  <c r="O46"/>
  <c r="O45"/>
  <c r="M40"/>
  <c r="M44"/>
  <c r="M48"/>
  <c r="M39"/>
  <c r="M43"/>
  <c r="M47"/>
  <c r="M38"/>
  <c r="M42"/>
  <c r="M46"/>
  <c r="M41"/>
  <c r="M45"/>
  <c r="L40"/>
  <c r="L44"/>
  <c r="L48"/>
  <c r="L41"/>
  <c r="L45"/>
  <c r="L39"/>
  <c r="L43"/>
  <c r="L47"/>
  <c r="L38"/>
  <c r="L42"/>
  <c r="L46"/>
  <c r="J40"/>
  <c r="J44"/>
  <c r="J48"/>
  <c r="J46"/>
  <c r="J39"/>
  <c r="J43"/>
  <c r="J47"/>
  <c r="J38"/>
  <c r="J42"/>
  <c r="J41"/>
  <c r="J45"/>
  <c r="I28" i="11"/>
  <c r="H28"/>
  <c r="B50" i="7"/>
  <c r="C50"/>
  <c r="D6" i="12"/>
  <c r="E34" i="11"/>
  <c r="D25" i="7"/>
  <c r="D38"/>
  <c r="B33" i="11"/>
  <c r="J7"/>
  <c r="C4"/>
  <c r="C5"/>
  <c r="D7"/>
  <c r="D5" i="7"/>
  <c r="D56"/>
  <c r="E41" i="10"/>
  <c r="D41"/>
  <c r="H27"/>
  <c r="G27"/>
  <c r="C22"/>
  <c r="E28" s="1"/>
  <c r="E29" s="1"/>
  <c r="B22"/>
  <c r="D28" s="1"/>
  <c r="D29" s="1"/>
  <c r="C12"/>
  <c r="G11"/>
  <c r="G12" s="1"/>
  <c r="C11"/>
  <c r="B11"/>
  <c r="G10"/>
  <c r="C9"/>
  <c r="C8"/>
  <c r="A9" i="11" a="1"/>
  <c r="A20" a="1"/>
  <c r="G8" i="12"/>
  <c r="A34" i="11" a="1"/>
  <c r="A58" i="7" a="1"/>
  <c r="H11" i="11" a="1"/>
  <c r="A10" i="12" a="1"/>
  <c r="G13" i="10" l="1"/>
  <c r="G20" s="1"/>
  <c r="K27" i="11"/>
  <c r="I29" s="1"/>
  <c r="C13" i="10"/>
  <c r="H20" s="1"/>
  <c r="C14"/>
  <c r="C21" s="1"/>
  <c r="E46" s="1"/>
  <c r="D44"/>
  <c r="E44"/>
  <c r="B13"/>
  <c r="B20" s="1"/>
  <c r="E49" i="7"/>
  <c r="C51" s="1"/>
  <c r="A11" i="12"/>
  <c r="A13"/>
  <c r="A15"/>
  <c r="A17"/>
  <c r="A19"/>
  <c r="B11"/>
  <c r="B13"/>
  <c r="B15"/>
  <c r="B17"/>
  <c r="B19"/>
  <c r="B10"/>
  <c r="B12"/>
  <c r="B14"/>
  <c r="B16"/>
  <c r="B18"/>
  <c r="B20"/>
  <c r="A10"/>
  <c r="A12"/>
  <c r="A14"/>
  <c r="A16"/>
  <c r="A18"/>
  <c r="A20"/>
  <c r="A35" i="11"/>
  <c r="A37"/>
  <c r="A39"/>
  <c r="A41"/>
  <c r="A43"/>
  <c r="B34"/>
  <c r="B36"/>
  <c r="B38"/>
  <c r="B40"/>
  <c r="B42"/>
  <c r="A34"/>
  <c r="A36"/>
  <c r="A38"/>
  <c r="A40"/>
  <c r="A42"/>
  <c r="B35"/>
  <c r="B37"/>
  <c r="B39"/>
  <c r="B41"/>
  <c r="B43"/>
  <c r="H12"/>
  <c r="H14"/>
  <c r="H16"/>
  <c r="H18"/>
  <c r="H20"/>
  <c r="I11"/>
  <c r="I13"/>
  <c r="I15"/>
  <c r="I17"/>
  <c r="I19"/>
  <c r="H11"/>
  <c r="H13"/>
  <c r="H15"/>
  <c r="H17"/>
  <c r="H19"/>
  <c r="I12"/>
  <c r="I14"/>
  <c r="I16"/>
  <c r="I18"/>
  <c r="I20"/>
  <c r="A21"/>
  <c r="A23"/>
  <c r="A25"/>
  <c r="A27"/>
  <c r="B20"/>
  <c r="B22"/>
  <c r="B26"/>
  <c r="A22"/>
  <c r="A26"/>
  <c r="B21"/>
  <c r="B23"/>
  <c r="B25"/>
  <c r="B27"/>
  <c r="B24"/>
  <c r="A20"/>
  <c r="A24"/>
  <c r="B10"/>
  <c r="B12"/>
  <c r="B14"/>
  <c r="B16"/>
  <c r="A10"/>
  <c r="A12"/>
  <c r="A14"/>
  <c r="A16"/>
  <c r="B9"/>
  <c r="B11"/>
  <c r="B13"/>
  <c r="B15"/>
  <c r="B17"/>
  <c r="A9"/>
  <c r="A11"/>
  <c r="A13"/>
  <c r="A15"/>
  <c r="A17"/>
  <c r="A59" i="7"/>
  <c r="B59"/>
  <c r="B61"/>
  <c r="B63"/>
  <c r="B65"/>
  <c r="A61"/>
  <c r="A63"/>
  <c r="A65"/>
  <c r="B58"/>
  <c r="B60"/>
  <c r="B62"/>
  <c r="B64"/>
  <c r="A58"/>
  <c r="A60"/>
  <c r="A62"/>
  <c r="A64"/>
  <c r="C20" i="10"/>
  <c r="B12"/>
  <c r="B14" s="1"/>
  <c r="B21" s="1"/>
  <c r="D46" s="1"/>
  <c r="E41" i="9"/>
  <c r="D41"/>
  <c r="H27"/>
  <c r="G27"/>
  <c r="C22"/>
  <c r="E44" s="1"/>
  <c r="B22"/>
  <c r="D44" s="1"/>
  <c r="G11"/>
  <c r="C11"/>
  <c r="B11"/>
  <c r="B12" s="1"/>
  <c r="G10"/>
  <c r="C9"/>
  <c r="C8"/>
  <c r="H27" i="8"/>
  <c r="C22"/>
  <c r="G27"/>
  <c r="B22"/>
  <c r="G10"/>
  <c r="G11"/>
  <c r="G13" s="1"/>
  <c r="G20" s="1"/>
  <c r="E41"/>
  <c r="D41"/>
  <c r="G13" i="9" l="1"/>
  <c r="G20" s="1"/>
  <c r="H29" i="11"/>
  <c r="J29" s="1"/>
  <c r="C13" i="9"/>
  <c r="C20" s="1"/>
  <c r="B14"/>
  <c r="B21" s="1"/>
  <c r="D46" s="1"/>
  <c r="B25" i="10"/>
  <c r="D27"/>
  <c r="D30" s="1"/>
  <c r="D45"/>
  <c r="B13" i="9"/>
  <c r="B20" s="1"/>
  <c r="D27" s="1"/>
  <c r="L20"/>
  <c r="B51" i="7"/>
  <c r="D51" s="1"/>
  <c r="E45" i="10"/>
  <c r="E27"/>
  <c r="C25"/>
  <c r="H20" i="9"/>
  <c r="E28"/>
  <c r="E29" s="1"/>
  <c r="G12"/>
  <c r="D28"/>
  <c r="D29" s="1"/>
  <c r="C12"/>
  <c r="C14" s="1"/>
  <c r="C21" s="1"/>
  <c r="E46" s="1"/>
  <c r="G12" i="8"/>
  <c r="C11"/>
  <c r="B11"/>
  <c r="C9"/>
  <c r="C8"/>
  <c r="C20" i="4"/>
  <c r="B20"/>
  <c r="C9"/>
  <c r="B9"/>
  <c r="H18"/>
  <c r="J18"/>
  <c r="I18"/>
  <c r="C7"/>
  <c r="C6"/>
  <c r="C34"/>
  <c r="C31"/>
  <c r="C7" i="5"/>
  <c r="C6"/>
  <c r="C9"/>
  <c r="C10" s="1"/>
  <c r="B9"/>
  <c r="B10" s="1"/>
  <c r="C10" i="6"/>
  <c r="C11" s="1"/>
  <c r="C9"/>
  <c r="B9"/>
  <c r="B10" s="1"/>
  <c r="B11" s="1"/>
  <c r="C7" i="2"/>
  <c r="C6"/>
  <c r="C5"/>
  <c r="C4"/>
  <c r="C3"/>
  <c r="C16"/>
  <c r="C13"/>
  <c r="B25" i="9" l="1"/>
  <c r="B11" i="5"/>
  <c r="B13" s="1"/>
  <c r="C11"/>
  <c r="C13" s="1"/>
  <c r="D45" i="9"/>
  <c r="D31" i="10"/>
  <c r="D33" s="1"/>
  <c r="C12" i="8"/>
  <c r="C14" s="1"/>
  <c r="C21" s="1"/>
  <c r="E46" s="1"/>
  <c r="C13"/>
  <c r="H20" s="1"/>
  <c r="B12"/>
  <c r="B14" s="1"/>
  <c r="B13"/>
  <c r="B20" s="1"/>
  <c r="D45" s="1"/>
  <c r="B11" i="4"/>
  <c r="B18" s="1"/>
  <c r="B12" i="5"/>
  <c r="B14"/>
  <c r="C12"/>
  <c r="C14"/>
  <c r="K20" i="9"/>
  <c r="K22" s="1"/>
  <c r="E30" i="10"/>
  <c r="E31"/>
  <c r="D32"/>
  <c r="D31" i="9"/>
  <c r="D30"/>
  <c r="D32" s="1"/>
  <c r="E45"/>
  <c r="E27"/>
  <c r="C25"/>
  <c r="E28" i="8"/>
  <c r="E29" s="1"/>
  <c r="E44"/>
  <c r="D28"/>
  <c r="D29" s="1"/>
  <c r="D44"/>
  <c r="C11" i="4"/>
  <c r="C10"/>
  <c r="B10"/>
  <c r="C10" i="2"/>
  <c r="B21" i="8" l="1"/>
  <c r="D46" s="1"/>
  <c r="L22" i="9"/>
  <c r="D33"/>
  <c r="D35" s="1"/>
  <c r="B37" s="1"/>
  <c r="B39" s="1"/>
  <c r="D42" s="1"/>
  <c r="B47" s="1"/>
  <c r="D34" i="10"/>
  <c r="E32"/>
  <c r="E33"/>
  <c r="D35"/>
  <c r="B37" s="1"/>
  <c r="B39" s="1"/>
  <c r="E31" i="9"/>
  <c r="E30"/>
  <c r="B25" i="8"/>
  <c r="D27"/>
  <c r="C20"/>
  <c r="E45" s="1"/>
  <c r="C12" i="4"/>
  <c r="C19" s="1"/>
  <c r="B12"/>
  <c r="B19" s="1"/>
  <c r="G18"/>
  <c r="C18"/>
  <c r="D34" i="9" l="1"/>
  <c r="B38"/>
  <c r="B40" s="1"/>
  <c r="D43" s="1"/>
  <c r="B48" s="1"/>
  <c r="D42" i="10"/>
  <c r="B47" s="1"/>
  <c r="E34"/>
  <c r="B38"/>
  <c r="B40" s="1"/>
  <c r="E35"/>
  <c r="C37" s="1"/>
  <c r="C39" s="1"/>
  <c r="E32" i="9"/>
  <c r="E33"/>
  <c r="D31" i="8"/>
  <c r="D30"/>
  <c r="C25"/>
  <c r="E27"/>
  <c r="E42" i="10" l="1"/>
  <c r="C47" s="1"/>
  <c r="D43"/>
  <c r="B48" s="1"/>
  <c r="C38"/>
  <c r="C40" s="1"/>
  <c r="E34" i="9"/>
  <c r="E35"/>
  <c r="C38" s="1"/>
  <c r="C40" s="1"/>
  <c r="D32" i="8"/>
  <c r="D33"/>
  <c r="E31"/>
  <c r="E30"/>
  <c r="E43" i="10" l="1"/>
  <c r="C48" s="1"/>
  <c r="C37" i="9"/>
  <c r="C39" s="1"/>
  <c r="E42" s="1"/>
  <c r="E43"/>
  <c r="C48" s="1"/>
  <c r="D35" i="8"/>
  <c r="B37" s="1"/>
  <c r="B39" s="1"/>
  <c r="E32"/>
  <c r="E33"/>
  <c r="D34"/>
  <c r="C47" i="9" l="1"/>
  <c r="B38" i="8"/>
  <c r="B40" s="1"/>
  <c r="D42"/>
  <c r="B47" s="1"/>
  <c r="E35"/>
  <c r="C38" s="1"/>
  <c r="C40" s="1"/>
  <c r="E34"/>
  <c r="E43" l="1"/>
  <c r="C48" s="1"/>
  <c r="D43"/>
  <c r="B48" s="1"/>
  <c r="C37"/>
  <c r="C39" s="1"/>
  <c r="E42" l="1"/>
  <c r="C47" l="1"/>
</calcChain>
</file>

<file path=xl/sharedStrings.xml><?xml version="1.0" encoding="utf-8"?>
<sst xmlns="http://schemas.openxmlformats.org/spreadsheetml/2006/main" count="517" uniqueCount="156">
  <si>
    <t>R [L amt / mol K ]</t>
  </si>
  <si>
    <t>V [L / mol]</t>
  </si>
  <si>
    <t>T [K]</t>
  </si>
  <si>
    <t>P [ atm]</t>
  </si>
  <si>
    <t>pressure test</t>
  </si>
  <si>
    <t>volume test</t>
  </si>
  <si>
    <t>Componente</t>
  </si>
  <si>
    <t>Methanol</t>
  </si>
  <si>
    <t>w</t>
  </si>
  <si>
    <t>b</t>
  </si>
  <si>
    <t>a</t>
  </si>
  <si>
    <t>fórmula</t>
  </si>
  <si>
    <t>valor</t>
  </si>
  <si>
    <t>single_a</t>
  </si>
  <si>
    <t>single_b</t>
  </si>
  <si>
    <t>temperature test</t>
  </si>
  <si>
    <t>parametros 1 componente 
(Methanol)</t>
  </si>
  <si>
    <t>r1</t>
  </si>
  <si>
    <t>r2</t>
  </si>
  <si>
    <t>r3</t>
  </si>
  <si>
    <t>r4</t>
  </si>
  <si>
    <t>Peng Robinson</t>
  </si>
  <si>
    <t>RKS</t>
  </si>
  <si>
    <t>for methanol</t>
  </si>
  <si>
    <t>m</t>
  </si>
  <si>
    <t>values</t>
  </si>
  <si>
    <t>alpha</t>
  </si>
  <si>
    <t>T[K]</t>
  </si>
  <si>
    <t>c</t>
  </si>
  <si>
    <t>alpha t &lt;tc</t>
  </si>
  <si>
    <t>alpha t &gt;tc</t>
  </si>
  <si>
    <t>T[K] t &gt; tc</t>
  </si>
  <si>
    <t>T[K] t &lt; tc</t>
  </si>
  <si>
    <t>RKSM</t>
  </si>
  <si>
    <t>Peng Robinson Stryjek Vera</t>
  </si>
  <si>
    <t>omega a</t>
  </si>
  <si>
    <t>omega b</t>
  </si>
  <si>
    <t>a t &lt; tc</t>
  </si>
  <si>
    <t>a t &gt; tc</t>
  </si>
  <si>
    <t>alpha * omega a</t>
  </si>
  <si>
    <t>R * Tc</t>
  </si>
  <si>
    <t>(R * Tc) ^2</t>
  </si>
  <si>
    <t>(R * Tc) ^2 / pc</t>
  </si>
  <si>
    <t>PRSV</t>
  </si>
  <si>
    <t>z test</t>
  </si>
  <si>
    <t>A</t>
  </si>
  <si>
    <t>B</t>
  </si>
  <si>
    <t>beta</t>
  </si>
  <si>
    <t>gama</t>
  </si>
  <si>
    <t>C</t>
  </si>
  <si>
    <t>D</t>
  </si>
  <si>
    <t>Q</t>
  </si>
  <si>
    <t>u</t>
  </si>
  <si>
    <t>tetha</t>
  </si>
  <si>
    <t>liquido</t>
  </si>
  <si>
    <t>vapor</t>
  </si>
  <si>
    <t>fugacity test</t>
  </si>
  <si>
    <t>L</t>
  </si>
  <si>
    <t>delta</t>
  </si>
  <si>
    <t>1enbparcialb</t>
  </si>
  <si>
    <t>1enaparciala</t>
  </si>
  <si>
    <t>Water</t>
  </si>
  <si>
    <t>a for water</t>
  </si>
  <si>
    <t>a for methanol</t>
  </si>
  <si>
    <t>prsv</t>
  </si>
  <si>
    <t>test single_as</t>
  </si>
  <si>
    <t>formula</t>
  </si>
  <si>
    <t>Treducida water</t>
  </si>
  <si>
    <t>test single_bs</t>
  </si>
  <si>
    <t>b for water</t>
  </si>
  <si>
    <t>b for methanol</t>
  </si>
  <si>
    <t>1 parameter vdw mixingrule</t>
  </si>
  <si>
    <t>a mixture</t>
  </si>
  <si>
    <t>b mixture</t>
  </si>
  <si>
    <t>kij</t>
  </si>
  <si>
    <t>x</t>
  </si>
  <si>
    <t>methanol</t>
  </si>
  <si>
    <t>water</t>
  </si>
  <si>
    <t>parciala</t>
  </si>
  <si>
    <t>fromula</t>
  </si>
  <si>
    <t>−0.03374</t>
  </si>
  <si>
    <t>−0.06655</t>
  </si>
  <si>
    <t>Nombre</t>
  </si>
  <si>
    <t>Tc [K]</t>
  </si>
  <si>
    <t>Pc [bar]</t>
  </si>
  <si>
    <t>Kij</t>
  </si>
  <si>
    <t>R</t>
  </si>
  <si>
    <t>T</t>
  </si>
  <si>
    <t>factor atm/ bar</t>
  </si>
  <si>
    <t>x1</t>
  </si>
  <si>
    <t>x2</t>
  </si>
  <si>
    <t>Pb [bar]</t>
  </si>
  <si>
    <t>=Y(1)</t>
  </si>
  <si>
    <t>presion [atm]</t>
  </si>
  <si>
    <t>=Y(2)</t>
  </si>
  <si>
    <t>volume [L/mol]</t>
  </si>
  <si>
    <t xml:space="preserve"> Iteraciones</t>
  </si>
  <si>
    <t>Coef.Fug.L</t>
  </si>
  <si>
    <t>Coef.Fug.V</t>
  </si>
  <si>
    <t>fug Methanol</t>
  </si>
  <si>
    <t>Líquido OK</t>
  </si>
  <si>
    <t>Vapor OK</t>
  </si>
  <si>
    <t>Zeta.Liq</t>
  </si>
  <si>
    <t>Zeta.Vap</t>
  </si>
  <si>
    <t>P Posible solución trivial [bar]</t>
  </si>
  <si>
    <t>first estimate Test</t>
  </si>
  <si>
    <t>for methanol testGetPressure</t>
  </si>
  <si>
    <t>for mixture testGetPressure</t>
  </si>
  <si>
    <t>yi</t>
  </si>
  <si>
    <t>p°i</t>
  </si>
  <si>
    <t>p</t>
  </si>
  <si>
    <t>for water testGetTemperature</t>
  </si>
  <si>
    <t>p[bar]</t>
  </si>
  <si>
    <t>p[atm]</t>
  </si>
  <si>
    <t>p[amt]</t>
  </si>
  <si>
    <t>for methanol testGetTemperature</t>
  </si>
  <si>
    <t>for mixture testGetTemperature</t>
  </si>
  <si>
    <t>y</t>
  </si>
  <si>
    <t>y methanol</t>
  </si>
  <si>
    <t>y water</t>
  </si>
  <si>
    <t>z water</t>
  </si>
  <si>
    <t>z methanol</t>
  </si>
  <si>
    <t>for mixture testGetFlash</t>
  </si>
  <si>
    <t>X(líq)</t>
  </si>
  <si>
    <t>Y(vap)</t>
  </si>
  <si>
    <t>z</t>
  </si>
  <si>
    <t xml:space="preserve">y </t>
  </si>
  <si>
    <t>xi</t>
  </si>
  <si>
    <t>(T/alpha)(dalpha/dT)</t>
  </si>
  <si>
    <t>(T/alpha)(dalpha/dT)
T[K] t &lt; tc</t>
  </si>
  <si>
    <t>(T/alpha)(dalpha/dT)
T[K] t &gt; tc</t>
  </si>
  <si>
    <t>Propane</t>
  </si>
  <si>
    <t>P = 15.19 kPa</t>
  </si>
  <si>
    <t>experimental data</t>
  </si>
  <si>
    <t>0.14991 atm</t>
  </si>
  <si>
    <t>bar</t>
  </si>
  <si>
    <t>(1) methanol</t>
  </si>
  <si>
    <t>(2) water</t>
  </si>
  <si>
    <t>for temperature Bubble Diagram</t>
  </si>
  <si>
    <t>results from aspen for</t>
  </si>
  <si>
    <t>methanol-water</t>
  </si>
  <si>
    <t>kappa</t>
  </si>
  <si>
    <t xml:space="preserve">methanol </t>
  </si>
  <si>
    <t>pressure [atm]</t>
  </si>
  <si>
    <t>T[°C]</t>
  </si>
  <si>
    <t>binary interaction</t>
  </si>
  <si>
    <t>R [Pa m^3 / kmol K ]</t>
  </si>
  <si>
    <t>Factor acéntrico</t>
  </si>
  <si>
    <t>Presión crítica</t>
  </si>
  <si>
    <t>Temperatura Crítica</t>
  </si>
  <si>
    <t>prsv kappa</t>
  </si>
  <si>
    <t>Unidades</t>
  </si>
  <si>
    <t>Pa</t>
  </si>
  <si>
    <t>K</t>
  </si>
  <si>
    <t>V [m^3 / kmol]</t>
  </si>
  <si>
    <t>P [ Pa]</t>
  </si>
</sst>
</file>

<file path=xl/styles.xml><?xml version="1.0" encoding="utf-8"?>
<styleSheet xmlns="http://schemas.openxmlformats.org/spreadsheetml/2006/main">
  <numFmts count="2">
    <numFmt numFmtId="164" formatCode="0.00000"/>
    <numFmt numFmtId="165" formatCode="0.0000000"/>
  </numFmts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02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1" fillId="2" borderId="9" xfId="0" applyFont="1" applyFill="1" applyBorder="1" applyAlignment="1">
      <alignment vertical="center"/>
    </xf>
    <xf numFmtId="0" fontId="0" fillId="0" borderId="10" xfId="0" applyBorder="1"/>
    <xf numFmtId="0" fontId="0" fillId="0" borderId="11" xfId="0" applyBorder="1"/>
    <xf numFmtId="0" fontId="1" fillId="2" borderId="9" xfId="0" applyFont="1" applyFill="1" applyBorder="1"/>
    <xf numFmtId="0" fontId="0" fillId="0" borderId="0" xfId="0" applyBorder="1"/>
    <xf numFmtId="0" fontId="0" fillId="0" borderId="5" xfId="0" applyBorder="1"/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3" fillId="0" borderId="0" xfId="1"/>
    <xf numFmtId="0" fontId="3" fillId="0" borderId="0" xfId="1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0" borderId="4" xfId="0" applyBorder="1"/>
    <xf numFmtId="0" fontId="0" fillId="0" borderId="6" xfId="0" applyBorder="1"/>
    <xf numFmtId="0" fontId="3" fillId="0" borderId="4" xfId="1" applyBorder="1" applyAlignment="1">
      <alignment horizontal="center" vertical="center"/>
    </xf>
    <xf numFmtId="0" fontId="3" fillId="0" borderId="0" xfId="1" applyBorder="1" applyAlignment="1">
      <alignment horizontal="center" vertical="center"/>
    </xf>
    <xf numFmtId="0" fontId="3" fillId="0" borderId="0" xfId="1" applyBorder="1"/>
    <xf numFmtId="0" fontId="3" fillId="0" borderId="5" xfId="1" applyBorder="1"/>
    <xf numFmtId="0" fontId="3" fillId="0" borderId="5" xfId="1" applyBorder="1" applyAlignment="1">
      <alignment horizontal="center" vertical="center"/>
    </xf>
    <xf numFmtId="0" fontId="3" fillId="0" borderId="6" xfId="1" applyBorder="1" applyAlignment="1">
      <alignment horizontal="center" vertical="center"/>
    </xf>
    <xf numFmtId="0" fontId="3" fillId="0" borderId="7" xfId="1" applyBorder="1" applyAlignment="1">
      <alignment horizontal="center" vertical="center"/>
    </xf>
    <xf numFmtId="0" fontId="3" fillId="0" borderId="7" xfId="1" applyBorder="1"/>
    <xf numFmtId="0" fontId="3" fillId="0" borderId="8" xfId="1" applyBorder="1"/>
    <xf numFmtId="0" fontId="3" fillId="0" borderId="2" xfId="1" applyFont="1" applyBorder="1" applyAlignment="1">
      <alignment horizontal="center" vertical="center"/>
    </xf>
    <xf numFmtId="11" fontId="3" fillId="0" borderId="2" xfId="1" applyNumberFormat="1" applyBorder="1" applyAlignment="1">
      <alignment horizontal="center" vertical="center"/>
    </xf>
    <xf numFmtId="0" fontId="3" fillId="0" borderId="2" xfId="1" applyBorder="1"/>
    <xf numFmtId="0" fontId="3" fillId="0" borderId="3" xfId="1" applyBorder="1"/>
    <xf numFmtId="0" fontId="3" fillId="0" borderId="0" xfId="1" applyFont="1" applyBorder="1" applyAlignment="1">
      <alignment horizontal="center" vertical="center"/>
    </xf>
    <xf numFmtId="165" fontId="3" fillId="0" borderId="0" xfId="1" applyNumberFormat="1" applyBorder="1" applyAlignment="1">
      <alignment horizontal="center" vertical="center"/>
    </xf>
    <xf numFmtId="2" fontId="3" fillId="0" borderId="0" xfId="1" applyNumberFormat="1" applyBorder="1" applyAlignment="1">
      <alignment horizontal="center" vertical="center"/>
    </xf>
    <xf numFmtId="0" fontId="1" fillId="2" borderId="4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3" fillId="0" borderId="4" xfId="1" applyFill="1" applyBorder="1" applyAlignment="1">
      <alignment horizontal="center" vertical="center"/>
    </xf>
    <xf numFmtId="11" fontId="0" fillId="0" borderId="0" xfId="0" applyNumberFormat="1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1" fontId="0" fillId="0" borderId="2" xfId="0" applyNumberFormat="1" applyBorder="1"/>
    <xf numFmtId="0" fontId="4" fillId="2" borderId="1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0" xfId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MX"/>
  <c:chart>
    <c:plotArea>
      <c:layout>
        <c:manualLayout>
          <c:layoutTarget val="inner"/>
          <c:xMode val="edge"/>
          <c:yMode val="edge"/>
          <c:x val="0.24768766404199474"/>
          <c:y val="3.9118715929739582E-2"/>
          <c:w val="0.71806233595800528"/>
          <c:h val="0.8326195683872849"/>
        </c:manualLayout>
      </c:layout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BubblePointTest!$J$36:$T$36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BubblePointTest!$J$38:$T$38</c:f>
              <c:numCache>
                <c:formatCode>General</c:formatCode>
                <c:ptCount val="11"/>
                <c:pt idx="0">
                  <c:v>329.58853272931827</c:v>
                </c:pt>
                <c:pt idx="1">
                  <c:v>316.23071653103369</c:v>
                </c:pt>
                <c:pt idx="2">
                  <c:v>311.88672418168011</c:v>
                </c:pt>
                <c:pt idx="3">
                  <c:v>309.32409683971241</c:v>
                </c:pt>
                <c:pt idx="4">
                  <c:v>307.329107907636</c:v>
                </c:pt>
                <c:pt idx="5">
                  <c:v>305.57867886150984</c:v>
                </c:pt>
                <c:pt idx="6">
                  <c:v>303.96709186959185</c:v>
                </c:pt>
                <c:pt idx="7">
                  <c:v>302.45463172220224</c:v>
                </c:pt>
                <c:pt idx="8">
                  <c:v>301.02415542594093</c:v>
                </c:pt>
                <c:pt idx="9">
                  <c:v>299.66679833063</c:v>
                </c:pt>
                <c:pt idx="10">
                  <c:v>298.37686416903159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numRef>
              <c:f>BubblePointTest!$J$39:$T$39</c:f>
              <c:numCache>
                <c:formatCode>General</c:formatCode>
                <c:ptCount val="11"/>
                <c:pt idx="0">
                  <c:v>1.4814668847416814E-14</c:v>
                </c:pt>
                <c:pt idx="1">
                  <c:v>0.53695950410422433</c:v>
                </c:pt>
                <c:pt idx="2">
                  <c:v>0.65927677362735204</c:v>
                </c:pt>
                <c:pt idx="3">
                  <c:v>0.72568783796703584</c:v>
                </c:pt>
                <c:pt idx="4">
                  <c:v>0.77626537005259888</c:v>
                </c:pt>
                <c:pt idx="5">
                  <c:v>0.82043509675426751</c:v>
                </c:pt>
                <c:pt idx="6">
                  <c:v>0.86105754341101082</c:v>
                </c:pt>
                <c:pt idx="7">
                  <c:v>0.89908742858398161</c:v>
                </c:pt>
                <c:pt idx="8">
                  <c:v>0.93485156498200195</c:v>
                </c:pt>
                <c:pt idx="9">
                  <c:v>0.96846873935470335</c:v>
                </c:pt>
                <c:pt idx="10">
                  <c:v>0.99999999999999967</c:v>
                </c:pt>
              </c:numCache>
            </c:numRef>
          </c:xVal>
          <c:yVal>
            <c:numRef>
              <c:f>BubblePointTest!$J$38:$T$38</c:f>
              <c:numCache>
                <c:formatCode>General</c:formatCode>
                <c:ptCount val="11"/>
                <c:pt idx="0">
                  <c:v>329.58853272931827</c:v>
                </c:pt>
                <c:pt idx="1">
                  <c:v>316.23071653103369</c:v>
                </c:pt>
                <c:pt idx="2">
                  <c:v>311.88672418168011</c:v>
                </c:pt>
                <c:pt idx="3">
                  <c:v>309.32409683971241</c:v>
                </c:pt>
                <c:pt idx="4">
                  <c:v>307.329107907636</c:v>
                </c:pt>
                <c:pt idx="5">
                  <c:v>305.57867886150984</c:v>
                </c:pt>
                <c:pt idx="6">
                  <c:v>303.96709186959185</c:v>
                </c:pt>
                <c:pt idx="7">
                  <c:v>302.45463172220224</c:v>
                </c:pt>
                <c:pt idx="8">
                  <c:v>301.02415542594093</c:v>
                </c:pt>
                <c:pt idx="9">
                  <c:v>299.66679833063</c:v>
                </c:pt>
                <c:pt idx="10">
                  <c:v>298.37686416903159</c:v>
                </c:pt>
              </c:numCache>
            </c:numRef>
          </c:yVal>
          <c:smooth val="1"/>
        </c:ser>
        <c:axId val="175679360"/>
        <c:axId val="175680896"/>
      </c:scatterChart>
      <c:valAx>
        <c:axId val="175679360"/>
        <c:scaling>
          <c:orientation val="minMax"/>
        </c:scaling>
        <c:axPos val="b"/>
        <c:numFmt formatCode="General" sourceLinked="1"/>
        <c:tickLblPos val="nextTo"/>
        <c:crossAx val="175680896"/>
        <c:crosses val="autoZero"/>
        <c:crossBetween val="midCat"/>
      </c:valAx>
      <c:valAx>
        <c:axId val="175680896"/>
        <c:scaling>
          <c:orientation val="minMax"/>
        </c:scaling>
        <c:axPos val="l"/>
        <c:majorGridlines/>
        <c:numFmt formatCode="General" sourceLinked="1"/>
        <c:tickLblPos val="nextTo"/>
        <c:crossAx val="175679360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MX"/>
  <c:chart>
    <c:title>
      <c:tx>
        <c:rich>
          <a:bodyPr/>
          <a:lstStyle/>
          <a:p>
            <a:pPr>
              <a:defRPr/>
            </a:pPr>
            <a:r>
              <a:rPr lang="es-MX"/>
              <a:t>Diagrama</a:t>
            </a:r>
            <a:r>
              <a:rPr lang="es-MX" baseline="0"/>
              <a:t> de temperatura de burbuja EQFases</a:t>
            </a:r>
            <a:endParaRPr lang="es-MX"/>
          </a:p>
        </c:rich>
      </c:tx>
    </c:title>
    <c:plotArea>
      <c:layout/>
      <c:scatterChart>
        <c:scatterStyle val="smoothMarker"/>
        <c:ser>
          <c:idx val="0"/>
          <c:order val="0"/>
          <c:tx>
            <c:v>prsv</c:v>
          </c:tx>
          <c:marker>
            <c:symbol val="none"/>
          </c:marker>
          <c:xVal>
            <c:numRef>
              <c:f>BubblePointTest!$J$36:$T$36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BubblePointTest!$J$38:$T$38</c:f>
              <c:numCache>
                <c:formatCode>General</c:formatCode>
                <c:ptCount val="11"/>
                <c:pt idx="0">
                  <c:v>329.58853272931827</c:v>
                </c:pt>
                <c:pt idx="1">
                  <c:v>316.23071653103369</c:v>
                </c:pt>
                <c:pt idx="2">
                  <c:v>311.88672418168011</c:v>
                </c:pt>
                <c:pt idx="3">
                  <c:v>309.32409683971241</c:v>
                </c:pt>
                <c:pt idx="4">
                  <c:v>307.329107907636</c:v>
                </c:pt>
                <c:pt idx="5">
                  <c:v>305.57867886150984</c:v>
                </c:pt>
                <c:pt idx="6">
                  <c:v>303.96709186959185</c:v>
                </c:pt>
                <c:pt idx="7">
                  <c:v>302.45463172220224</c:v>
                </c:pt>
                <c:pt idx="8">
                  <c:v>301.02415542594093</c:v>
                </c:pt>
                <c:pt idx="9">
                  <c:v>299.66679833063</c:v>
                </c:pt>
                <c:pt idx="10">
                  <c:v>298.37686416903159</c:v>
                </c:pt>
              </c:numCache>
            </c:numRef>
          </c:yVal>
          <c:smooth val="1"/>
        </c:ser>
        <c:ser>
          <c:idx val="1"/>
          <c:order val="1"/>
          <c:tx>
            <c:v>prsv</c:v>
          </c:tx>
          <c:marker>
            <c:symbol val="none"/>
          </c:marker>
          <c:xVal>
            <c:numRef>
              <c:f>BubblePointTest!$J$39:$T$39</c:f>
              <c:numCache>
                <c:formatCode>General</c:formatCode>
                <c:ptCount val="11"/>
                <c:pt idx="0">
                  <c:v>1.4814668847416814E-14</c:v>
                </c:pt>
                <c:pt idx="1">
                  <c:v>0.53695950410422433</c:v>
                </c:pt>
                <c:pt idx="2">
                  <c:v>0.65927677362735204</c:v>
                </c:pt>
                <c:pt idx="3">
                  <c:v>0.72568783796703584</c:v>
                </c:pt>
                <c:pt idx="4">
                  <c:v>0.77626537005259888</c:v>
                </c:pt>
                <c:pt idx="5">
                  <c:v>0.82043509675426751</c:v>
                </c:pt>
                <c:pt idx="6">
                  <c:v>0.86105754341101082</c:v>
                </c:pt>
                <c:pt idx="7">
                  <c:v>0.89908742858398161</c:v>
                </c:pt>
                <c:pt idx="8">
                  <c:v>0.93485156498200195</c:v>
                </c:pt>
                <c:pt idx="9">
                  <c:v>0.96846873935470335</c:v>
                </c:pt>
                <c:pt idx="10">
                  <c:v>0.99999999999999967</c:v>
                </c:pt>
              </c:numCache>
            </c:numRef>
          </c:xVal>
          <c:yVal>
            <c:numRef>
              <c:f>BubblePointTest!$J$38:$T$38</c:f>
              <c:numCache>
                <c:formatCode>General</c:formatCode>
                <c:ptCount val="11"/>
                <c:pt idx="0">
                  <c:v>329.58853272931827</c:v>
                </c:pt>
                <c:pt idx="1">
                  <c:v>316.23071653103369</c:v>
                </c:pt>
                <c:pt idx="2">
                  <c:v>311.88672418168011</c:v>
                </c:pt>
                <c:pt idx="3">
                  <c:v>309.32409683971241</c:v>
                </c:pt>
                <c:pt idx="4">
                  <c:v>307.329107907636</c:v>
                </c:pt>
                <c:pt idx="5">
                  <c:v>305.57867886150984</c:v>
                </c:pt>
                <c:pt idx="6">
                  <c:v>303.96709186959185</c:v>
                </c:pt>
                <c:pt idx="7">
                  <c:v>302.45463172220224</c:v>
                </c:pt>
                <c:pt idx="8">
                  <c:v>301.02415542594093</c:v>
                </c:pt>
                <c:pt idx="9">
                  <c:v>299.66679833063</c:v>
                </c:pt>
                <c:pt idx="10">
                  <c:v>298.37686416903159</c:v>
                </c:pt>
              </c:numCache>
            </c:numRef>
          </c:yVal>
          <c:smooth val="1"/>
        </c:ser>
        <c:ser>
          <c:idx val="2"/>
          <c:order val="2"/>
          <c:tx>
            <c:v>exp Liquid</c:v>
          </c:tx>
          <c:spPr>
            <a:ln>
              <a:noFill/>
            </a:ln>
          </c:spPr>
          <c:marker>
            <c:symbol val="square"/>
            <c:size val="4"/>
          </c:marker>
          <c:xVal>
            <c:numRef>
              <c:f>BubblePointTest!$J$55:$J$65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BubblePointTest!$K$55:$K$65</c:f>
              <c:numCache>
                <c:formatCode>General</c:formatCode>
                <c:ptCount val="11"/>
                <c:pt idx="0">
                  <c:v>327.39999999999998</c:v>
                </c:pt>
                <c:pt idx="1">
                  <c:v>318.05</c:v>
                </c:pt>
                <c:pt idx="2">
                  <c:v>312.39999999999998</c:v>
                </c:pt>
                <c:pt idx="3">
                  <c:v>308.55</c:v>
                </c:pt>
                <c:pt idx="4">
                  <c:v>305.7</c:v>
                </c:pt>
                <c:pt idx="5">
                  <c:v>303.5</c:v>
                </c:pt>
                <c:pt idx="6">
                  <c:v>301.7</c:v>
                </c:pt>
                <c:pt idx="7">
                  <c:v>300.10000000000002</c:v>
                </c:pt>
                <c:pt idx="8">
                  <c:v>298.7</c:v>
                </c:pt>
                <c:pt idx="9">
                  <c:v>297.39999999999998</c:v>
                </c:pt>
                <c:pt idx="10">
                  <c:v>296.10000000000002</c:v>
                </c:pt>
              </c:numCache>
            </c:numRef>
          </c:yVal>
          <c:smooth val="1"/>
        </c:ser>
        <c:ser>
          <c:idx val="3"/>
          <c:order val="3"/>
          <c:tx>
            <c:v>exp vapor</c:v>
          </c:tx>
          <c:spPr>
            <a:ln>
              <a:noFill/>
            </a:ln>
          </c:spPr>
          <c:marker>
            <c:symbol val="square"/>
            <c:size val="4"/>
          </c:marker>
          <c:xVal>
            <c:numRef>
              <c:f>BubblePointTest!$L$55:$L$65</c:f>
              <c:numCache>
                <c:formatCode>General</c:formatCode>
                <c:ptCount val="11"/>
                <c:pt idx="0">
                  <c:v>0</c:v>
                </c:pt>
                <c:pt idx="1">
                  <c:v>0.43338599999999999</c:v>
                </c:pt>
                <c:pt idx="2">
                  <c:v>0.62119000000000002</c:v>
                </c:pt>
                <c:pt idx="3">
                  <c:v>0.72528899999999996</c:v>
                </c:pt>
                <c:pt idx="4">
                  <c:v>0.79242000000000001</c:v>
                </c:pt>
                <c:pt idx="5">
                  <c:v>0.84065599999999996</c:v>
                </c:pt>
                <c:pt idx="6">
                  <c:v>0.87856000000000001</c:v>
                </c:pt>
                <c:pt idx="7">
                  <c:v>0.91083499999999995</c:v>
                </c:pt>
                <c:pt idx="8">
                  <c:v>0.94036500000000001</c:v>
                </c:pt>
                <c:pt idx="9">
                  <c:v>0.96940400000000004</c:v>
                </c:pt>
                <c:pt idx="10">
                  <c:v>1</c:v>
                </c:pt>
              </c:numCache>
            </c:numRef>
          </c:xVal>
          <c:yVal>
            <c:numRef>
              <c:f>BubblePointTest!$K$55:$K$65</c:f>
              <c:numCache>
                <c:formatCode>General</c:formatCode>
                <c:ptCount val="11"/>
                <c:pt idx="0">
                  <c:v>327.39999999999998</c:v>
                </c:pt>
                <c:pt idx="1">
                  <c:v>318.05</c:v>
                </c:pt>
                <c:pt idx="2">
                  <c:v>312.39999999999998</c:v>
                </c:pt>
                <c:pt idx="3">
                  <c:v>308.55</c:v>
                </c:pt>
                <c:pt idx="4">
                  <c:v>305.7</c:v>
                </c:pt>
                <c:pt idx="5">
                  <c:v>303.5</c:v>
                </c:pt>
                <c:pt idx="6">
                  <c:v>301.7</c:v>
                </c:pt>
                <c:pt idx="7">
                  <c:v>300.10000000000002</c:v>
                </c:pt>
                <c:pt idx="8">
                  <c:v>298.7</c:v>
                </c:pt>
                <c:pt idx="9">
                  <c:v>297.39999999999998</c:v>
                </c:pt>
                <c:pt idx="10">
                  <c:v>296.10000000000002</c:v>
                </c:pt>
              </c:numCache>
            </c:numRef>
          </c:yVal>
          <c:smooth val="1"/>
        </c:ser>
        <c:axId val="177407488"/>
        <c:axId val="177422336"/>
      </c:scatterChart>
      <c:valAx>
        <c:axId val="17740748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x metanol</a:t>
                </a:r>
              </a:p>
            </c:rich>
          </c:tx>
        </c:title>
        <c:numFmt formatCode="General" sourceLinked="1"/>
        <c:majorTickMark val="none"/>
        <c:tickLblPos val="nextTo"/>
        <c:crossAx val="177422336"/>
        <c:crosses val="autoZero"/>
        <c:crossBetween val="midCat"/>
      </c:valAx>
      <c:valAx>
        <c:axId val="17742233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T[K]</a:t>
                </a:r>
              </a:p>
            </c:rich>
          </c:tx>
        </c:title>
        <c:numFmt formatCode="General" sourceLinked="1"/>
        <c:majorTickMark val="none"/>
        <c:tickLblPos val="nextTo"/>
        <c:crossAx val="177407488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MX"/>
  <c:chart>
    <c:title>
      <c:tx>
        <c:rich>
          <a:bodyPr/>
          <a:lstStyle/>
          <a:p>
            <a:pPr>
              <a:defRPr/>
            </a:pPr>
            <a:r>
              <a:rPr lang="es-MX"/>
              <a:t>Diagrama de presión de burbuja agua-metanol</a:t>
            </a:r>
            <a:r>
              <a:rPr lang="es-MX" baseline="0"/>
              <a:t> EQFases</a:t>
            </a:r>
            <a:endParaRPr lang="es-MX"/>
          </a:p>
        </c:rich>
      </c:tx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BubblePointTest!$K$70:$U$70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BubblePointTest!$K$72:$U$72</c:f>
              <c:numCache>
                <c:formatCode>General</c:formatCode>
                <c:ptCount val="11"/>
                <c:pt idx="0">
                  <c:v>2.3883846825890065</c:v>
                </c:pt>
                <c:pt idx="1">
                  <c:v>3.6219492482194715</c:v>
                </c:pt>
                <c:pt idx="2">
                  <c:v>4.3054212331250099</c:v>
                </c:pt>
                <c:pt idx="3">
                  <c:v>4.8159896396403505</c:v>
                </c:pt>
                <c:pt idx="4">
                  <c:v>5.2668436665055394</c:v>
                </c:pt>
                <c:pt idx="5">
                  <c:v>5.6973548207912215</c:v>
                </c:pt>
                <c:pt idx="6">
                  <c:v>6.1227711903297415</c:v>
                </c:pt>
                <c:pt idx="7">
                  <c:v>6.5495217380445032</c:v>
                </c:pt>
                <c:pt idx="8">
                  <c:v>6.9805615160188603</c:v>
                </c:pt>
                <c:pt idx="9">
                  <c:v>7.4174329395429952</c:v>
                </c:pt>
                <c:pt idx="10">
                  <c:v>7.8610709241065466</c:v>
                </c:pt>
              </c:numCache>
            </c:numRef>
          </c:yVal>
        </c:ser>
        <c:ser>
          <c:idx val="1"/>
          <c:order val="1"/>
          <c:spPr>
            <a:ln w="28575">
              <a:noFill/>
            </a:ln>
          </c:spPr>
          <c:xVal>
            <c:numRef>
              <c:f>BubblePointTest!$K$73:$U$73</c:f>
              <c:numCache>
                <c:formatCode>General</c:formatCode>
                <c:ptCount val="11"/>
                <c:pt idx="0">
                  <c:v>8.4695920295006495E-15</c:v>
                </c:pt>
                <c:pt idx="1">
                  <c:v>0.38921670261323504</c:v>
                </c:pt>
                <c:pt idx="2">
                  <c:v>0.521362623957354</c:v>
                </c:pt>
                <c:pt idx="3">
                  <c:v>0.60462228541380147</c:v>
                </c:pt>
                <c:pt idx="4">
                  <c:v>0.67212118571386836</c:v>
                </c:pt>
                <c:pt idx="5">
                  <c:v>0.73301488384349489</c:v>
                </c:pt>
                <c:pt idx="6">
                  <c:v>0.79042644005911977</c:v>
                </c:pt>
                <c:pt idx="7">
                  <c:v>0.84551355212010082</c:v>
                </c:pt>
                <c:pt idx="8">
                  <c:v>0.89871137505898657</c:v>
                </c:pt>
                <c:pt idx="9">
                  <c:v>0.95018300941716671</c:v>
                </c:pt>
                <c:pt idx="10">
                  <c:v>0.99999999999999956</c:v>
                </c:pt>
              </c:numCache>
            </c:numRef>
          </c:xVal>
          <c:yVal>
            <c:numRef>
              <c:f>BubblePointTest!$K$72:$U$72</c:f>
              <c:numCache>
                <c:formatCode>General</c:formatCode>
                <c:ptCount val="11"/>
                <c:pt idx="0">
                  <c:v>2.3883846825890065</c:v>
                </c:pt>
                <c:pt idx="1">
                  <c:v>3.6219492482194715</c:v>
                </c:pt>
                <c:pt idx="2">
                  <c:v>4.3054212331250099</c:v>
                </c:pt>
                <c:pt idx="3">
                  <c:v>4.8159896396403505</c:v>
                </c:pt>
                <c:pt idx="4">
                  <c:v>5.2668436665055394</c:v>
                </c:pt>
                <c:pt idx="5">
                  <c:v>5.6973548207912215</c:v>
                </c:pt>
                <c:pt idx="6">
                  <c:v>6.1227711903297415</c:v>
                </c:pt>
                <c:pt idx="7">
                  <c:v>6.5495217380445032</c:v>
                </c:pt>
                <c:pt idx="8">
                  <c:v>6.9805615160188603</c:v>
                </c:pt>
                <c:pt idx="9">
                  <c:v>7.4174329395429952</c:v>
                </c:pt>
                <c:pt idx="10">
                  <c:v>7.8610709241065466</c:v>
                </c:pt>
              </c:numCache>
            </c:numRef>
          </c:yVal>
        </c:ser>
        <c:axId val="177447680"/>
        <c:axId val="177449600"/>
      </c:scatterChart>
      <c:valAx>
        <c:axId val="17744768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x metanol</a:t>
                </a:r>
              </a:p>
            </c:rich>
          </c:tx>
        </c:title>
        <c:numFmt formatCode="General" sourceLinked="1"/>
        <c:majorTickMark val="none"/>
        <c:tickLblPos val="nextTo"/>
        <c:crossAx val="177449600"/>
        <c:crosses val="autoZero"/>
        <c:crossBetween val="midCat"/>
      </c:valAx>
      <c:valAx>
        <c:axId val="17744960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P[bar]</a:t>
                </a:r>
              </a:p>
            </c:rich>
          </c:tx>
        </c:title>
        <c:numFmt formatCode="General" sourceLinked="1"/>
        <c:majorTickMark val="none"/>
        <c:tickLblPos val="nextTo"/>
        <c:crossAx val="177447680"/>
        <c:crosses val="autoZero"/>
        <c:crossBetween val="midCat"/>
      </c:valAx>
    </c:plotArea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MX"/>
  <c:chart>
    <c:plotArea>
      <c:layout/>
      <c:scatterChart>
        <c:scatterStyle val="lineMarker"/>
        <c:ser>
          <c:idx val="0"/>
          <c:order val="0"/>
          <c:tx>
            <c:v>liquido</c:v>
          </c:tx>
          <c:spPr>
            <a:ln w="28575">
              <a:noFill/>
            </a:ln>
          </c:spPr>
          <c:xVal>
            <c:numRef>
              <c:f>BubbleDiagram!$A$11:$A$21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BubbleDiagram!$D$11:$D$21</c:f>
              <c:numCache>
                <c:formatCode>General</c:formatCode>
                <c:ptCount val="11"/>
                <c:pt idx="0">
                  <c:v>327.06669616699219</c:v>
                </c:pt>
                <c:pt idx="1">
                  <c:v>326.14628410852526</c:v>
                </c:pt>
                <c:pt idx="2">
                  <c:v>323.88697652365727</c:v>
                </c:pt>
                <c:pt idx="3">
                  <c:v>320.85554523553935</c:v>
                </c:pt>
                <c:pt idx="4">
                  <c:v>317.62233337568506</c:v>
                </c:pt>
                <c:pt idx="5">
                  <c:v>314.53648569578297</c:v>
                </c:pt>
                <c:pt idx="6">
                  <c:v>311.75657695826516</c:v>
                </c:pt>
                <c:pt idx="7">
                  <c:v>309.3250449592104</c:v>
                </c:pt>
                <c:pt idx="8">
                  <c:v>307.22826315713348</c:v>
                </c:pt>
                <c:pt idx="9">
                  <c:v>305.42718049319768</c:v>
                </c:pt>
                <c:pt idx="10">
                  <c:v>303.87631225585937</c:v>
                </c:pt>
              </c:numCache>
            </c:numRef>
          </c:yVal>
        </c:ser>
        <c:ser>
          <c:idx val="1"/>
          <c:order val="1"/>
          <c:tx>
            <c:v>vapor</c:v>
          </c:tx>
          <c:spPr>
            <a:ln w="28575">
              <a:noFill/>
            </a:ln>
          </c:spPr>
          <c:xVal>
            <c:numRef>
              <c:f>BubbleDiagram!$B$11:$B$21</c:f>
              <c:numCache>
                <c:formatCode>General</c:formatCode>
                <c:ptCount val="11"/>
                <c:pt idx="0">
                  <c:v>0</c:v>
                </c:pt>
                <c:pt idx="1">
                  <c:v>0.156250777646575</c:v>
                </c:pt>
                <c:pt idx="2">
                  <c:v>0.35945183160455302</c:v>
                </c:pt>
                <c:pt idx="3">
                  <c:v>0.54785801937119005</c:v>
                </c:pt>
                <c:pt idx="4">
                  <c:v>0.69486158883764304</c:v>
                </c:pt>
                <c:pt idx="5">
                  <c:v>0.80025412724815403</c:v>
                </c:pt>
                <c:pt idx="6">
                  <c:v>0.87320014434568904</c:v>
                </c:pt>
                <c:pt idx="7">
                  <c:v>0.92332785416995</c:v>
                </c:pt>
                <c:pt idx="8">
                  <c:v>0.95802994848435497</c:v>
                </c:pt>
                <c:pt idx="9">
                  <c:v>0.98245680853173301</c:v>
                </c:pt>
                <c:pt idx="10">
                  <c:v>1</c:v>
                </c:pt>
              </c:numCache>
            </c:numRef>
          </c:xVal>
          <c:yVal>
            <c:numRef>
              <c:f>BubbleDiagram!$D$11:$D$21</c:f>
              <c:numCache>
                <c:formatCode>General</c:formatCode>
                <c:ptCount val="11"/>
                <c:pt idx="0">
                  <c:v>327.06669616699219</c:v>
                </c:pt>
                <c:pt idx="1">
                  <c:v>326.14628410852526</c:v>
                </c:pt>
                <c:pt idx="2">
                  <c:v>323.88697652365727</c:v>
                </c:pt>
                <c:pt idx="3">
                  <c:v>320.85554523553935</c:v>
                </c:pt>
                <c:pt idx="4">
                  <c:v>317.62233337568506</c:v>
                </c:pt>
                <c:pt idx="5">
                  <c:v>314.53648569578297</c:v>
                </c:pt>
                <c:pt idx="6">
                  <c:v>311.75657695826516</c:v>
                </c:pt>
                <c:pt idx="7">
                  <c:v>309.3250449592104</c:v>
                </c:pt>
                <c:pt idx="8">
                  <c:v>307.22826315713348</c:v>
                </c:pt>
                <c:pt idx="9">
                  <c:v>305.42718049319768</c:v>
                </c:pt>
                <c:pt idx="10">
                  <c:v>303.87631225585937</c:v>
                </c:pt>
              </c:numCache>
            </c:numRef>
          </c:yVal>
        </c:ser>
        <c:axId val="179981696"/>
        <c:axId val="179999872"/>
      </c:scatterChart>
      <c:valAx>
        <c:axId val="179981696"/>
        <c:scaling>
          <c:orientation val="minMax"/>
        </c:scaling>
        <c:axPos val="b"/>
        <c:numFmt formatCode="General" sourceLinked="1"/>
        <c:tickLblPos val="nextTo"/>
        <c:crossAx val="179999872"/>
        <c:crosses val="autoZero"/>
        <c:crossBetween val="midCat"/>
      </c:valAx>
      <c:valAx>
        <c:axId val="179999872"/>
        <c:scaling>
          <c:orientation val="minMax"/>
        </c:scaling>
        <c:axPos val="l"/>
        <c:majorGridlines/>
        <c:numFmt formatCode="General" sourceLinked="1"/>
        <c:tickLblPos val="nextTo"/>
        <c:crossAx val="179981696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495300</xdr:colOff>
      <xdr:row>45</xdr:row>
      <xdr:rowOff>60960</xdr:rowOff>
    </xdr:from>
    <xdr:to>
      <xdr:col>17</xdr:col>
      <xdr:colOff>480060</xdr:colOff>
      <xdr:row>56</xdr:row>
      <xdr:rowOff>91440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784860</xdr:colOff>
      <xdr:row>54</xdr:row>
      <xdr:rowOff>129540</xdr:rowOff>
    </xdr:from>
    <xdr:to>
      <xdr:col>21</xdr:col>
      <xdr:colOff>716280</xdr:colOff>
      <xdr:row>70</xdr:row>
      <xdr:rowOff>15240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411480</xdr:colOff>
      <xdr:row>83</xdr:row>
      <xdr:rowOff>167640</xdr:rowOff>
    </xdr:from>
    <xdr:to>
      <xdr:col>16</xdr:col>
      <xdr:colOff>228600</xdr:colOff>
      <xdr:row>98</xdr:row>
      <xdr:rowOff>167640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746760</xdr:colOff>
      <xdr:row>5</xdr:row>
      <xdr:rowOff>137160</xdr:rowOff>
    </xdr:from>
    <xdr:to>
      <xdr:col>10</xdr:col>
      <xdr:colOff>563880</xdr:colOff>
      <xdr:row>20</xdr:row>
      <xdr:rowOff>137160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QFXL11A.XLA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atabank"/>
      <sheetName val="EQFXL11A"/>
    </sheetNames>
    <definedNames>
      <definedName name="FlashTP"/>
      <definedName name="Pburbuja"/>
      <definedName name="Procio"/>
      <definedName name="Tburbuja"/>
      <definedName name="Trocio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opLeftCell="G1" workbookViewId="0">
      <selection activeCell="H37" sqref="H37:S51"/>
    </sheetView>
  </sheetViews>
  <sheetFormatPr baseColWidth="10" defaultRowHeight="14.4"/>
  <sheetData>
    <row r="1" spans="1:11">
      <c r="A1" s="58" t="s">
        <v>82</v>
      </c>
      <c r="B1" s="58" t="s">
        <v>83</v>
      </c>
      <c r="C1" s="58" t="s">
        <v>84</v>
      </c>
      <c r="D1" s="58" t="s">
        <v>8</v>
      </c>
      <c r="E1" s="56"/>
      <c r="F1" s="58" t="s">
        <v>85</v>
      </c>
      <c r="G1" s="58" t="s">
        <v>7</v>
      </c>
      <c r="H1" s="58" t="s">
        <v>61</v>
      </c>
    </row>
    <row r="2" spans="1:11">
      <c r="A2" s="58" t="s">
        <v>7</v>
      </c>
      <c r="B2" s="58">
        <v>512.5</v>
      </c>
      <c r="C2" s="58">
        <v>80.84</v>
      </c>
      <c r="D2" s="58">
        <v>0.56583099999999997</v>
      </c>
      <c r="E2" s="56"/>
      <c r="F2" s="58" t="s">
        <v>7</v>
      </c>
      <c r="G2" s="56"/>
      <c r="H2" s="58">
        <v>-7.7799999999999994E-2</v>
      </c>
    </row>
    <row r="3" spans="1:11">
      <c r="A3" s="58" t="s">
        <v>61</v>
      </c>
      <c r="B3" s="58">
        <v>647.13</v>
      </c>
      <c r="C3" s="58">
        <v>220.55</v>
      </c>
      <c r="D3" s="58">
        <v>0.34486099999999997</v>
      </c>
      <c r="E3" s="56"/>
      <c r="F3" s="58" t="s">
        <v>61</v>
      </c>
      <c r="G3" s="58">
        <v>-7.7799999999999994E-2</v>
      </c>
      <c r="H3" s="56"/>
    </row>
    <row r="4" spans="1:11">
      <c r="C4">
        <f>C2*J4</f>
        <v>79.782876904280002</v>
      </c>
      <c r="I4" s="57" t="s">
        <v>88</v>
      </c>
      <c r="J4" s="58">
        <v>0.98692326699999999</v>
      </c>
    </row>
    <row r="5" spans="1:11" ht="15" thickBot="1">
      <c r="C5">
        <f>C3*J4</f>
        <v>217.66592653685001</v>
      </c>
      <c r="I5" s="57"/>
      <c r="J5" s="58"/>
    </row>
    <row r="6" spans="1:11">
      <c r="A6" s="86" t="s">
        <v>111</v>
      </c>
      <c r="B6" s="87"/>
      <c r="C6" s="87"/>
      <c r="D6" s="87"/>
      <c r="E6" s="88"/>
      <c r="G6" s="86" t="s">
        <v>116</v>
      </c>
      <c r="H6" s="87"/>
      <c r="I6" s="87"/>
      <c r="J6" s="87"/>
      <c r="K6" s="88"/>
    </row>
    <row r="7" spans="1:11">
      <c r="A7" s="80" t="s">
        <v>112</v>
      </c>
      <c r="B7" s="20">
        <v>18.239999999999998</v>
      </c>
      <c r="C7" s="20" t="s">
        <v>114</v>
      </c>
      <c r="D7" s="20">
        <f>B7*J4</f>
        <v>18.001480390079998</v>
      </c>
      <c r="E7" s="21">
        <v>18.001480390080001</v>
      </c>
      <c r="G7" s="59" t="s">
        <v>112</v>
      </c>
      <c r="H7" s="20">
        <v>43.23</v>
      </c>
      <c r="I7" s="20" t="s">
        <v>113</v>
      </c>
      <c r="J7" s="20">
        <f>H7*J4</f>
        <v>42.664692832409997</v>
      </c>
      <c r="K7" s="21">
        <v>42.664692832409997</v>
      </c>
    </row>
    <row r="8" spans="1:11">
      <c r="A8" s="80" t="s">
        <v>117</v>
      </c>
      <c r="B8" s="20">
        <v>1</v>
      </c>
      <c r="C8" s="20"/>
      <c r="D8" s="20"/>
      <c r="E8" s="21"/>
      <c r="G8" s="59"/>
      <c r="H8" s="20"/>
      <c r="I8" s="20"/>
      <c r="J8" s="20"/>
      <c r="K8" s="21"/>
    </row>
    <row r="9" spans="1:11">
      <c r="A9" s="59">
        <f t="array" ref="A9:B17">[1]!Trocio(B7,B3:D3,B8)</f>
        <v>480.66540227572358</v>
      </c>
      <c r="B9" s="20" t="str">
        <v>T Posible solución trivial [K]</v>
      </c>
      <c r="C9" s="20"/>
      <c r="D9" s="20">
        <v>480.66540227572398</v>
      </c>
      <c r="E9" s="21"/>
      <c r="G9" s="59" t="s">
        <v>118</v>
      </c>
      <c r="H9" s="20">
        <v>0.3</v>
      </c>
      <c r="I9" s="20"/>
      <c r="J9" s="20"/>
      <c r="K9" s="21"/>
    </row>
    <row r="10" spans="1:11">
      <c r="A10" s="59">
        <v>1</v>
      </c>
      <c r="B10" s="20" t="str">
        <v>=X(1)</v>
      </c>
      <c r="C10" s="20"/>
      <c r="D10" s="20"/>
      <c r="E10" s="21"/>
      <c r="G10" s="59" t="s">
        <v>119</v>
      </c>
      <c r="H10" s="20">
        <v>0.7</v>
      </c>
      <c r="I10" s="20"/>
      <c r="J10" s="20"/>
      <c r="K10" s="21"/>
    </row>
    <row r="11" spans="1:11">
      <c r="A11" s="59">
        <v>2</v>
      </c>
      <c r="B11" s="20" t="str">
        <v xml:space="preserve"> Iteraciones</v>
      </c>
      <c r="C11" s="20"/>
      <c r="D11" s="20"/>
      <c r="E11" s="21"/>
      <c r="G11" s="59"/>
      <c r="H11" s="20">
        <f t="array" ref="H11:I20">[1]!Trocio(H7,B2:D3,H9:H10)</f>
        <v>506.6409374186843</v>
      </c>
      <c r="I11" s="20" t="str">
        <v>Tr [K]</v>
      </c>
      <c r="J11" s="20">
        <v>506.64093741868402</v>
      </c>
      <c r="K11" s="21"/>
    </row>
    <row r="12" spans="1:11">
      <c r="A12" s="59" t="str">
        <v>Coef.Fug.L</v>
      </c>
      <c r="B12" s="20" t="str">
        <v>Coef.Fug.V</v>
      </c>
      <c r="C12" s="20"/>
      <c r="D12" s="20"/>
      <c r="E12" s="21"/>
      <c r="G12" s="59"/>
      <c r="H12" s="20">
        <v>6.9601982320884284E-2</v>
      </c>
      <c r="I12" s="20" t="str">
        <v>=X(1)</v>
      </c>
      <c r="J12" s="20">
        <v>6.9601982320884298E-2</v>
      </c>
      <c r="K12" s="21"/>
    </row>
    <row r="13" spans="1:11">
      <c r="A13" s="59">
        <v>0.92324171745775374</v>
      </c>
      <c r="B13" s="20">
        <v>0.92325125305156486</v>
      </c>
      <c r="C13" s="20"/>
      <c r="D13" s="20"/>
      <c r="E13" s="21"/>
      <c r="G13" s="59"/>
      <c r="H13" s="20">
        <v>0.93039801767911579</v>
      </c>
      <c r="I13" s="20" t="str">
        <v>=X(2)</v>
      </c>
      <c r="J13" s="20">
        <v>0.93039801767911601</v>
      </c>
      <c r="K13" s="21"/>
    </row>
    <row r="14" spans="1:11">
      <c r="A14" s="59" t="str">
        <v>Líquido OK</v>
      </c>
      <c r="B14" s="20" t="str">
        <v>Vapor OK</v>
      </c>
      <c r="C14" s="20"/>
      <c r="D14" s="20"/>
      <c r="E14" s="21"/>
      <c r="G14" s="59"/>
      <c r="H14" s="20">
        <v>10</v>
      </c>
      <c r="I14" s="20" t="str">
        <v xml:space="preserve"> Iteraciones</v>
      </c>
      <c r="J14" s="20"/>
      <c r="K14" s="21"/>
    </row>
    <row r="15" spans="1:11">
      <c r="A15" s="59" t="str">
        <v>Zeta.Liq</v>
      </c>
      <c r="B15" s="20" t="str">
        <v>Zeta.Vap</v>
      </c>
      <c r="C15" s="20"/>
      <c r="D15" s="20"/>
      <c r="E15" s="21"/>
      <c r="G15" s="59"/>
      <c r="H15" s="20" t="str">
        <v>Coef.Fug.L</v>
      </c>
      <c r="I15" s="20" t="str">
        <v>Coef.Fug.V</v>
      </c>
      <c r="J15" s="20"/>
      <c r="K15" s="21"/>
    </row>
    <row r="16" spans="1:11">
      <c r="A16" s="59">
        <v>1.1749409311614313E-2</v>
      </c>
      <c r="B16" s="20">
        <v>0.9174419825638771</v>
      </c>
      <c r="C16" s="20"/>
      <c r="D16" s="20"/>
      <c r="E16" s="21"/>
      <c r="G16" s="59"/>
      <c r="H16" s="20">
        <v>3.4541399646926529</v>
      </c>
      <c r="I16" s="20">
        <v>0.80122789642532366</v>
      </c>
      <c r="J16" s="20"/>
      <c r="K16" s="21"/>
    </row>
    <row r="17" spans="1:11" ht="15" thickBot="1">
      <c r="A17" s="60" t="e">
        <v>#N/A</v>
      </c>
      <c r="B17" s="14" t="e">
        <v>#N/A</v>
      </c>
      <c r="C17" s="14"/>
      <c r="D17" s="14"/>
      <c r="E17" s="15"/>
      <c r="G17" s="59"/>
      <c r="H17" s="20">
        <v>0.63607020229670319</v>
      </c>
      <c r="I17" s="20">
        <v>0.84543863322688084</v>
      </c>
      <c r="J17" s="20"/>
      <c r="K17" s="21"/>
    </row>
    <row r="18" spans="1:11" ht="15" thickBot="1">
      <c r="G18" s="59"/>
      <c r="H18" s="20" t="str">
        <v>Líquido OK</v>
      </c>
      <c r="I18" s="20" t="str">
        <v>Vapor OK</v>
      </c>
      <c r="J18" s="20"/>
      <c r="K18" s="21"/>
    </row>
    <row r="19" spans="1:11">
      <c r="A19" s="86" t="s">
        <v>115</v>
      </c>
      <c r="B19" s="87"/>
      <c r="C19" s="87"/>
      <c r="D19" s="87"/>
      <c r="E19" s="88"/>
      <c r="G19" s="59"/>
      <c r="H19" s="20" t="str">
        <v>Zeta.Liq</v>
      </c>
      <c r="I19" s="20" t="str">
        <v>Zeta.Vap</v>
      </c>
      <c r="J19" s="20"/>
      <c r="K19" s="21"/>
    </row>
    <row r="20" spans="1:11" ht="15" thickBot="1">
      <c r="A20" s="59">
        <f t="array" ref="A20:B27">[1]!Trocio(B7,B2:D2,B8)</f>
        <v>434.03143952535515</v>
      </c>
      <c r="B20" s="20" t="str">
        <v>T Posible solución trivial [K]</v>
      </c>
      <c r="C20" s="20"/>
      <c r="D20" s="20">
        <v>434.03143952535498</v>
      </c>
      <c r="E20" s="21"/>
      <c r="G20" s="60"/>
      <c r="H20" s="14">
        <v>3.0928865722495636E-2</v>
      </c>
      <c r="I20" s="14">
        <v>0.80095762346081456</v>
      </c>
      <c r="J20" s="14"/>
      <c r="K20" s="15"/>
    </row>
    <row r="21" spans="1:11">
      <c r="A21" s="59">
        <v>1</v>
      </c>
      <c r="B21" s="20" t="str">
        <v>=X(1)</v>
      </c>
      <c r="C21" s="20"/>
      <c r="D21" s="20"/>
      <c r="E21" s="21"/>
    </row>
    <row r="22" spans="1:11">
      <c r="A22" s="59">
        <v>2</v>
      </c>
      <c r="B22" s="20" t="str">
        <v xml:space="preserve"> Iteraciones</v>
      </c>
      <c r="C22" s="20"/>
      <c r="D22" s="20"/>
      <c r="E22" s="21"/>
    </row>
    <row r="23" spans="1:11" ht="15" thickBot="1">
      <c r="A23" s="59" t="str">
        <v>Coef.Fug.L</v>
      </c>
      <c r="B23" s="20" t="str">
        <v>Coef.Fug.V</v>
      </c>
      <c r="C23" s="20"/>
      <c r="D23" s="20"/>
      <c r="E23" s="21"/>
    </row>
    <row r="24" spans="1:11">
      <c r="A24" s="59">
        <v>0.85156770504444057</v>
      </c>
      <c r="B24" s="20">
        <v>0.85165129989492183</v>
      </c>
      <c r="C24" s="20"/>
      <c r="D24" s="20"/>
      <c r="E24" s="21"/>
      <c r="G24" s="86" t="s">
        <v>105</v>
      </c>
      <c r="H24" s="87"/>
      <c r="I24" s="87"/>
      <c r="J24" s="87"/>
      <c r="K24" s="88"/>
    </row>
    <row r="25" spans="1:11">
      <c r="A25" s="59" t="str">
        <v>Líquido OK</v>
      </c>
      <c r="B25" s="20" t="str">
        <v>Vapor OK</v>
      </c>
      <c r="C25" s="20"/>
      <c r="D25" s="20"/>
      <c r="E25" s="21"/>
      <c r="G25" s="77" t="s">
        <v>27</v>
      </c>
      <c r="H25" s="20">
        <v>345.45</v>
      </c>
      <c r="I25" s="20"/>
      <c r="J25" s="20"/>
      <c r="K25" s="21"/>
    </row>
    <row r="26" spans="1:11">
      <c r="A26" s="59" t="str">
        <v>Zeta.Liq</v>
      </c>
      <c r="B26" s="20" t="str">
        <v>Zeta.Vap</v>
      </c>
      <c r="C26" s="20"/>
      <c r="D26" s="20"/>
      <c r="E26" s="21"/>
      <c r="G26" s="77"/>
      <c r="H26" s="78" t="s">
        <v>76</v>
      </c>
      <c r="I26" s="78" t="s">
        <v>77</v>
      </c>
      <c r="J26" s="20"/>
      <c r="K26" s="79" t="s">
        <v>110</v>
      </c>
    </row>
    <row r="27" spans="1:11" ht="15" thickBot="1">
      <c r="A27" s="60">
        <v>3.1441666126116777E-2</v>
      </c>
      <c r="B27" s="14">
        <v>0.82774607977992143</v>
      </c>
      <c r="C27" s="14"/>
      <c r="D27" s="14"/>
      <c r="E27" s="15"/>
      <c r="G27" s="77" t="s">
        <v>126</v>
      </c>
      <c r="H27" s="20">
        <v>0.6</v>
      </c>
      <c r="I27" s="20">
        <v>0.4</v>
      </c>
      <c r="J27" s="20"/>
      <c r="K27" s="21">
        <f>1/((H27/H28)+(I27/I28))</f>
        <v>69914.626890377302</v>
      </c>
    </row>
    <row r="28" spans="1:11">
      <c r="G28" s="77" t="s">
        <v>109</v>
      </c>
      <c r="H28" s="20">
        <f>ComponentsData!C5* 10^(-(7/3)*(1+ComponentsData!C4)*((ComponentsData!C6/DewPointTest!H25) -1))</f>
        <v>138307.05983550361</v>
      </c>
      <c r="I28" s="20">
        <f>ComponentsData!D5* 10^(-(7/3)*(1+ComponentsData!D4)*((ComponentsData!D6/DewPointTest!H25) -1))</f>
        <v>40140.550924221796</v>
      </c>
      <c r="J28" s="20"/>
      <c r="K28" s="21">
        <v>0.69562635816944196</v>
      </c>
    </row>
    <row r="29" spans="1:11" ht="15" thickBot="1">
      <c r="G29" s="77" t="s">
        <v>127</v>
      </c>
      <c r="H29" s="20">
        <f>$K$27*H27/H28</f>
        <v>0.30330177059738256</v>
      </c>
      <c r="I29" s="20">
        <f>$K$27*I27/I28</f>
        <v>0.69669822940261739</v>
      </c>
      <c r="J29" s="20">
        <f>H29+I29</f>
        <v>1</v>
      </c>
      <c r="K29" s="21"/>
    </row>
    <row r="30" spans="1:11" ht="15" thickBot="1">
      <c r="A30" s="86" t="s">
        <v>107</v>
      </c>
      <c r="B30" s="87"/>
      <c r="C30" s="87"/>
      <c r="D30" s="87"/>
      <c r="E30" s="88"/>
      <c r="G30" s="60" t="s">
        <v>12</v>
      </c>
      <c r="H30" s="14">
        <v>0.31086196937636101</v>
      </c>
      <c r="I30" s="14">
        <v>0.68913803062363899</v>
      </c>
      <c r="J30" s="14"/>
      <c r="K30" s="15"/>
    </row>
    <row r="31" spans="1:11">
      <c r="A31" s="59" t="s">
        <v>27</v>
      </c>
      <c r="B31" s="20">
        <v>456.76499999999999</v>
      </c>
      <c r="C31" s="20"/>
      <c r="D31" s="20"/>
      <c r="E31" s="21"/>
    </row>
    <row r="32" spans="1:11">
      <c r="A32" s="59" t="s">
        <v>118</v>
      </c>
      <c r="B32" s="20">
        <v>0.56000000000000005</v>
      </c>
      <c r="C32" s="20"/>
      <c r="D32" s="20"/>
      <c r="E32" s="21"/>
    </row>
    <row r="33" spans="1:5">
      <c r="A33" s="59" t="s">
        <v>119</v>
      </c>
      <c r="B33" s="20">
        <f>1-B32</f>
        <v>0.43999999999999995</v>
      </c>
      <c r="C33" s="20"/>
      <c r="D33" s="20"/>
      <c r="E33" s="21"/>
    </row>
    <row r="34" spans="1:5">
      <c r="A34" s="59">
        <f t="array" ref="A34:B43">[1]!Procio(B31,B2:D3,B32:B33)</f>
        <v>23.1771996829134</v>
      </c>
      <c r="B34" s="20" t="str">
        <v>Pr [bar]</v>
      </c>
      <c r="C34" s="20">
        <v>23.1771996829134</v>
      </c>
      <c r="D34" s="20" t="s">
        <v>113</v>
      </c>
      <c r="E34" s="21">
        <f>C34*J4</f>
        <v>22.874117630972258</v>
      </c>
    </row>
    <row r="35" spans="1:5">
      <c r="A35" s="59">
        <v>0.27429134155622092</v>
      </c>
      <c r="B35" s="20" t="str">
        <v>=X(1)</v>
      </c>
      <c r="C35" s="20">
        <v>0.27429134155622098</v>
      </c>
      <c r="D35" s="20"/>
      <c r="E35" s="21">
        <v>22.8741176309723</v>
      </c>
    </row>
    <row r="36" spans="1:5">
      <c r="A36" s="59">
        <v>0.72570865844377919</v>
      </c>
      <c r="B36" s="20" t="str">
        <v>=X(2)</v>
      </c>
      <c r="C36" s="20">
        <v>0.72570865844377896</v>
      </c>
      <c r="D36" s="20"/>
      <c r="E36" s="21"/>
    </row>
    <row r="37" spans="1:5">
      <c r="A37" s="59">
        <v>19</v>
      </c>
      <c r="B37" s="20" t="str">
        <v xml:space="preserve"> Iteraciones</v>
      </c>
      <c r="C37" s="20"/>
      <c r="D37" s="20"/>
      <c r="E37" s="21"/>
    </row>
    <row r="38" spans="1:5">
      <c r="A38" s="59" t="str">
        <v>Coef.Fug.L</v>
      </c>
      <c r="B38" s="20" t="str">
        <v>Coef.Fug.V</v>
      </c>
      <c r="C38" s="20"/>
      <c r="D38" s="20"/>
      <c r="E38" s="21"/>
    </row>
    <row r="39" spans="1:5">
      <c r="A39" s="59">
        <v>1.7211765109819568</v>
      </c>
      <c r="B39" s="20">
        <v>0.84293836879311324</v>
      </c>
      <c r="C39" s="20"/>
      <c r="D39" s="20"/>
      <c r="E39" s="21"/>
    </row>
    <row r="40" spans="1:5">
      <c r="A40" s="59">
        <v>0.53930727862029182</v>
      </c>
      <c r="B40" s="20">
        <v>0.88954145772068483</v>
      </c>
      <c r="C40" s="20"/>
      <c r="D40" s="20"/>
      <c r="E40" s="21"/>
    </row>
    <row r="41" spans="1:5">
      <c r="A41" s="59" t="str">
        <v>Líquido OK</v>
      </c>
      <c r="B41" s="20" t="str">
        <v>Vapor OK</v>
      </c>
      <c r="C41" s="20"/>
      <c r="D41" s="20"/>
      <c r="E41" s="21"/>
    </row>
    <row r="42" spans="1:5">
      <c r="A42" s="59" t="str">
        <v>Zeta.Liq</v>
      </c>
      <c r="B42" s="20" t="str">
        <v>Zeta.Vap</v>
      </c>
      <c r="C42" s="20"/>
      <c r="D42" s="20"/>
      <c r="E42" s="21"/>
    </row>
    <row r="43" spans="1:5" ht="15" thickBot="1">
      <c r="A43" s="60">
        <v>2.1521476205396864E-2</v>
      </c>
      <c r="B43" s="14">
        <v>0.84330519399578474</v>
      </c>
      <c r="C43" s="14"/>
      <c r="D43" s="14"/>
      <c r="E43" s="15"/>
    </row>
  </sheetData>
  <mergeCells count="5">
    <mergeCell ref="A6:E6"/>
    <mergeCell ref="A19:E19"/>
    <mergeCell ref="G6:K6"/>
    <mergeCell ref="A30:E30"/>
    <mergeCell ref="G24:K2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V81"/>
  <sheetViews>
    <sheetView topLeftCell="I52" workbookViewId="0">
      <selection activeCell="N52" sqref="N52"/>
    </sheetView>
  </sheetViews>
  <sheetFormatPr baseColWidth="10" defaultRowHeight="14.4"/>
  <sheetData>
    <row r="2" spans="1:22">
      <c r="B2" s="58" t="s">
        <v>82</v>
      </c>
      <c r="C2" s="58" t="s">
        <v>83</v>
      </c>
      <c r="D2" s="58" t="s">
        <v>84</v>
      </c>
      <c r="E2" s="58" t="s">
        <v>8</v>
      </c>
      <c r="F2" s="56"/>
      <c r="G2" s="58" t="s">
        <v>85</v>
      </c>
      <c r="H2" s="58" t="s">
        <v>7</v>
      </c>
      <c r="I2" s="58" t="s">
        <v>61</v>
      </c>
      <c r="J2" s="56"/>
      <c r="K2" s="56"/>
    </row>
    <row r="3" spans="1:22">
      <c r="B3" s="58" t="s">
        <v>7</v>
      </c>
      <c r="C3" s="58">
        <v>512.5</v>
      </c>
      <c r="D3" s="58">
        <v>80.84</v>
      </c>
      <c r="E3" s="58">
        <v>0.56583099999999997</v>
      </c>
      <c r="F3" s="56"/>
      <c r="G3" s="58" t="s">
        <v>7</v>
      </c>
      <c r="H3" s="56"/>
      <c r="I3" s="58">
        <v>-7.8E-2</v>
      </c>
      <c r="J3" s="56"/>
      <c r="K3" s="58">
        <f>I3</f>
        <v>-7.8E-2</v>
      </c>
    </row>
    <row r="4" spans="1:22">
      <c r="B4" s="58" t="s">
        <v>61</v>
      </c>
      <c r="C4" s="58">
        <v>647.13</v>
      </c>
      <c r="D4" s="58">
        <v>220.55</v>
      </c>
      <c r="E4" s="58">
        <v>0.34486099999999997</v>
      </c>
      <c r="F4" s="56"/>
      <c r="G4" s="58" t="s">
        <v>61</v>
      </c>
      <c r="H4" s="58">
        <f>I3</f>
        <v>-7.8E-2</v>
      </c>
      <c r="I4" s="56"/>
      <c r="J4" s="56"/>
      <c r="K4" s="56"/>
    </row>
    <row r="5" spans="1:22">
      <c r="D5">
        <f>D4*K8</f>
        <v>217.66592653685001</v>
      </c>
    </row>
    <row r="6" spans="1:22" ht="15" thickBot="1">
      <c r="N6" t="s">
        <v>82</v>
      </c>
      <c r="O6" t="s">
        <v>83</v>
      </c>
      <c r="P6" t="s">
        <v>84</v>
      </c>
      <c r="Q6" t="s">
        <v>8</v>
      </c>
      <c r="S6" t="s">
        <v>85</v>
      </c>
      <c r="T6" t="s">
        <v>131</v>
      </c>
      <c r="U6" t="s">
        <v>61</v>
      </c>
      <c r="V6" t="s">
        <v>7</v>
      </c>
    </row>
    <row r="7" spans="1:22">
      <c r="A7" s="86" t="s">
        <v>107</v>
      </c>
      <c r="B7" s="87"/>
      <c r="C7" s="87"/>
      <c r="D7" s="87"/>
      <c r="E7" s="87"/>
      <c r="F7" s="70" t="s">
        <v>86</v>
      </c>
      <c r="G7" s="71">
        <v>8.2000000000000003E-2</v>
      </c>
      <c r="H7" s="72"/>
      <c r="I7" s="73"/>
      <c r="J7" s="56"/>
      <c r="K7" s="56"/>
      <c r="N7" t="s">
        <v>131</v>
      </c>
      <c r="O7">
        <v>369.83</v>
      </c>
      <c r="P7">
        <v>42.48</v>
      </c>
      <c r="Q7">
        <v>0.15229100000000001</v>
      </c>
      <c r="S7" t="s">
        <v>131</v>
      </c>
    </row>
    <row r="8" spans="1:22">
      <c r="A8" s="59"/>
      <c r="B8" s="74" t="s">
        <v>87</v>
      </c>
      <c r="C8" s="62">
        <v>425.87</v>
      </c>
      <c r="D8" s="63"/>
      <c r="E8" s="63"/>
      <c r="F8" s="63"/>
      <c r="G8" s="63"/>
      <c r="H8" s="63"/>
      <c r="I8" s="64"/>
      <c r="J8" s="57" t="s">
        <v>88</v>
      </c>
      <c r="K8" s="58">
        <v>0.98692326699999999</v>
      </c>
      <c r="N8" t="s">
        <v>61</v>
      </c>
      <c r="O8">
        <v>647.13</v>
      </c>
      <c r="P8">
        <v>220.55</v>
      </c>
      <c r="Q8">
        <v>0.34486099999999997</v>
      </c>
      <c r="S8" t="s">
        <v>61</v>
      </c>
      <c r="V8">
        <v>-7.7799999999999994E-2</v>
      </c>
    </row>
    <row r="9" spans="1:22">
      <c r="A9" s="59"/>
      <c r="B9" s="74" t="s">
        <v>89</v>
      </c>
      <c r="C9" s="62">
        <v>0.5</v>
      </c>
      <c r="D9" s="63"/>
      <c r="E9" s="63"/>
      <c r="F9" s="63"/>
      <c r="G9" s="63"/>
      <c r="H9" s="63"/>
      <c r="I9" s="64"/>
      <c r="J9" s="56"/>
      <c r="K9" s="56"/>
      <c r="N9" t="s">
        <v>7</v>
      </c>
      <c r="O9">
        <v>512.5</v>
      </c>
      <c r="P9">
        <v>80.84</v>
      </c>
      <c r="Q9">
        <v>0.56583099999999997</v>
      </c>
      <c r="S9" t="s">
        <v>7</v>
      </c>
      <c r="U9">
        <v>-7.7799999999999994E-2</v>
      </c>
    </row>
    <row r="10" spans="1:22">
      <c r="A10" s="59"/>
      <c r="B10" s="74" t="s">
        <v>90</v>
      </c>
      <c r="C10" s="62">
        <v>0.5</v>
      </c>
      <c r="D10" s="63"/>
      <c r="E10" s="63"/>
      <c r="F10" s="63"/>
      <c r="G10" s="74" t="s">
        <v>64</v>
      </c>
      <c r="H10" s="63"/>
      <c r="I10" s="64"/>
      <c r="J10" s="56"/>
      <c r="K10" s="56"/>
    </row>
    <row r="11" spans="1:22">
      <c r="A11" s="59"/>
      <c r="B11" s="62">
        <v>11.104896021771838</v>
      </c>
      <c r="C11" s="62" t="s">
        <v>91</v>
      </c>
      <c r="D11" s="63"/>
      <c r="E11" s="63"/>
      <c r="F11" s="63"/>
      <c r="G11" s="63"/>
      <c r="H11" s="63"/>
      <c r="I11" s="64"/>
      <c r="J11" s="56"/>
      <c r="K11" s="56">
        <f>D3*K8</f>
        <v>79.782876904280002</v>
      </c>
    </row>
    <row r="12" spans="1:22">
      <c r="A12" s="59"/>
      <c r="B12" s="62">
        <v>0.70831702879276914</v>
      </c>
      <c r="C12" s="62" t="s">
        <v>92</v>
      </c>
      <c r="D12" s="62">
        <v>0.70831702879276903</v>
      </c>
      <c r="E12" s="63"/>
      <c r="F12" s="63"/>
      <c r="G12" s="74" t="s">
        <v>93</v>
      </c>
      <c r="H12" s="62">
        <v>10.959680261502365</v>
      </c>
      <c r="I12" s="65">
        <v>10.959680261502401</v>
      </c>
      <c r="J12" s="56"/>
      <c r="K12" s="56">
        <f>D4*K8</f>
        <v>217.66592653685001</v>
      </c>
    </row>
    <row r="13" spans="1:22">
      <c r="A13" s="59"/>
      <c r="B13" s="62">
        <v>0.29168297120723086</v>
      </c>
      <c r="C13" s="62" t="s">
        <v>94</v>
      </c>
      <c r="D13" s="62">
        <v>0.29168297120723102</v>
      </c>
      <c r="E13" s="63"/>
      <c r="F13" s="74" t="s">
        <v>54</v>
      </c>
      <c r="G13" s="74" t="s">
        <v>95</v>
      </c>
      <c r="H13" s="75">
        <v>4.0559699074191963E-2</v>
      </c>
      <c r="I13" s="64"/>
      <c r="J13" s="56"/>
      <c r="K13" s="56"/>
    </row>
    <row r="14" spans="1:22">
      <c r="A14" s="59"/>
      <c r="B14" s="62">
        <v>3</v>
      </c>
      <c r="C14" s="62" t="s">
        <v>96</v>
      </c>
      <c r="D14" s="63"/>
      <c r="E14" s="63"/>
      <c r="F14" s="74" t="s">
        <v>55</v>
      </c>
      <c r="G14" s="74" t="s">
        <v>95</v>
      </c>
      <c r="H14" s="76">
        <v>2.8749812073213978</v>
      </c>
      <c r="I14" s="64"/>
      <c r="J14" s="56"/>
      <c r="K14" s="56"/>
    </row>
    <row r="15" spans="1:22">
      <c r="A15" s="59"/>
      <c r="B15" s="62" t="s">
        <v>97</v>
      </c>
      <c r="C15" s="62" t="s">
        <v>98</v>
      </c>
      <c r="D15" s="63"/>
      <c r="E15" s="63"/>
      <c r="F15" s="89" t="s">
        <v>54</v>
      </c>
      <c r="G15" s="74" t="s">
        <v>99</v>
      </c>
      <c r="H15" s="62">
        <v>1.2785871337813355</v>
      </c>
      <c r="I15" s="64"/>
      <c r="J15" s="56"/>
      <c r="K15" s="56"/>
    </row>
    <row r="16" spans="1:22">
      <c r="A16" s="59"/>
      <c r="B16" s="62">
        <v>1.2785871337813355</v>
      </c>
      <c r="C16" s="62">
        <v>0.90255754648474673</v>
      </c>
      <c r="D16" s="63"/>
      <c r="E16" s="63"/>
      <c r="F16" s="90"/>
      <c r="G16" s="74"/>
      <c r="H16" s="63"/>
      <c r="I16" s="64"/>
      <c r="J16" s="56"/>
      <c r="K16" s="56"/>
    </row>
    <row r="17" spans="1:15">
      <c r="A17" s="59"/>
      <c r="B17" s="62">
        <v>0.54217374605162472</v>
      </c>
      <c r="C17" s="62">
        <v>0.92937713453005244</v>
      </c>
      <c r="D17" s="63"/>
      <c r="E17" s="63"/>
      <c r="F17" s="89" t="s">
        <v>55</v>
      </c>
      <c r="G17" s="74" t="s">
        <v>99</v>
      </c>
      <c r="H17" s="62">
        <v>0.90255754648474673</v>
      </c>
      <c r="I17" s="64"/>
      <c r="J17" s="56"/>
      <c r="K17" s="56"/>
      <c r="L17" s="56"/>
      <c r="M17" s="56"/>
      <c r="N17" s="56"/>
      <c r="O17" s="56"/>
    </row>
    <row r="18" spans="1:15">
      <c r="A18" s="59"/>
      <c r="B18" s="62" t="s">
        <v>100</v>
      </c>
      <c r="C18" s="62" t="s">
        <v>101</v>
      </c>
      <c r="D18" s="63"/>
      <c r="E18" s="63"/>
      <c r="F18" s="90"/>
      <c r="G18" s="74"/>
      <c r="H18" s="63"/>
      <c r="I18" s="64"/>
      <c r="J18" s="56"/>
      <c r="K18" s="56"/>
      <c r="L18" s="56"/>
      <c r="M18" s="56"/>
      <c r="N18" s="56"/>
      <c r="O18" s="56"/>
    </row>
    <row r="19" spans="1:15">
      <c r="A19" s="59"/>
      <c r="B19" s="62" t="s">
        <v>102</v>
      </c>
      <c r="C19" s="62" t="s">
        <v>103</v>
      </c>
      <c r="D19" s="63"/>
      <c r="E19" s="20"/>
      <c r="F19" s="20"/>
      <c r="G19" s="20"/>
      <c r="H19" s="20"/>
      <c r="I19" s="21"/>
      <c r="J19" s="56"/>
    </row>
    <row r="20" spans="1:15" ht="15" thickBot="1">
      <c r="A20" s="60"/>
      <c r="B20" s="67">
        <v>1.2729217531626719E-2</v>
      </c>
      <c r="C20" s="67">
        <v>0.90228137837982625</v>
      </c>
      <c r="D20" s="68"/>
      <c r="E20" s="14"/>
      <c r="F20" s="14"/>
      <c r="G20" s="14"/>
      <c r="H20" s="14"/>
      <c r="I20" s="15"/>
      <c r="J20" s="56"/>
    </row>
    <row r="21" spans="1:15">
      <c r="B21" s="56"/>
      <c r="C21" s="56"/>
      <c r="D21" s="56"/>
      <c r="J21" s="56"/>
    </row>
    <row r="22" spans="1:15" ht="15" thickBot="1">
      <c r="B22" s="56"/>
      <c r="C22" s="56"/>
      <c r="D22" s="56"/>
      <c r="J22" s="56"/>
    </row>
    <row r="23" spans="1:15">
      <c r="A23" s="86" t="s">
        <v>106</v>
      </c>
      <c r="B23" s="87"/>
      <c r="C23" s="87"/>
      <c r="D23" s="87"/>
      <c r="E23" s="88"/>
      <c r="J23" s="56"/>
    </row>
    <row r="24" spans="1:15">
      <c r="A24" s="61">
        <v>15.11187400216247</v>
      </c>
      <c r="B24" s="62" t="s">
        <v>104</v>
      </c>
      <c r="C24" s="63"/>
      <c r="D24" s="63"/>
      <c r="E24" s="64"/>
    </row>
    <row r="25" spans="1:15">
      <c r="A25" s="61">
        <v>1</v>
      </c>
      <c r="B25" s="62" t="s">
        <v>92</v>
      </c>
      <c r="C25" s="63"/>
      <c r="D25" s="62">
        <f>A24*K8</f>
        <v>14.91426006070655</v>
      </c>
      <c r="E25" s="65">
        <v>14.9142600607065</v>
      </c>
    </row>
    <row r="26" spans="1:15">
      <c r="A26" s="61">
        <v>2</v>
      </c>
      <c r="B26" s="62" t="s">
        <v>96</v>
      </c>
      <c r="C26" s="63"/>
      <c r="D26" s="63"/>
      <c r="E26" s="64"/>
    </row>
    <row r="27" spans="1:15">
      <c r="A27" s="61" t="s">
        <v>97</v>
      </c>
      <c r="B27" s="62" t="s">
        <v>98</v>
      </c>
      <c r="C27" s="63"/>
      <c r="D27" s="63"/>
      <c r="E27" s="64"/>
    </row>
    <row r="28" spans="1:15">
      <c r="A28" s="61">
        <v>0.86895959454585503</v>
      </c>
      <c r="B28" s="62">
        <v>0.8689391847372101</v>
      </c>
      <c r="C28" s="63"/>
      <c r="D28" s="63"/>
      <c r="E28" s="64"/>
    </row>
    <row r="29" spans="1:15">
      <c r="A29" s="61" t="s">
        <v>100</v>
      </c>
      <c r="B29" s="62" t="s">
        <v>101</v>
      </c>
      <c r="C29" s="63"/>
      <c r="D29" s="63"/>
      <c r="E29" s="64"/>
    </row>
    <row r="30" spans="1:15">
      <c r="A30" s="61" t="s">
        <v>102</v>
      </c>
      <c r="B30" s="62" t="s">
        <v>103</v>
      </c>
      <c r="C30" s="63"/>
      <c r="D30" s="63"/>
      <c r="E30" s="64"/>
    </row>
    <row r="31" spans="1:15">
      <c r="A31" s="61">
        <v>2.5815057263782196E-2</v>
      </c>
      <c r="B31" s="62">
        <v>0.85075782002609868</v>
      </c>
      <c r="C31" s="63"/>
      <c r="D31" s="63"/>
      <c r="E31" s="64"/>
    </row>
    <row r="32" spans="1:15">
      <c r="A32" s="61" t="e">
        <v>#N/A</v>
      </c>
      <c r="B32" s="62" t="e">
        <v>#N/A</v>
      </c>
      <c r="C32" s="63"/>
      <c r="D32" s="63"/>
      <c r="E32" s="64"/>
    </row>
    <row r="33" spans="1:20">
      <c r="A33" s="61" t="e">
        <v>#N/A</v>
      </c>
      <c r="B33" s="62" t="e">
        <v>#N/A</v>
      </c>
      <c r="C33" s="63"/>
      <c r="D33" s="63"/>
      <c r="E33" s="64"/>
    </row>
    <row r="34" spans="1:20" ht="15" thickBot="1">
      <c r="A34" s="66" t="e">
        <v>#N/A</v>
      </c>
      <c r="B34" s="67" t="e">
        <v>#N/A</v>
      </c>
      <c r="C34" s="68"/>
      <c r="D34" s="68"/>
      <c r="E34" s="69"/>
    </row>
    <row r="35" spans="1:20" ht="15" thickBot="1">
      <c r="I35" t="s">
        <v>110</v>
      </c>
      <c r="J35">
        <f>L53</f>
        <v>0.15189630745629182</v>
      </c>
      <c r="K35" s="56"/>
    </row>
    <row r="36" spans="1:20">
      <c r="A36" s="86" t="s">
        <v>106</v>
      </c>
      <c r="B36" s="87"/>
      <c r="C36" s="87"/>
      <c r="D36" s="87"/>
      <c r="E36" s="88"/>
      <c r="I36" t="s">
        <v>89</v>
      </c>
      <c r="J36">
        <v>0</v>
      </c>
      <c r="K36" s="56">
        <v>0.1</v>
      </c>
      <c r="L36">
        <v>0.2</v>
      </c>
      <c r="M36" s="56">
        <v>0.3</v>
      </c>
      <c r="N36">
        <v>0.4</v>
      </c>
      <c r="O36" s="56">
        <v>0.5</v>
      </c>
      <c r="P36">
        <v>0.6</v>
      </c>
      <c r="Q36" s="56">
        <v>0.7</v>
      </c>
      <c r="R36">
        <v>0.8</v>
      </c>
      <c r="S36" s="56">
        <v>0.9</v>
      </c>
      <c r="T36">
        <v>1</v>
      </c>
    </row>
    <row r="37" spans="1:20">
      <c r="A37" s="61">
        <v>5.0506175231482917</v>
      </c>
      <c r="B37" s="62" t="s">
        <v>104</v>
      </c>
      <c r="C37" s="63"/>
      <c r="D37" s="63"/>
      <c r="E37" s="64"/>
      <c r="I37" t="s">
        <v>90</v>
      </c>
      <c r="J37">
        <f t="shared" ref="J37:T37" si="0">1-J36</f>
        <v>1</v>
      </c>
      <c r="K37">
        <f t="shared" si="0"/>
        <v>0.9</v>
      </c>
      <c r="L37">
        <f t="shared" si="0"/>
        <v>0.8</v>
      </c>
      <c r="M37">
        <f t="shared" si="0"/>
        <v>0.7</v>
      </c>
      <c r="N37">
        <f t="shared" si="0"/>
        <v>0.6</v>
      </c>
      <c r="O37">
        <f t="shared" si="0"/>
        <v>0.5</v>
      </c>
      <c r="P37">
        <f t="shared" si="0"/>
        <v>0.4</v>
      </c>
      <c r="Q37">
        <f t="shared" si="0"/>
        <v>0.30000000000000004</v>
      </c>
      <c r="R37">
        <f t="shared" si="0"/>
        <v>0.19999999999999996</v>
      </c>
      <c r="S37">
        <f t="shared" si="0"/>
        <v>9.9999999999999978E-2</v>
      </c>
      <c r="T37">
        <f t="shared" si="0"/>
        <v>0</v>
      </c>
    </row>
    <row r="38" spans="1:20">
      <c r="A38" s="61">
        <v>1</v>
      </c>
      <c r="B38" s="62" t="s">
        <v>92</v>
      </c>
      <c r="C38" s="63"/>
      <c r="D38" s="62">
        <f>A37*K8</f>
        <v>4.9845719463129603</v>
      </c>
      <c r="E38" s="65">
        <v>4.9845719463129603</v>
      </c>
      <c r="I38" t="s">
        <v>87</v>
      </c>
      <c r="J38">
        <f t="array" ref="J38:J48">[1]!Tburbuja($J$35,$C$3:$E$4,J36:J37,,$H$3:$I$4)</f>
        <v>329.58853272931827</v>
      </c>
      <c r="K38">
        <f t="array" ref="K38:K48">[1]!Tburbuja($J$35,$C$3:$E$4,K36:K37,,$H$3:$I$4)</f>
        <v>316.23071653103369</v>
      </c>
      <c r="L38">
        <f t="array" ref="L38:L48">[1]!Tburbuja($J$35,$C$3:$E$4,L36:L37,,$H$3:$I$4)</f>
        <v>311.88672418168011</v>
      </c>
      <c r="M38">
        <f t="array" ref="M38:M48">[1]!Tburbuja($J$35,$C$3:$E$4,M36:M37,,$H$3:$I$4)</f>
        <v>309.32409683971241</v>
      </c>
      <c r="N38">
        <f t="array" ref="N38:N48">[1]!Tburbuja($J$35,$C$3:$E$4,N36:N37,,$H$3:$I$4)</f>
        <v>307.329107907636</v>
      </c>
      <c r="O38">
        <f t="array" ref="O38:O48">[1]!Tburbuja($J$35,$C$3:$E$4,O36:O37,,$H$3:$I$4)</f>
        <v>305.57867886150984</v>
      </c>
      <c r="P38">
        <f t="array" ref="P38:P48">[1]!Tburbuja($J$35,$C$3:$E$4,P36:P37,,$H$3:$I$4)</f>
        <v>303.96709186959185</v>
      </c>
      <c r="Q38">
        <f t="array" ref="Q38:Q48">[1]!Tburbuja($J$35,$C$3:$E$4,Q36:Q37,,$H$3:$I$4)</f>
        <v>302.45463172220224</v>
      </c>
      <c r="R38">
        <f t="array" ref="R38:R48">[1]!Tburbuja($J$35,$C$3:$E$4,R36:R37,,$H$3:$I$4)</f>
        <v>301.02415542594093</v>
      </c>
      <c r="S38">
        <f t="array" ref="S38:S48">[1]!Tburbuja($J$35,$C$3:$E$4,S36:S37,,$H$3:$I$4)</f>
        <v>299.66679833063</v>
      </c>
      <c r="T38">
        <f t="array" ref="T38:T48">[1]!Tburbuja($J$35,$C$3:$E$4,T36:T37,,$H$3:$I$4)</f>
        <v>298.37686416903159</v>
      </c>
    </row>
    <row r="39" spans="1:20">
      <c r="A39" s="61">
        <v>2</v>
      </c>
      <c r="B39" s="62" t="s">
        <v>96</v>
      </c>
      <c r="C39" s="63"/>
      <c r="D39" s="63"/>
      <c r="E39" s="64"/>
      <c r="J39">
        <v>1.4814668847416814E-14</v>
      </c>
      <c r="K39">
        <v>0.53695950410422433</v>
      </c>
      <c r="L39">
        <v>0.65927677362735204</v>
      </c>
      <c r="M39">
        <v>0.72568783796703584</v>
      </c>
      <c r="N39">
        <v>0.77626537005259888</v>
      </c>
      <c r="O39">
        <v>0.82043509675426751</v>
      </c>
      <c r="P39">
        <v>0.86105754341101082</v>
      </c>
      <c r="Q39">
        <v>0.89908742858398161</v>
      </c>
      <c r="R39">
        <v>0.93485156498200195</v>
      </c>
      <c r="S39">
        <v>0.96846873935470335</v>
      </c>
      <c r="T39">
        <v>0.99999999999999967</v>
      </c>
    </row>
    <row r="40" spans="1:20">
      <c r="A40" s="61" t="s">
        <v>97</v>
      </c>
      <c r="B40" s="62" t="s">
        <v>98</v>
      </c>
      <c r="C40" s="63"/>
      <c r="D40" s="63"/>
      <c r="E40" s="64"/>
      <c r="J40">
        <v>0.99999999999998523</v>
      </c>
      <c r="K40">
        <v>0.46304049589577567</v>
      </c>
      <c r="L40">
        <v>0.34072322637264801</v>
      </c>
      <c r="M40">
        <v>0.27431216203296416</v>
      </c>
      <c r="N40">
        <v>0.22373462994740109</v>
      </c>
      <c r="O40">
        <v>0.17956490324573254</v>
      </c>
      <c r="P40">
        <v>0.13894245658898921</v>
      </c>
      <c r="Q40">
        <v>0.10091257141601841</v>
      </c>
      <c r="R40">
        <v>6.5148435017998108E-2</v>
      </c>
      <c r="S40">
        <v>3.1531260645296606E-2</v>
      </c>
      <c r="T40">
        <v>3.0506510822620014E-16</v>
      </c>
    </row>
    <row r="41" spans="1:20">
      <c r="A41" s="61">
        <v>0.96999019001678155</v>
      </c>
      <c r="B41" s="62">
        <v>0.96998925130062064</v>
      </c>
      <c r="C41" s="63"/>
      <c r="D41" s="63"/>
      <c r="E41" s="64"/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</row>
    <row r="42" spans="1:20">
      <c r="A42" s="61" t="s">
        <v>100</v>
      </c>
      <c r="B42" s="62" t="s">
        <v>101</v>
      </c>
      <c r="C42" s="63"/>
      <c r="D42" s="63"/>
      <c r="E42" s="64"/>
      <c r="J42" t="str">
        <v>Coef.Fug.L</v>
      </c>
      <c r="K42" t="str">
        <v>Coef.Fug.L</v>
      </c>
      <c r="L42" t="str">
        <v>Coef.Fug.L</v>
      </c>
      <c r="M42" t="str">
        <v>Coef.Fug.L</v>
      </c>
      <c r="N42" t="str">
        <v>Coef.Fug.L</v>
      </c>
      <c r="O42" t="str">
        <v>Coef.Fug.L</v>
      </c>
      <c r="P42" t="str">
        <v>Coef.Fug.L</v>
      </c>
      <c r="Q42" t="str">
        <v>Coef.Fug.L</v>
      </c>
      <c r="R42" t="str">
        <v>Coef.Fug.L</v>
      </c>
      <c r="S42" t="str">
        <v>Coef.Fug.L</v>
      </c>
      <c r="T42" t="str">
        <v>Coef.Fug.L</v>
      </c>
    </row>
    <row r="43" spans="1:20">
      <c r="A43" s="61" t="s">
        <v>102</v>
      </c>
      <c r="B43" s="62" t="s">
        <v>103</v>
      </c>
      <c r="C43" s="63"/>
      <c r="D43" s="63"/>
      <c r="E43" s="64"/>
      <c r="J43">
        <v>14.764962138984513</v>
      </c>
      <c r="K43">
        <v>5.3516091506737018</v>
      </c>
      <c r="L43">
        <v>3.2849856208885773</v>
      </c>
      <c r="M43">
        <v>2.4104288790447863</v>
      </c>
      <c r="N43">
        <v>1.9337039432593752</v>
      </c>
      <c r="O43">
        <v>1.6348943067983126</v>
      </c>
      <c r="P43">
        <v>1.429793563370771</v>
      </c>
      <c r="Q43">
        <v>1.2796004462040642</v>
      </c>
      <c r="R43">
        <v>1.1641320994057296</v>
      </c>
      <c r="S43">
        <v>1.0719454236217227</v>
      </c>
      <c r="T43">
        <v>0.996116986777282</v>
      </c>
    </row>
    <row r="44" spans="1:20" ht="15" thickBot="1">
      <c r="A44" s="66">
        <v>3.3948280499758871E-3</v>
      </c>
      <c r="B44" s="67">
        <v>0.96914113923291323</v>
      </c>
      <c r="C44" s="68"/>
      <c r="D44" s="68"/>
      <c r="E44" s="69"/>
      <c r="J44">
        <v>0.99820916627322487</v>
      </c>
      <c r="K44">
        <v>0.51343092341791441</v>
      </c>
      <c r="L44">
        <v>0.42498114521019831</v>
      </c>
      <c r="M44">
        <v>0.39099620508532967</v>
      </c>
      <c r="N44">
        <v>0.3720353544238485</v>
      </c>
      <c r="O44">
        <v>0.35829086951874733</v>
      </c>
      <c r="P44">
        <v>0.34653256940767019</v>
      </c>
      <c r="Q44">
        <v>0.3355669670745286</v>
      </c>
      <c r="R44">
        <v>0.32494950105945397</v>
      </c>
      <c r="S44">
        <v>0.31453585779154564</v>
      </c>
      <c r="T44">
        <v>0.30430453396054336</v>
      </c>
    </row>
    <row r="45" spans="1:20" ht="15" thickBot="1">
      <c r="J45" t="str">
        <v>Líquido OK</v>
      </c>
      <c r="K45" t="str">
        <v>Líquido OK</v>
      </c>
      <c r="L45" t="str">
        <v>Líquido OK</v>
      </c>
      <c r="M45" t="str">
        <v>Líquido OK</v>
      </c>
      <c r="N45" t="str">
        <v>Líquido OK</v>
      </c>
      <c r="O45" t="str">
        <v>Líquido OK</v>
      </c>
      <c r="P45" t="str">
        <v>Líquido OK</v>
      </c>
      <c r="Q45" t="str">
        <v>Líquido OK</v>
      </c>
      <c r="R45" t="str">
        <v>Líquido OK</v>
      </c>
      <c r="S45" t="str">
        <v>Líquido OK</v>
      </c>
      <c r="T45" t="str">
        <v>Líquido OK</v>
      </c>
    </row>
    <row r="46" spans="1:20">
      <c r="A46" s="86" t="s">
        <v>105</v>
      </c>
      <c r="B46" s="87"/>
      <c r="C46" s="87"/>
      <c r="D46" s="87"/>
      <c r="E46" s="88"/>
      <c r="J46" t="str">
        <v>Zeta.Liq</v>
      </c>
      <c r="K46" t="str">
        <v>Zeta.Liq</v>
      </c>
      <c r="L46" t="str">
        <v>Zeta.Liq</v>
      </c>
      <c r="M46" t="str">
        <v>Zeta.Liq</v>
      </c>
      <c r="N46" t="str">
        <v>Zeta.Liq</v>
      </c>
      <c r="O46" t="str">
        <v>Zeta.Liq</v>
      </c>
      <c r="P46" t="str">
        <v>Zeta.Liq</v>
      </c>
      <c r="Q46" t="str">
        <v>Zeta.Liq</v>
      </c>
      <c r="R46" t="str">
        <v>Zeta.Liq</v>
      </c>
      <c r="S46" t="str">
        <v>Zeta.Liq</v>
      </c>
      <c r="T46" t="str">
        <v>Zeta.Liq</v>
      </c>
    </row>
    <row r="47" spans="1:20">
      <c r="A47" s="77" t="s">
        <v>27</v>
      </c>
      <c r="B47" s="20">
        <v>345.45</v>
      </c>
      <c r="C47" s="20"/>
      <c r="D47" s="20"/>
      <c r="E47" s="21"/>
      <c r="J47">
        <v>1.202181550537858E-4</v>
      </c>
      <c r="K47">
        <v>1.392446803498312E-4</v>
      </c>
      <c r="L47">
        <v>1.5611899465234615E-4</v>
      </c>
      <c r="M47">
        <v>1.7267044611727204E-4</v>
      </c>
      <c r="N47">
        <v>1.8924410669371434E-4</v>
      </c>
      <c r="O47">
        <v>2.0593624796820133E-4</v>
      </c>
      <c r="P47">
        <v>2.2277736159137917E-4</v>
      </c>
      <c r="Q47">
        <v>2.3977678385951636E-4</v>
      </c>
      <c r="R47">
        <v>2.5693652137309783E-4</v>
      </c>
      <c r="S47">
        <v>2.742561715890004E-4</v>
      </c>
      <c r="T47">
        <v>2.9173483054464335E-4</v>
      </c>
    </row>
    <row r="48" spans="1:20">
      <c r="A48" s="77"/>
      <c r="B48" s="78" t="s">
        <v>76</v>
      </c>
      <c r="C48" s="78" t="s">
        <v>77</v>
      </c>
      <c r="D48" s="20"/>
      <c r="E48" s="79" t="s">
        <v>110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</row>
    <row r="49" spans="1:13">
      <c r="A49" s="77" t="s">
        <v>75</v>
      </c>
      <c r="B49" s="20">
        <v>0.6</v>
      </c>
      <c r="C49" s="20">
        <v>0.4</v>
      </c>
      <c r="D49" s="20"/>
      <c r="E49" s="21">
        <f>B49*B50+C49*C50</f>
        <v>99040.456270990879</v>
      </c>
    </row>
    <row r="50" spans="1:13">
      <c r="A50" s="77" t="s">
        <v>109</v>
      </c>
      <c r="B50" s="20">
        <f>ComponentsData!C5* 10^(-(7/3)*(1+ComponentsData!C4)*((ComponentsData!C6/BubblePointTest!B47) -1))</f>
        <v>138307.05983550361</v>
      </c>
      <c r="C50" s="20">
        <f>ComponentsData!D5* 10^(-(7/3)*(1+ComponentsData!D4)*((ComponentsData!D6/BubblePointTest!B47) -1))</f>
        <v>40140.550924221796</v>
      </c>
      <c r="D50" s="20"/>
      <c r="E50" s="21">
        <v>0.96709061525373596</v>
      </c>
    </row>
    <row r="51" spans="1:13">
      <c r="A51" s="77" t="s">
        <v>108</v>
      </c>
      <c r="B51" s="20">
        <f>B50*B49/$E$49</f>
        <v>0.83788220516920608</v>
      </c>
      <c r="C51" s="20">
        <f>C50*C49/$E$49</f>
        <v>0.16211779483079394</v>
      </c>
      <c r="D51" s="20">
        <f>SUM(B51:C51)</f>
        <v>1</v>
      </c>
      <c r="E51" s="21"/>
      <c r="J51" t="s">
        <v>136</v>
      </c>
      <c r="K51" t="s">
        <v>137</v>
      </c>
    </row>
    <row r="52" spans="1:13" ht="15" thickBot="1">
      <c r="A52" s="60" t="s">
        <v>12</v>
      </c>
      <c r="B52" s="14">
        <v>0.83299763327047704</v>
      </c>
      <c r="C52" s="14">
        <v>0.16700236672952301</v>
      </c>
      <c r="D52" s="14"/>
      <c r="E52" s="15"/>
      <c r="J52" t="s">
        <v>133</v>
      </c>
    </row>
    <row r="53" spans="1:13">
      <c r="J53" t="s">
        <v>132</v>
      </c>
      <c r="K53" t="s">
        <v>134</v>
      </c>
      <c r="L53">
        <f>0.14991/K8</f>
        <v>0.15189630745629182</v>
      </c>
      <c r="M53" t="s">
        <v>135</v>
      </c>
    </row>
    <row r="54" spans="1:13" ht="15" thickBot="1">
      <c r="J54" t="s">
        <v>75</v>
      </c>
      <c r="K54" t="s">
        <v>87</v>
      </c>
      <c r="L54" t="s">
        <v>117</v>
      </c>
    </row>
    <row r="55" spans="1:13">
      <c r="A55" s="86" t="s">
        <v>111</v>
      </c>
      <c r="B55" s="87"/>
      <c r="C55" s="87"/>
      <c r="D55" s="87"/>
      <c r="E55" s="88"/>
      <c r="J55">
        <v>0</v>
      </c>
      <c r="K55">
        <v>327.39999999999998</v>
      </c>
      <c r="L55">
        <v>0</v>
      </c>
    </row>
    <row r="56" spans="1:13">
      <c r="A56" s="59" t="s">
        <v>112</v>
      </c>
      <c r="B56" s="20">
        <v>12.34</v>
      </c>
      <c r="C56" s="20" t="s">
        <v>113</v>
      </c>
      <c r="D56" s="20">
        <f>B56*K8</f>
        <v>12.17863311478</v>
      </c>
      <c r="E56" s="21">
        <v>12.17863311478</v>
      </c>
      <c r="J56">
        <v>0.1</v>
      </c>
      <c r="K56">
        <v>318.05</v>
      </c>
      <c r="L56">
        <v>0.43338599999999999</v>
      </c>
    </row>
    <row r="57" spans="1:13">
      <c r="A57" s="59" t="s">
        <v>75</v>
      </c>
      <c r="B57" s="20">
        <v>1</v>
      </c>
      <c r="C57" s="20"/>
      <c r="D57" s="20"/>
      <c r="E57" s="21"/>
      <c r="J57">
        <v>0.2</v>
      </c>
      <c r="K57">
        <v>312.39999999999998</v>
      </c>
      <c r="L57">
        <v>0.62119000000000002</v>
      </c>
    </row>
    <row r="58" spans="1:13">
      <c r="A58" s="59">
        <f t="array" ref="A58:B65">[1]!Tburbuja(B56,C4:E4,B57)</f>
        <v>462.35220927919045</v>
      </c>
      <c r="B58" s="20" t="str">
        <v>T Posible solución trivial [K]</v>
      </c>
      <c r="C58" s="20"/>
      <c r="D58" s="20">
        <v>462.35220927918999</v>
      </c>
      <c r="E58" s="21"/>
      <c r="J58">
        <v>0.3</v>
      </c>
      <c r="K58">
        <v>308.55</v>
      </c>
      <c r="L58">
        <v>0.72528899999999996</v>
      </c>
    </row>
    <row r="59" spans="1:13">
      <c r="A59" s="59">
        <v>1</v>
      </c>
      <c r="B59" s="20" t="str">
        <v>=Y(1)</v>
      </c>
      <c r="C59" s="20"/>
      <c r="D59" s="20"/>
      <c r="E59" s="21"/>
      <c r="J59">
        <v>0.4</v>
      </c>
      <c r="K59">
        <v>305.7</v>
      </c>
      <c r="L59">
        <v>0.79242000000000001</v>
      </c>
    </row>
    <row r="60" spans="1:13">
      <c r="A60" s="59">
        <v>2</v>
      </c>
      <c r="B60" s="20" t="str">
        <v xml:space="preserve"> Iteraciones</v>
      </c>
      <c r="C60" s="20"/>
      <c r="D60" s="20"/>
      <c r="E60" s="21"/>
      <c r="J60">
        <v>0.5</v>
      </c>
      <c r="K60">
        <v>303.5</v>
      </c>
      <c r="L60">
        <v>0.84065599999999996</v>
      </c>
    </row>
    <row r="61" spans="1:13">
      <c r="A61" s="59" t="str">
        <v>Coef.Fug.L</v>
      </c>
      <c r="B61" s="20" t="str">
        <v>Coef.Fug.V</v>
      </c>
      <c r="C61" s="20"/>
      <c r="D61" s="20"/>
      <c r="E61" s="21"/>
      <c r="J61">
        <v>0.6</v>
      </c>
      <c r="K61">
        <v>301.7</v>
      </c>
      <c r="L61">
        <v>0.87856000000000001</v>
      </c>
    </row>
    <row r="62" spans="1:13">
      <c r="A62" s="59">
        <v>0.94187641360738938</v>
      </c>
      <c r="B62" s="20">
        <v>0.94187979791542176</v>
      </c>
      <c r="C62" s="20"/>
      <c r="D62" s="20"/>
      <c r="E62" s="21"/>
      <c r="J62">
        <v>0.7</v>
      </c>
      <c r="K62">
        <v>300.10000000000002</v>
      </c>
      <c r="L62">
        <v>0.91083499999999995</v>
      </c>
    </row>
    <row r="63" spans="1:13">
      <c r="A63" s="59" t="str">
        <v>Líquido OK</v>
      </c>
      <c r="B63" s="20" t="str">
        <v>Vapor OK</v>
      </c>
      <c r="C63" s="20"/>
      <c r="D63" s="20"/>
      <c r="E63" s="21"/>
      <c r="J63">
        <v>0.8</v>
      </c>
      <c r="K63">
        <v>298.7</v>
      </c>
      <c r="L63">
        <v>0.94036500000000001</v>
      </c>
    </row>
    <row r="64" spans="1:13">
      <c r="A64" s="59" t="str">
        <v>Zeta.Liq</v>
      </c>
      <c r="B64" s="20" t="str">
        <v>Zeta.Vap</v>
      </c>
      <c r="C64" s="20"/>
      <c r="D64" s="20"/>
      <c r="E64" s="21"/>
      <c r="J64">
        <v>0.9</v>
      </c>
      <c r="K64">
        <v>297.39999999999998</v>
      </c>
      <c r="L64">
        <v>0.96940400000000004</v>
      </c>
    </row>
    <row r="65" spans="1:21" ht="15" thickBot="1">
      <c r="A65" s="60">
        <v>8.0256106509597417E-3</v>
      </c>
      <c r="B65" s="14">
        <v>0.93861583897678469</v>
      </c>
      <c r="C65" s="14"/>
      <c r="D65" s="14"/>
      <c r="E65" s="15"/>
      <c r="J65">
        <v>1</v>
      </c>
      <c r="K65">
        <v>296.10000000000002</v>
      </c>
      <c r="L65">
        <v>1</v>
      </c>
    </row>
    <row r="69" spans="1:21">
      <c r="J69" t="s">
        <v>87</v>
      </c>
      <c r="K69">
        <v>400</v>
      </c>
    </row>
    <row r="70" spans="1:21">
      <c r="J70" t="s">
        <v>89</v>
      </c>
      <c r="K70">
        <v>0</v>
      </c>
      <c r="L70">
        <v>0.1</v>
      </c>
      <c r="M70">
        <v>0.2</v>
      </c>
      <c r="N70">
        <v>0.3</v>
      </c>
      <c r="O70">
        <v>0.4</v>
      </c>
      <c r="P70">
        <v>0.5</v>
      </c>
      <c r="Q70">
        <v>0.6</v>
      </c>
      <c r="R70">
        <v>0.7</v>
      </c>
      <c r="S70">
        <v>0.8</v>
      </c>
      <c r="T70">
        <v>0.9</v>
      </c>
      <c r="U70">
        <v>1</v>
      </c>
    </row>
    <row r="71" spans="1:21">
      <c r="J71" t="s">
        <v>90</v>
      </c>
      <c r="K71">
        <f t="shared" ref="K71:U71" si="1">1-K70</f>
        <v>1</v>
      </c>
      <c r="L71">
        <f t="shared" si="1"/>
        <v>0.9</v>
      </c>
      <c r="M71">
        <f t="shared" si="1"/>
        <v>0.8</v>
      </c>
      <c r="N71">
        <f t="shared" si="1"/>
        <v>0.7</v>
      </c>
      <c r="O71">
        <f t="shared" si="1"/>
        <v>0.6</v>
      </c>
      <c r="P71">
        <f t="shared" si="1"/>
        <v>0.5</v>
      </c>
      <c r="Q71">
        <f t="shared" si="1"/>
        <v>0.4</v>
      </c>
      <c r="R71">
        <f t="shared" si="1"/>
        <v>0.30000000000000004</v>
      </c>
      <c r="S71">
        <f t="shared" si="1"/>
        <v>0.19999999999999996</v>
      </c>
      <c r="T71">
        <f t="shared" si="1"/>
        <v>9.9999999999999978E-2</v>
      </c>
      <c r="U71">
        <f t="shared" si="1"/>
        <v>0</v>
      </c>
    </row>
    <row r="72" spans="1:21">
      <c r="J72" t="s">
        <v>110</v>
      </c>
      <c r="K72">
        <f t="array" ref="K72:K81">[1]!Pburbuja($K$69,$C$3:$E$4,K70:K71,,$H$3:$I$4)</f>
        <v>2.3883846825890065</v>
      </c>
      <c r="L72">
        <f t="array" ref="L72:L81">[1]!Pburbuja($K$69,$C$3:$E$4,L70:L71,,$H$3:$I$4)</f>
        <v>3.6219492482194715</v>
      </c>
      <c r="M72">
        <f t="array" ref="M72:M81">[1]!Pburbuja($K$69,$C$3:$E$4,M70:M71,,$H$3:$I$4)</f>
        <v>4.3054212331250099</v>
      </c>
      <c r="N72">
        <f t="array" ref="N72:N81">[1]!Pburbuja($K$69,$C$3:$E$4,N70:N71,,$H$3:$I$4)</f>
        <v>4.8159896396403505</v>
      </c>
      <c r="O72">
        <f t="array" ref="O72:O81">[1]!Pburbuja($K$69,$C$3:$E$4,O70:O71,,$H$3:$I$4)</f>
        <v>5.2668436665055394</v>
      </c>
      <c r="P72">
        <f t="array" ref="P72:P81">[1]!Pburbuja($K$69,$C$3:$E$4,P70:P71,,$H$3:$I$4)</f>
        <v>5.6973548207912215</v>
      </c>
      <c r="Q72">
        <f t="array" ref="Q72:Q81">[1]!Pburbuja($K$69,$C$3:$E$4,Q70:Q71,,$H$3:$I$4)</f>
        <v>6.1227711903297415</v>
      </c>
      <c r="R72">
        <f t="array" ref="R72:R81">[1]!Pburbuja($K$69,$C$3:$E$4,R70:R71,,$H$3:$I$4)</f>
        <v>6.5495217380445032</v>
      </c>
      <c r="S72">
        <f t="array" ref="S72:S81">[1]!Pburbuja($K$69,$C$3:$E$4,S70:S71,,$H$3:$I$4)</f>
        <v>6.9805615160188603</v>
      </c>
      <c r="T72">
        <f t="array" ref="T72:T81">[1]!Pburbuja($K$69,$C$3:$E$4,T70:T71,,$H$3:$I$4)</f>
        <v>7.4174329395429952</v>
      </c>
      <c r="U72">
        <f t="array" ref="U72:U81">[1]!Pburbuja($K$69,$C$3:$E$4,U70:U71,,$H$3:$I$4)</f>
        <v>7.8610709241065466</v>
      </c>
    </row>
    <row r="73" spans="1:21">
      <c r="K73">
        <v>8.4695920295006495E-15</v>
      </c>
      <c r="L73">
        <v>0.38921670261323504</v>
      </c>
      <c r="M73">
        <v>0.521362623957354</v>
      </c>
      <c r="N73">
        <v>0.60462228541380147</v>
      </c>
      <c r="O73">
        <v>0.67212118571386836</v>
      </c>
      <c r="P73">
        <v>0.73301488384349489</v>
      </c>
      <c r="Q73">
        <v>0.79042644005911977</v>
      </c>
      <c r="R73">
        <v>0.84551355212010082</v>
      </c>
      <c r="S73">
        <v>0.89871137505898657</v>
      </c>
      <c r="T73">
        <v>0.95018300941716671</v>
      </c>
      <c r="U73">
        <v>0.99999999999999956</v>
      </c>
    </row>
    <row r="74" spans="1:21">
      <c r="K74">
        <v>0.99999999999999156</v>
      </c>
      <c r="L74">
        <v>0.61078329738676496</v>
      </c>
      <c r="M74">
        <v>0.478637376042646</v>
      </c>
      <c r="N74">
        <v>0.39537771458619864</v>
      </c>
      <c r="O74">
        <v>0.32787881428613164</v>
      </c>
      <c r="P74">
        <v>0.26698511615650522</v>
      </c>
      <c r="Q74">
        <v>0.20957355994088026</v>
      </c>
      <c r="R74">
        <v>0.1544864478798991</v>
      </c>
      <c r="S74">
        <v>0.10128862494101348</v>
      </c>
      <c r="T74">
        <v>4.9816990582833336E-2</v>
      </c>
      <c r="U74">
        <v>4.9063219004612455E-16</v>
      </c>
    </row>
    <row r="75" spans="1:21">
      <c r="K75">
        <v>2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2</v>
      </c>
    </row>
    <row r="76" spans="1:21">
      <c r="K76" t="str">
        <v>Coef.Fug.L</v>
      </c>
      <c r="L76" t="str">
        <v>Coef.Fug.L</v>
      </c>
      <c r="M76" t="str">
        <v>Coef.Fug.L</v>
      </c>
      <c r="N76" t="str">
        <v>Coef.Fug.L</v>
      </c>
      <c r="O76" t="str">
        <v>Coef.Fug.L</v>
      </c>
      <c r="P76" t="str">
        <v>Coef.Fug.L</v>
      </c>
      <c r="Q76" t="str">
        <v>Coef.Fug.L</v>
      </c>
      <c r="R76" t="str">
        <v>Coef.Fug.L</v>
      </c>
      <c r="S76" t="str">
        <v>Coef.Fug.L</v>
      </c>
      <c r="T76" t="str">
        <v>Coef.Fug.L</v>
      </c>
      <c r="U76" t="str">
        <v>Coef.Fug.L</v>
      </c>
    </row>
    <row r="77" spans="1:21">
      <c r="K77">
        <v>8.2257766084487773</v>
      </c>
      <c r="L77">
        <v>3.7360578853885333</v>
      </c>
      <c r="M77">
        <v>2.4842200036189266</v>
      </c>
      <c r="N77">
        <v>1.9101469016073511</v>
      </c>
      <c r="O77">
        <v>1.5848039866859145</v>
      </c>
      <c r="P77">
        <v>1.3762401140530016</v>
      </c>
      <c r="Q77">
        <v>1.2309256900570251</v>
      </c>
      <c r="R77">
        <v>1.1232812025346455</v>
      </c>
      <c r="S77">
        <v>1.039675970396017</v>
      </c>
      <c r="T77">
        <v>0.97225846411318362</v>
      </c>
      <c r="U77">
        <v>0.91624074747561912</v>
      </c>
    </row>
    <row r="78" spans="1:21">
      <c r="K78">
        <v>0.98313989996732321</v>
      </c>
      <c r="L78">
        <v>0.6609401897857079</v>
      </c>
      <c r="M78">
        <v>0.57944105306923299</v>
      </c>
      <c r="N78">
        <v>0.54466703761005297</v>
      </c>
      <c r="O78">
        <v>0.52489534194502541</v>
      </c>
      <c r="P78">
        <v>0.51091794956912295</v>
      </c>
      <c r="Q78">
        <v>0.49935189484495435</v>
      </c>
      <c r="R78">
        <v>0.48881212359233783</v>
      </c>
      <c r="S78">
        <v>0.47871766433217006</v>
      </c>
      <c r="T78">
        <v>0.46884329999420576</v>
      </c>
      <c r="U78">
        <v>0.45913276273638276</v>
      </c>
    </row>
    <row r="79" spans="1:21">
      <c r="K79" t="str">
        <v>Líquido OK</v>
      </c>
      <c r="L79" t="str">
        <v>Líquido OK</v>
      </c>
      <c r="M79" t="str">
        <v>Líquido OK</v>
      </c>
      <c r="N79" t="str">
        <v>Líquido OK</v>
      </c>
      <c r="O79" t="str">
        <v>Líquido OK</v>
      </c>
      <c r="P79" t="str">
        <v>Líquido OK</v>
      </c>
      <c r="Q79" t="str">
        <v>Líquido OK</v>
      </c>
      <c r="R79" t="str">
        <v>Líquido OK</v>
      </c>
      <c r="S79" t="str">
        <v>Líquido OK</v>
      </c>
      <c r="T79" t="str">
        <v>Líquido OK</v>
      </c>
      <c r="U79" t="str">
        <v>Líquido OK</v>
      </c>
    </row>
    <row r="80" spans="1:21">
      <c r="K80" t="str">
        <v>Zeta.Liq</v>
      </c>
      <c r="L80" t="str">
        <v>Zeta.Liq</v>
      </c>
      <c r="M80" t="str">
        <v>Zeta.Liq</v>
      </c>
      <c r="N80" t="str">
        <v>Zeta.Liq</v>
      </c>
      <c r="O80" t="str">
        <v>Zeta.Liq</v>
      </c>
      <c r="P80" t="str">
        <v>Zeta.Liq</v>
      </c>
      <c r="Q80" t="str">
        <v>Zeta.Liq</v>
      </c>
      <c r="R80" t="str">
        <v>Zeta.Liq</v>
      </c>
      <c r="S80" t="str">
        <v>Zeta.Liq</v>
      </c>
      <c r="T80" t="str">
        <v>Zeta.Liq</v>
      </c>
      <c r="U80" t="str">
        <v>Zeta.Liq</v>
      </c>
    </row>
    <row r="81" spans="11:21">
      <c r="K81">
        <v>1.6599277695975828E-3</v>
      </c>
      <c r="L81">
        <v>2.8433861382724077E-3</v>
      </c>
      <c r="M81">
        <v>3.7750764133307247E-3</v>
      </c>
      <c r="N81">
        <v>4.6735508879677005E-3</v>
      </c>
      <c r="O81">
        <v>5.6143143061612175E-3</v>
      </c>
      <c r="P81">
        <v>6.629513123585307E-3</v>
      </c>
      <c r="Q81">
        <v>7.7362240862765093E-3</v>
      </c>
      <c r="R81">
        <v>8.9459591079786814E-3</v>
      </c>
      <c r="S81">
        <v>1.0268368176503017E-2</v>
      </c>
      <c r="T81">
        <v>1.1712927220464336E-2</v>
      </c>
      <c r="U81">
        <v>1.3289781096564418E-2</v>
      </c>
    </row>
  </sheetData>
  <mergeCells count="7">
    <mergeCell ref="A55:E55"/>
    <mergeCell ref="A7:E7"/>
    <mergeCell ref="A46:E46"/>
    <mergeCell ref="F15:F16"/>
    <mergeCell ref="F17:F18"/>
    <mergeCell ref="A23:E23"/>
    <mergeCell ref="A36:E3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D10" sqref="D10"/>
    </sheetView>
  </sheetViews>
  <sheetFormatPr baseColWidth="10" defaultRowHeight="14.4"/>
  <cols>
    <col min="1" max="1" width="17.77734375" bestFit="1" customWidth="1"/>
  </cols>
  <sheetData>
    <row r="1" spans="1:5">
      <c r="A1" s="1"/>
      <c r="B1" s="1" t="s">
        <v>22</v>
      </c>
      <c r="C1" s="1" t="s">
        <v>21</v>
      </c>
    </row>
    <row r="2" spans="1:5">
      <c r="A2" s="1" t="s">
        <v>17</v>
      </c>
      <c r="B2">
        <v>0.48508000000000001</v>
      </c>
      <c r="C2">
        <v>0.37889299999999998</v>
      </c>
    </row>
    <row r="3" spans="1:5">
      <c r="A3" s="1" t="s">
        <v>18</v>
      </c>
      <c r="B3">
        <v>1.5517099999999999</v>
      </c>
      <c r="C3">
        <v>1.4897153000000001</v>
      </c>
    </row>
    <row r="4" spans="1:5">
      <c r="A4" s="1" t="s">
        <v>19</v>
      </c>
      <c r="B4">
        <v>-0.15612999999999999</v>
      </c>
      <c r="C4">
        <v>-0.17131848</v>
      </c>
    </row>
    <row r="5" spans="1:5">
      <c r="A5" s="1" t="s">
        <v>20</v>
      </c>
      <c r="B5">
        <v>0</v>
      </c>
      <c r="C5">
        <v>1.96554E-2</v>
      </c>
    </row>
    <row r="6" spans="1:5">
      <c r="A6" s="1" t="s">
        <v>27</v>
      </c>
      <c r="B6">
        <v>425.87</v>
      </c>
    </row>
    <row r="7" spans="1:5">
      <c r="D7" s="1" t="s">
        <v>22</v>
      </c>
      <c r="E7" s="1" t="s">
        <v>21</v>
      </c>
    </row>
    <row r="8" spans="1:5">
      <c r="A8" s="1" t="s">
        <v>23</v>
      </c>
      <c r="D8" s="91" t="s">
        <v>25</v>
      </c>
      <c r="E8" s="91"/>
    </row>
    <row r="9" spans="1:5">
      <c r="A9" s="1" t="s">
        <v>24</v>
      </c>
      <c r="B9">
        <f>B2 + B3*ComponentsData!$C$4+B4*ComponentsData!$C$4^2+B5*ComponentsData!$C$4^3</f>
        <v>1.313098303188811</v>
      </c>
      <c r="C9">
        <f>C2 + C3*ComponentsData!$C$4+C4*ComponentsData!$C$4^2+C5*ComponentsData!$C$4^3</f>
        <v>1.1705307196840293</v>
      </c>
      <c r="D9">
        <v>1.32157488208</v>
      </c>
      <c r="E9">
        <v>1.1786359793688193</v>
      </c>
    </row>
    <row r="10" spans="1:5">
      <c r="A10" s="1" t="s">
        <v>26</v>
      </c>
      <c r="B10">
        <f>POWER(1+ B9*(1-SQRT($B$6/ComponentsData!$C$6)),2)</f>
        <v>1.2457081609438747</v>
      </c>
      <c r="C10">
        <f>POWER(1+ C9*(1-SQRT($B$6/ComponentsData!$C$6)),2)</f>
        <v>1.2177259036874013</v>
      </c>
      <c r="D10">
        <v>1.2476444127925299</v>
      </c>
      <c r="E10">
        <v>1.21953969871451</v>
      </c>
    </row>
    <row r="11" spans="1:5">
      <c r="A11" s="24" t="s">
        <v>128</v>
      </c>
      <c r="B11">
        <f>(1/B10^0.5)*(-B9*SQRT(B6/ComponentsData!C6))</f>
        <v>-1.0724589411282648</v>
      </c>
      <c r="C11">
        <f>(1/C10^0.5)*(-C9*SQRT(B6/ComponentsData!C6))</f>
        <v>-0.9669402366736497</v>
      </c>
      <c r="D11">
        <v>-1.0784390017006</v>
      </c>
      <c r="E11">
        <v>-0.97281654061186096</v>
      </c>
    </row>
  </sheetData>
  <mergeCells count="1">
    <mergeCell ref="D8:E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A13" sqref="A13"/>
    </sheetView>
  </sheetViews>
  <sheetFormatPr baseColWidth="10" defaultRowHeight="14.4"/>
  <cols>
    <col min="1" max="1" width="17.77734375" bestFit="1" customWidth="1"/>
    <col min="2" max="2" width="21.33203125" customWidth="1"/>
    <col min="3" max="3" width="23.21875" bestFit="1" customWidth="1"/>
    <col min="5" max="5" width="23.21875" bestFit="1" customWidth="1"/>
  </cols>
  <sheetData>
    <row r="1" spans="1:5">
      <c r="A1" s="1"/>
      <c r="B1" s="1" t="s">
        <v>33</v>
      </c>
      <c r="C1" s="1" t="s">
        <v>34</v>
      </c>
    </row>
    <row r="2" spans="1:5">
      <c r="A2" s="1" t="s">
        <v>17</v>
      </c>
      <c r="B2">
        <v>0.48508000000000001</v>
      </c>
      <c r="C2">
        <v>0.37889299999999998</v>
      </c>
    </row>
    <row r="3" spans="1:5">
      <c r="A3" s="1" t="s">
        <v>18</v>
      </c>
      <c r="B3">
        <v>1.5517099999999999</v>
      </c>
      <c r="C3">
        <v>1.4897153000000001</v>
      </c>
    </row>
    <row r="4" spans="1:5">
      <c r="A4" s="1" t="s">
        <v>19</v>
      </c>
      <c r="B4">
        <v>-0.15612999999999999</v>
      </c>
      <c r="C4">
        <v>-0.17131848</v>
      </c>
    </row>
    <row r="5" spans="1:5">
      <c r="A5" s="1" t="s">
        <v>20</v>
      </c>
      <c r="B5">
        <v>0</v>
      </c>
      <c r="C5">
        <v>1.96554E-2</v>
      </c>
    </row>
    <row r="6" spans="1:5">
      <c r="A6" s="1" t="s">
        <v>32</v>
      </c>
      <c r="B6">
        <v>425.87</v>
      </c>
      <c r="C6">
        <f>B6/ComponentsData!$C$6</f>
        <v>0.83096585365853659</v>
      </c>
    </row>
    <row r="7" spans="1:5">
      <c r="A7" s="1" t="s">
        <v>31</v>
      </c>
      <c r="B7">
        <v>604.23</v>
      </c>
      <c r="C7">
        <f>B7/ComponentsData!$C$6</f>
        <v>1.1789853658536587</v>
      </c>
      <c r="D7" s="1" t="s">
        <v>33</v>
      </c>
      <c r="E7" s="1" t="s">
        <v>34</v>
      </c>
    </row>
    <row r="8" spans="1:5">
      <c r="A8" s="1" t="s">
        <v>23</v>
      </c>
      <c r="D8" s="91" t="s">
        <v>25</v>
      </c>
      <c r="E8" s="91"/>
    </row>
    <row r="9" spans="1:5">
      <c r="A9" s="1" t="s">
        <v>24</v>
      </c>
      <c r="B9">
        <f>B2 + B3*ComponentsData!$C$4+B4*ComponentsData!$C$4^2+B5*ComponentsData!$C$4^3</f>
        <v>1.313098303188811</v>
      </c>
      <c r="C9">
        <f>C2 + C3*ComponentsData!$C$4+C4*ComponentsData!$C$4^2+C5*ComponentsData!$C$4^3</f>
        <v>1.1705307196840293</v>
      </c>
      <c r="D9">
        <v>1.32157488208</v>
      </c>
      <c r="E9">
        <v>1.1786359793688199</v>
      </c>
    </row>
    <row r="10" spans="1:5">
      <c r="A10" s="1" t="s">
        <v>28</v>
      </c>
      <c r="B10">
        <f xml:space="preserve"> 1 + 0.5 *B9+0.3 * ComponentsData!$C$7</f>
        <v>1.7746861515944055</v>
      </c>
      <c r="C10">
        <f xml:space="preserve"> 1 + 0.5 *C9+0.3 * ComponentsData!$C$7</f>
        <v>1.7034023598420145</v>
      </c>
      <c r="D10">
        <v>1.77892744104</v>
      </c>
      <c r="E10">
        <v>1.70745798968441</v>
      </c>
    </row>
    <row r="11" spans="1:5">
      <c r="A11" s="1" t="s">
        <v>29</v>
      </c>
      <c r="B11">
        <f>POWER(1+ B9*(1-SQRT($B6/ComponentsData!$C$6)) - ComponentsData!$C$7*(1-$C6)*(0.7 - $C6),2)</f>
        <v>1.2652438224543587</v>
      </c>
      <c r="C11">
        <f>POWER(1+ C9*(1-SQRT($B6/ComponentsData!$C$6)) - ComponentsData!$C$7*(1-$C6)*(0.7 - $C6),2)</f>
        <v>1.2370417632774973</v>
      </c>
      <c r="D11">
        <v>1.26719019563283</v>
      </c>
      <c r="E11">
        <v>1.2388649417067901</v>
      </c>
    </row>
    <row r="12" spans="1:5">
      <c r="A12" s="1" t="s">
        <v>30</v>
      </c>
      <c r="B12">
        <f>EXP((2*(B10-1)/B10)*(1-POWER($C$7,B10)))</f>
        <v>0.7435676271501791</v>
      </c>
      <c r="C12">
        <f>EXP((2*(C10-1)/C10)*(1-POWER($C$7,C10)))</f>
        <v>0.76538024364473822</v>
      </c>
      <c r="D12">
        <v>0.74258381399471496</v>
      </c>
      <c r="E12">
        <v>0.76440879061241396</v>
      </c>
    </row>
    <row r="13" spans="1:5" ht="28.8">
      <c r="A13" s="24" t="s">
        <v>129</v>
      </c>
      <c r="B13">
        <f>(1/B11^0.5)*(-B9*SQRT($C$6)+ComponentsData!$C$7*(3.4*Mathias_StryjekVeraTest!$C$6-4*Mathias_StryjekVeraTest!$C$6^2))</f>
        <v>-1.0419982226903439</v>
      </c>
      <c r="C13">
        <f>(1/C11^0.5)*(-C9*SQRT($C$6)+ComponentsData!$C$7*(3.4*Mathias_StryjekVeraTest!$C$6-4*Mathias_StryjekVeraTest!$C$6^2))</f>
        <v>-0.93696130864491955</v>
      </c>
      <c r="D13">
        <v>-1.08108869319346</v>
      </c>
      <c r="E13">
        <v>-0.97542514285494697</v>
      </c>
    </row>
    <row r="14" spans="1:5" ht="28.8">
      <c r="A14" s="24" t="s">
        <v>130</v>
      </c>
      <c r="B14">
        <f>-2*(B10-1)*POWER(C7,B10)</f>
        <v>-2.075203929205685</v>
      </c>
      <c r="C14">
        <f>-2*(C10-1)*POWER(C7,C10)</f>
        <v>-1.8622647320442633</v>
      </c>
      <c r="D14">
        <v>-1.7071997571927884</v>
      </c>
      <c r="E14">
        <v>-1.5019225384657999</v>
      </c>
    </row>
  </sheetData>
  <mergeCells count="1">
    <mergeCell ref="D8:E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0"/>
  <sheetViews>
    <sheetView workbookViewId="0">
      <selection activeCell="G15" sqref="G15"/>
    </sheetView>
  </sheetViews>
  <sheetFormatPr baseColWidth="10" defaultRowHeight="14.4"/>
  <sheetData>
    <row r="1" spans="1:11">
      <c r="A1" s="58" t="s">
        <v>82</v>
      </c>
      <c r="B1" s="58" t="s">
        <v>83</v>
      </c>
      <c r="C1" s="58" t="s">
        <v>84</v>
      </c>
      <c r="D1" s="58" t="s">
        <v>8</v>
      </c>
      <c r="E1" s="56"/>
      <c r="F1" s="58" t="s">
        <v>85</v>
      </c>
      <c r="G1" s="58" t="s">
        <v>7</v>
      </c>
      <c r="H1" s="58" t="s">
        <v>61</v>
      </c>
      <c r="J1" s="57" t="s">
        <v>88</v>
      </c>
      <c r="K1" s="58">
        <v>0.98692326699999999</v>
      </c>
    </row>
    <row r="2" spans="1:11">
      <c r="A2" s="58" t="s">
        <v>7</v>
      </c>
      <c r="B2" s="58">
        <v>512.5</v>
      </c>
      <c r="C2" s="58">
        <v>80.84</v>
      </c>
      <c r="D2" s="58">
        <v>0.56583099999999997</v>
      </c>
      <c r="E2" s="56"/>
      <c r="F2" s="58" t="s">
        <v>7</v>
      </c>
      <c r="G2" s="56"/>
      <c r="H2" s="58">
        <v>-7.7799999999999994E-2</v>
      </c>
    </row>
    <row r="3" spans="1:11">
      <c r="A3" s="58" t="s">
        <v>61</v>
      </c>
      <c r="B3" s="58">
        <v>647.13</v>
      </c>
      <c r="C3" s="58">
        <v>220.55</v>
      </c>
      <c r="D3" s="58">
        <v>0.34486099999999997</v>
      </c>
      <c r="E3" s="56"/>
      <c r="F3" s="58" t="s">
        <v>61</v>
      </c>
      <c r="G3" s="58">
        <v>-7.7799999999999994E-2</v>
      </c>
      <c r="H3" s="56"/>
    </row>
    <row r="4" spans="1:11" ht="15" thickBot="1"/>
    <row r="5" spans="1:11">
      <c r="A5" s="86" t="s">
        <v>122</v>
      </c>
      <c r="B5" s="87"/>
      <c r="C5" s="87"/>
      <c r="D5" s="87"/>
      <c r="E5" s="87"/>
      <c r="G5" s="1" t="s">
        <v>112</v>
      </c>
      <c r="H5">
        <v>9.1456</v>
      </c>
    </row>
    <row r="6" spans="1:11">
      <c r="A6" s="1" t="s">
        <v>112</v>
      </c>
      <c r="B6">
        <v>9.1456</v>
      </c>
      <c r="C6" t="s">
        <v>113</v>
      </c>
      <c r="D6">
        <f>B6*K1</f>
        <v>9.0260054306752</v>
      </c>
      <c r="E6">
        <v>9.0260054306752</v>
      </c>
      <c r="G6" s="1" t="s">
        <v>27</v>
      </c>
      <c r="H6">
        <v>405.66579999999999</v>
      </c>
    </row>
    <row r="7" spans="1:11">
      <c r="A7" s="1" t="s">
        <v>27</v>
      </c>
      <c r="B7">
        <v>423.45</v>
      </c>
      <c r="G7" t="s">
        <v>125</v>
      </c>
      <c r="H7">
        <v>1</v>
      </c>
    </row>
    <row r="8" spans="1:11">
      <c r="A8" s="1" t="s">
        <v>120</v>
      </c>
      <c r="B8">
        <v>0.45</v>
      </c>
      <c r="G8">
        <f>[1]!FlashTP(H6,H5,B2:D2,H7)</f>
        <v>1</v>
      </c>
    </row>
    <row r="9" spans="1:11">
      <c r="A9" s="1" t="s">
        <v>121</v>
      </c>
      <c r="B9">
        <v>0.55000000000000004</v>
      </c>
    </row>
    <row r="10" spans="1:11">
      <c r="A10">
        <f t="array" ref="A10:B20">[1]!FlashTP(B7,B6,B2:D3,B8:B9)</f>
        <v>0.89943626302016122</v>
      </c>
      <c r="B10" t="str">
        <v>Fracc. Vapor</v>
      </c>
      <c r="C10">
        <v>0.899436263020161</v>
      </c>
      <c r="E10">
        <v>0.899436263020161</v>
      </c>
    </row>
    <row r="11" spans="1:11">
      <c r="A11" t="str">
        <v>X(líq)</v>
      </c>
      <c r="B11" t="str">
        <v>Y(vap)</v>
      </c>
      <c r="C11" t="s">
        <v>123</v>
      </c>
      <c r="D11" t="s">
        <v>124</v>
      </c>
    </row>
    <row r="12" spans="1:11">
      <c r="A12">
        <v>6.6202101581749453E-2</v>
      </c>
      <c r="B12">
        <v>0.49291149012884994</v>
      </c>
      <c r="C12">
        <v>6.6202101581749453E-2</v>
      </c>
      <c r="D12">
        <v>0.49291149012884994</v>
      </c>
    </row>
    <row r="13" spans="1:11">
      <c r="A13">
        <v>0.93379789841825056</v>
      </c>
      <c r="B13">
        <v>0.50708850987114995</v>
      </c>
      <c r="C13">
        <v>0.93379789841825056</v>
      </c>
      <c r="D13">
        <v>0.50708850987114995</v>
      </c>
    </row>
    <row r="14" spans="1:11">
      <c r="A14">
        <v>13</v>
      </c>
      <c r="B14" t="str">
        <v xml:space="preserve"> Iteraciones</v>
      </c>
    </row>
    <row r="15" spans="1:11">
      <c r="A15" t="str">
        <v>Coef.Fug.L</v>
      </c>
      <c r="B15" t="str">
        <v>Coef.Fug.V</v>
      </c>
    </row>
    <row r="16" spans="1:11">
      <c r="A16">
        <v>6.8478942473365425</v>
      </c>
      <c r="B16">
        <v>0.91972898367050715</v>
      </c>
    </row>
    <row r="17" spans="1:2">
      <c r="A17">
        <v>0.51360427305663003</v>
      </c>
      <c r="B17">
        <v>0.945796590033255</v>
      </c>
    </row>
    <row r="18" spans="1:2">
      <c r="A18" t="str">
        <v>Líquido OK</v>
      </c>
      <c r="B18" t="str">
        <v>Vapor OK</v>
      </c>
    </row>
    <row r="19" spans="1:2">
      <c r="A19" t="str">
        <v>Zeta.Liq</v>
      </c>
      <c r="B19" t="str">
        <v>Zeta.Vap</v>
      </c>
    </row>
    <row r="20" spans="1:2">
      <c r="A20">
        <v>6.7301942011734981E-3</v>
      </c>
      <c r="B20">
        <v>0.92850663891066854</v>
      </c>
    </row>
  </sheetData>
  <mergeCells count="1">
    <mergeCell ref="A5:E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0"/>
  <sheetViews>
    <sheetView topLeftCell="A16" workbookViewId="0">
      <selection activeCell="D22" sqref="D22"/>
    </sheetView>
  </sheetViews>
  <sheetFormatPr baseColWidth="10" defaultRowHeight="14.4"/>
  <cols>
    <col min="1" max="1" width="22.88671875" style="44" bestFit="1" customWidth="1"/>
    <col min="2" max="5" width="12" style="44" bestFit="1" customWidth="1"/>
    <col min="6" max="6" width="14.21875" style="44" bestFit="1" customWidth="1"/>
    <col min="7" max="7" width="12" style="44" bestFit="1" customWidth="1"/>
    <col min="8" max="8" width="13.109375" style="44" bestFit="1" customWidth="1"/>
    <col min="9" max="9" width="11.5546875" style="44"/>
    <col min="10" max="10" width="13" style="44" bestFit="1" customWidth="1"/>
    <col min="11" max="16384" width="11.5546875" style="44"/>
  </cols>
  <sheetData>
    <row r="1" spans="1:7">
      <c r="A1" s="45"/>
      <c r="B1" s="45" t="s">
        <v>33</v>
      </c>
      <c r="C1" s="45" t="s">
        <v>43</v>
      </c>
    </row>
    <row r="2" spans="1:7" ht="14.4" customHeight="1">
      <c r="A2" s="45" t="s">
        <v>17</v>
      </c>
      <c r="B2" s="44">
        <v>0.48508000000000001</v>
      </c>
      <c r="C2" s="44">
        <v>0.37889299999999998</v>
      </c>
    </row>
    <row r="3" spans="1:7">
      <c r="A3" s="45" t="s">
        <v>18</v>
      </c>
      <c r="B3" s="44">
        <v>1.5517099999999999</v>
      </c>
      <c r="C3" s="44">
        <v>1.4897153000000001</v>
      </c>
    </row>
    <row r="4" spans="1:7">
      <c r="A4" s="45" t="s">
        <v>19</v>
      </c>
      <c r="B4" s="44">
        <v>-0.15612999999999999</v>
      </c>
      <c r="C4" s="44">
        <v>-0.17131848</v>
      </c>
    </row>
    <row r="5" spans="1:7">
      <c r="A5" s="45" t="s">
        <v>20</v>
      </c>
      <c r="B5" s="44">
        <v>0</v>
      </c>
      <c r="C5" s="44">
        <v>1.96554E-2</v>
      </c>
    </row>
    <row r="6" spans="1:7">
      <c r="A6" s="45" t="s">
        <v>52</v>
      </c>
      <c r="B6" s="44">
        <v>1</v>
      </c>
      <c r="C6" s="44">
        <v>2</v>
      </c>
    </row>
    <row r="7" spans="1:7">
      <c r="A7" s="45" t="s">
        <v>8</v>
      </c>
      <c r="B7" s="44">
        <v>0</v>
      </c>
      <c r="C7" s="44">
        <v>-1</v>
      </c>
    </row>
    <row r="8" spans="1:7">
      <c r="A8" s="45" t="s">
        <v>32</v>
      </c>
      <c r="B8" s="44">
        <v>425.87</v>
      </c>
      <c r="C8" s="44">
        <f>B8/ComponentsData!$C$6</f>
        <v>0.83096585365853659</v>
      </c>
    </row>
    <row r="9" spans="1:7">
      <c r="A9" s="45" t="s">
        <v>31</v>
      </c>
      <c r="B9" s="44">
        <v>604.23</v>
      </c>
      <c r="C9" s="44">
        <f>B9/ComponentsData!$C$6</f>
        <v>1.1789853658536587</v>
      </c>
      <c r="D9" s="45" t="s">
        <v>33</v>
      </c>
      <c r="E9" s="45" t="s">
        <v>43</v>
      </c>
    </row>
    <row r="10" spans="1:7">
      <c r="A10" s="45" t="s">
        <v>23</v>
      </c>
      <c r="D10" s="98" t="s">
        <v>25</v>
      </c>
      <c r="E10" s="98"/>
      <c r="F10" s="44" t="s">
        <v>67</v>
      </c>
      <c r="G10" s="44">
        <f>B8/ComponentsData!D6</f>
        <v>0.65812491500488335</v>
      </c>
    </row>
    <row r="11" spans="1:7">
      <c r="A11" s="45" t="s">
        <v>24</v>
      </c>
      <c r="B11" s="44">
        <f>B2 + B3*ComponentsData!$C$4+B4*ComponentsData!$C$4^2+B5*ComponentsData!$C$4^3</f>
        <v>1.313098303188811</v>
      </c>
      <c r="C11" s="44">
        <f>C2 + C3*ComponentsData!$C$4+C4*ComponentsData!$C$4^2+C5*ComponentsData!$C$4^3</f>
        <v>1.1705307196840293</v>
      </c>
      <c r="D11" s="44">
        <v>1.32157488208</v>
      </c>
      <c r="E11" s="44">
        <v>1.1786359793688199</v>
      </c>
      <c r="F11" s="45" t="s">
        <v>24</v>
      </c>
      <c r="G11" s="44">
        <f>C2 + C3*ComponentsData!$D$4+C4*ComponentsData!$D$4^2+C5*ComponentsData!$D$4^3</f>
        <v>0.87306910063967647</v>
      </c>
    </row>
    <row r="12" spans="1:7">
      <c r="A12" s="45" t="s">
        <v>28</v>
      </c>
      <c r="B12" s="44">
        <f xml:space="preserve"> 1 + 0.5 *B11+0.3 * ComponentsData!$C$7</f>
        <v>1.7746861515944055</v>
      </c>
      <c r="C12" s="44">
        <f xml:space="preserve"> 1 + 0.5 *C11+0.3 * ComponentsData!$C$7</f>
        <v>1.7034023598420145</v>
      </c>
      <c r="D12" s="44">
        <v>1.77892744104</v>
      </c>
      <c r="E12" s="44">
        <v>1.70745798968441</v>
      </c>
      <c r="F12" s="45" t="s">
        <v>28</v>
      </c>
      <c r="G12" s="44">
        <f xml:space="preserve"> 1 + 0.5 *G11+0.3 * ComponentsData!$D$7</f>
        <v>1.4135245503198381</v>
      </c>
    </row>
    <row r="13" spans="1:7">
      <c r="A13" s="45" t="s">
        <v>29</v>
      </c>
      <c r="B13" s="44">
        <f>POWER(1+ B11*(1-SQRT($C$8)) + ComponentsData!$C$7*(1-$C$8)*(0.7 -$C$8),2)</f>
        <v>1.226324492720664</v>
      </c>
      <c r="C13" s="44">
        <f>POWER(1+ C11*(1-SQRT($C$8)) + ComponentsData!$C$7*(1-$C$8)*(0.7 -$C$8),2)</f>
        <v>1.1985620373845787</v>
      </c>
      <c r="D13" s="44">
        <v>1.26719019563283</v>
      </c>
      <c r="E13" s="44">
        <v>1.2388649417067901</v>
      </c>
      <c r="F13" s="45" t="s">
        <v>29</v>
      </c>
      <c r="G13" s="44">
        <f>POWER(1+ G11*(1-SQRT($G$10)) - ComponentsData!$D$7*(1-$G$10)*(0.7 -$G$10),2)</f>
        <v>1.359301171367906</v>
      </c>
    </row>
    <row r="14" spans="1:7">
      <c r="A14" s="45" t="s">
        <v>30</v>
      </c>
      <c r="B14" s="44">
        <f>EXP((2*(B12-1)/B12)*(1-POWER($C$9,B12)))</f>
        <v>0.7435676271501791</v>
      </c>
      <c r="C14" s="44">
        <f>EXP((2*(C12-1)/C12)*(1-POWER($C$9,C12)))</f>
        <v>0.76538024364473822</v>
      </c>
      <c r="D14" s="44">
        <v>0.74258381399471496</v>
      </c>
      <c r="E14" s="44">
        <v>0.76440879061241396</v>
      </c>
    </row>
    <row r="15" spans="1:7">
      <c r="A15" s="45" t="s">
        <v>35</v>
      </c>
      <c r="B15" s="44">
        <v>0.42748023000000002</v>
      </c>
      <c r="C15" s="44">
        <v>0.45723553</v>
      </c>
    </row>
    <row r="16" spans="1:7" ht="15" thickBot="1">
      <c r="A16" s="45" t="s">
        <v>36</v>
      </c>
      <c r="B16" s="23">
        <v>8.6640350000000005E-2</v>
      </c>
      <c r="C16" s="23">
        <v>7.7796074000000007E-2</v>
      </c>
    </row>
    <row r="17" spans="1:10">
      <c r="G17" s="92" t="s">
        <v>65</v>
      </c>
      <c r="H17" s="96"/>
    </row>
    <row r="18" spans="1:10">
      <c r="B18" s="99" t="s">
        <v>11</v>
      </c>
      <c r="C18" s="99"/>
      <c r="D18" s="99" t="s">
        <v>12</v>
      </c>
      <c r="E18" s="99"/>
      <c r="G18" s="93" t="s">
        <v>64</v>
      </c>
      <c r="H18" s="97"/>
    </row>
    <row r="19" spans="1:10" ht="29.4" thickBot="1">
      <c r="A19" s="40" t="s">
        <v>16</v>
      </c>
      <c r="B19" s="45" t="s">
        <v>33</v>
      </c>
      <c r="C19" s="45" t="s">
        <v>43</v>
      </c>
      <c r="D19" s="45" t="s">
        <v>33</v>
      </c>
      <c r="E19" s="45" t="s">
        <v>43</v>
      </c>
      <c r="G19" s="47" t="s">
        <v>62</v>
      </c>
      <c r="H19" s="52" t="s">
        <v>63</v>
      </c>
      <c r="I19" s="51"/>
      <c r="J19" s="51"/>
    </row>
    <row r="20" spans="1:10" ht="15" thickBot="1">
      <c r="A20" s="48" t="s">
        <v>37</v>
      </c>
      <c r="B20" s="4">
        <f>'CubicTest  (2)'!B15 *'CubicTest  (2)'!B13* (ComponentsData!$C$1*ComponentsData!$C$6)^2 / (ComponentsData!$C$5)</f>
        <v>1177476.427427107</v>
      </c>
      <c r="C20" s="4">
        <f>'CubicTest  (2)'!C15 *'CubicTest  (2)'!C13* (ComponentsData!$C$1*ComponentsData!$C$6)^2 / (ComponentsData!$C$5)</f>
        <v>1230924.0955962627</v>
      </c>
      <c r="D20" s="49">
        <v>11.972327904134801</v>
      </c>
      <c r="E20" s="49">
        <v>12.5194340883597</v>
      </c>
      <c r="G20" s="53">
        <f>'CubicTest  (2)'!C15 *'CubicTest  (2)'!G13* (ComponentsData!$C$1*ComponentsData!$D$6)^2 / (ComponentsData!$D$5)</f>
        <v>815414.05587326142</v>
      </c>
      <c r="H20" s="7">
        <f>'CubicTest  (2)'!C15 *'CubicTest  (2)'!C13* (ComponentsData!$C$1*ComponentsData!$C$6)^2 / (ComponentsData!$C$5)</f>
        <v>1230924.0955962627</v>
      </c>
      <c r="I20" s="50" t="s">
        <v>66</v>
      </c>
      <c r="J20" s="51"/>
    </row>
    <row r="21" spans="1:10" ht="15" thickBot="1">
      <c r="A21" s="41" t="s">
        <v>38</v>
      </c>
      <c r="B21" s="4">
        <f>'CubicTest  (2)'!B15 *'CubicTest  (2)'!B14* (ComponentsData!$C$1*ComponentsData!$C$6)^2 / (ComponentsData!$C$5)</f>
        <v>713949.16954225395</v>
      </c>
      <c r="C21" s="4">
        <f>'CubicTest  (2)'!C15 *'CubicTest  (2)'!C14* (ComponentsData!$C$1*ComponentsData!$C$6)^2 / (ComponentsData!$C$5)</f>
        <v>786046.07422031171</v>
      </c>
      <c r="D21" s="49">
        <v>7.0158820263030197</v>
      </c>
      <c r="E21" s="49">
        <v>7.7247851226222197</v>
      </c>
      <c r="G21" s="54">
        <v>7.9091347582367302</v>
      </c>
      <c r="H21" s="10">
        <v>12.5194340883597</v>
      </c>
      <c r="I21" s="44" t="s">
        <v>12</v>
      </c>
    </row>
    <row r="22" spans="1:10" ht="15" thickBot="1">
      <c r="A22" s="48" t="s">
        <v>9</v>
      </c>
      <c r="B22" s="4">
        <f>'CubicTest  (2)'!B16 * (ComponentsData!$C$1*ComponentsData!$C$6) / (ComponentsData!$C$5)</f>
        <v>4.5669098419645594E-2</v>
      </c>
      <c r="C22" s="4">
        <f>'CubicTest  (2)'!C16 * (ComponentsData!$C$1*ComponentsData!$C$6) / (ComponentsData!$C$5)</f>
        <v>4.1007181528791514E-2</v>
      </c>
      <c r="D22" s="49">
        <v>4.5589640608263697E-2</v>
      </c>
      <c r="E22" s="49">
        <v>4.0935834797457403E-2</v>
      </c>
    </row>
    <row r="23" spans="1:10" ht="15" thickBot="1">
      <c r="A23" s="92" t="s">
        <v>4</v>
      </c>
      <c r="B23" s="4" t="s">
        <v>1</v>
      </c>
      <c r="C23" s="4">
        <v>1.33</v>
      </c>
      <c r="D23" s="4"/>
      <c r="E23" s="5"/>
    </row>
    <row r="24" spans="1:10">
      <c r="A24" s="93"/>
      <c r="B24" s="49"/>
      <c r="C24" s="49"/>
      <c r="D24" s="49"/>
      <c r="E24" s="7"/>
      <c r="G24" s="92" t="s">
        <v>68</v>
      </c>
      <c r="H24" s="96"/>
    </row>
    <row r="25" spans="1:10" ht="15" thickBot="1">
      <c r="A25" s="93"/>
      <c r="B25" s="49">
        <f>ComponentsData!$C$1*'CubicTest  (2)'!$B$8/('CubicTest  (2)'!$C$23-'CubicTest  (2)'!B22)-B20/($C$23^2 +B22*$C$23)</f>
        <v>2113431.082514164</v>
      </c>
      <c r="C25" s="49">
        <f>ComponentsData!$C$1*'CubicTest  (2)'!$B$8/('CubicTest  (2)'!$C$23-'CubicTest  (2)'!C22)-C20/($C$23^2 +2*C22*$C$23-C22^2)</f>
        <v>2090977.3611918697</v>
      </c>
      <c r="D25" s="49">
        <v>20.643830517734798</v>
      </c>
      <c r="E25" s="7">
        <v>20.416487251292999</v>
      </c>
      <c r="G25" s="93" t="s">
        <v>64</v>
      </c>
      <c r="H25" s="97"/>
    </row>
    <row r="26" spans="1:10">
      <c r="A26" s="92" t="s">
        <v>44</v>
      </c>
      <c r="B26" s="4" t="s">
        <v>3</v>
      </c>
      <c r="C26" s="4">
        <v>14.9142600607065</v>
      </c>
      <c r="D26" s="4"/>
      <c r="E26" s="5"/>
      <c r="G26" s="47" t="s">
        <v>69</v>
      </c>
      <c r="H26" s="52" t="s">
        <v>70</v>
      </c>
      <c r="I26" s="51"/>
    </row>
    <row r="27" spans="1:10">
      <c r="A27" s="93"/>
      <c r="B27" s="49"/>
      <c r="C27" s="33" t="s">
        <v>45</v>
      </c>
      <c r="D27" s="49">
        <f>B20*$C$26/((ComponentsData!$C$1*'CubicTest  (2)'!$B$8)^2)</f>
        <v>1.4006527797654157E-6</v>
      </c>
      <c r="E27" s="7">
        <f>C20*$C$26/((ComponentsData!$C$1*'CubicTest  (2)'!$B$8)^2)</f>
        <v>1.4642308041312088E-6</v>
      </c>
      <c r="F27" s="49"/>
      <c r="G27" s="53">
        <f>'CubicTest  (2)'!C16*(ComponentsData!$C$1*ComponentsData!$D$6)/(ComponentsData!$D$5)</f>
        <v>1.8970414589228459E-2</v>
      </c>
      <c r="H27" s="53">
        <f>'CubicTest  (2)'!C16 * (ComponentsData!$C$1*ComponentsData!$C$6) / (ComponentsData!$C$5)</f>
        <v>4.1007181528791514E-2</v>
      </c>
      <c r="I27" s="50" t="s">
        <v>66</v>
      </c>
    </row>
    <row r="28" spans="1:10" ht="15" thickBot="1">
      <c r="A28" s="93"/>
      <c r="B28" s="49"/>
      <c r="C28" s="49" t="s">
        <v>46</v>
      </c>
      <c r="D28" s="49">
        <f>B22*$C$26/((ComponentsData!$C$1*'CubicTest  (2)'!$B$8))</f>
        <v>1.9235896287403991E-7</v>
      </c>
      <c r="E28" s="7">
        <f>C22*$C$26/((ComponentsData!$C$1*'CubicTest  (2)'!$B$8))</f>
        <v>1.7272289539818412E-7</v>
      </c>
      <c r="F28" s="49"/>
      <c r="G28" s="54">
        <v>1.8662849078412501E-2</v>
      </c>
      <c r="H28" s="10">
        <v>4.0905903648446297E-2</v>
      </c>
      <c r="I28" s="44" t="s">
        <v>12</v>
      </c>
    </row>
    <row r="29" spans="1:10">
      <c r="A29" s="93"/>
      <c r="B29" s="49"/>
      <c r="C29" s="49" t="s">
        <v>26</v>
      </c>
      <c r="D29" s="49">
        <f>1-(B6-1)*D28</f>
        <v>1</v>
      </c>
      <c r="E29" s="7">
        <f>1-(C6-1)*E28</f>
        <v>0.99999982727710457</v>
      </c>
      <c r="F29" s="49"/>
    </row>
    <row r="30" spans="1:10">
      <c r="A30" s="93"/>
      <c r="B30" s="49"/>
      <c r="C30" s="49" t="s">
        <v>47</v>
      </c>
      <c r="D30" s="49">
        <f>D27-B6*D28-B6*D28^2+B7*D28^2</f>
        <v>1.2082937798894053E-6</v>
      </c>
      <c r="E30" s="7">
        <f>E27-C6*E28-C6*E28^2+C7*E28^2</f>
        <v>1.1187849238352448E-6</v>
      </c>
      <c r="F30" s="49"/>
    </row>
    <row r="31" spans="1:10">
      <c r="A31" s="93"/>
      <c r="B31" s="49"/>
      <c r="C31" s="49" t="s">
        <v>48</v>
      </c>
      <c r="D31" s="49">
        <f>D27*D28+B7*D28^2+B7*D28^3</f>
        <v>2.6942811606231638E-13</v>
      </c>
      <c r="E31" s="7">
        <f>E27*E28+C7*E28^2+C7*E28^3</f>
        <v>2.2307298027314529E-13</v>
      </c>
      <c r="F31" s="49"/>
    </row>
    <row r="32" spans="1:10">
      <c r="A32" s="93"/>
      <c r="B32" s="49"/>
      <c r="C32" s="49" t="s">
        <v>49</v>
      </c>
      <c r="D32" s="49">
        <f>3*D30-D29^2</f>
        <v>-0.99999637511866035</v>
      </c>
      <c r="E32" s="7">
        <f>3*E30-E29^2</f>
        <v>-0.99999629819946745</v>
      </c>
      <c r="F32" s="49"/>
    </row>
    <row r="33" spans="1:6">
      <c r="A33" s="93"/>
      <c r="B33" s="49"/>
      <c r="C33" s="49" t="s">
        <v>50</v>
      </c>
      <c r="D33" s="49">
        <f>-D29^3+4.5*D29*D30-13.5*D31</f>
        <v>-0.99999456268162779</v>
      </c>
      <c r="E33" s="7">
        <f>-E29^3+4.5*E29*E30-13.5*E31</f>
        <v>-0.99999444730312703</v>
      </c>
      <c r="F33" s="49"/>
    </row>
    <row r="34" spans="1:6">
      <c r="A34" s="93"/>
      <c r="B34" s="49"/>
      <c r="C34" s="49" t="s">
        <v>51</v>
      </c>
      <c r="D34" s="49">
        <f>D32^3+D33^2</f>
        <v>-2.5802693315313263E-12</v>
      </c>
      <c r="E34" s="7">
        <f>E32^3+E33^2</f>
        <v>-2.425837308805967E-12</v>
      </c>
      <c r="F34" s="49"/>
    </row>
    <row r="35" spans="1:6">
      <c r="A35" s="93"/>
      <c r="B35" s="49"/>
      <c r="C35" s="49" t="s">
        <v>53</v>
      </c>
      <c r="D35" s="49">
        <f>ACOS(-D33/SQRT(-D32^3))</f>
        <v>1.6063562349177829E-6</v>
      </c>
      <c r="E35" s="7">
        <f>ACOS(-E33/SQRT(-E32^3))</f>
        <v>1.5575099705511519E-6</v>
      </c>
      <c r="F35" s="49"/>
    </row>
    <row r="36" spans="1:6">
      <c r="A36" s="93"/>
      <c r="B36" s="38" t="s">
        <v>33</v>
      </c>
      <c r="C36" s="38" t="s">
        <v>43</v>
      </c>
      <c r="D36" s="49"/>
      <c r="E36" s="7"/>
      <c r="F36" s="49"/>
    </row>
    <row r="37" spans="1:6">
      <c r="A37" s="47" t="s">
        <v>54</v>
      </c>
      <c r="B37" s="42">
        <f>(1/3)*(D29+2*SQRT(-D32)*COS((D35/3)+120*(PI()/180)))</f>
        <v>2.9500464415743721E-7</v>
      </c>
      <c r="C37" s="42">
        <f>(1/3)*(E29+2*SQRT(-E32)*COS((E35/3)+120*(PI()/180)))</f>
        <v>2.5965069420467535E-7</v>
      </c>
      <c r="D37" s="49">
        <v>4.6362135571463098E-2</v>
      </c>
      <c r="E37" s="7">
        <v>4.08195900315209E-2</v>
      </c>
      <c r="F37" s="49"/>
    </row>
    <row r="38" spans="1:6" ht="15" thickBot="1">
      <c r="A38" s="46" t="s">
        <v>55</v>
      </c>
      <c r="B38" s="43">
        <f>(1/3)*(D29+2*SQRT(-D32)*COS((D35/3)))</f>
        <v>0.99999879170502948</v>
      </c>
      <c r="C38" s="43">
        <f>(1/3)*(E29+2*SQRT(-E32)*COS((E35/3)))</f>
        <v>0.99999870849095873</v>
      </c>
      <c r="D38" s="11">
        <v>0.73804763897418502</v>
      </c>
      <c r="E38" s="10">
        <v>0.72426026984667702</v>
      </c>
      <c r="F38" s="49"/>
    </row>
    <row r="39" spans="1:6">
      <c r="A39" s="92" t="s">
        <v>5</v>
      </c>
      <c r="B39" s="4">
        <f>ComponentsData!$C$1*'CubicTest  (2)'!$B$8*'CubicTest  (2)'!B37/'CubicTest  (2)'!$C$26</f>
        <v>7.0038827029342138E-2</v>
      </c>
      <c r="C39" s="4">
        <f>ComponentsData!$C$1*'CubicTest  (2)'!$B$8*'CubicTest  (2)'!C37/'CubicTest  (2)'!$C$26</f>
        <v>6.1645233116210243E-2</v>
      </c>
      <c r="D39" s="4">
        <v>6.7459495809048198E-2</v>
      </c>
      <c r="E39" s="5">
        <v>5.9394782589639698E-2</v>
      </c>
    </row>
    <row r="40" spans="1:6" ht="15" thickBot="1">
      <c r="A40" s="94"/>
      <c r="B40" s="11">
        <f>ComponentsData!$C$1*'CubicTest  (2)'!$B$8*'CubicTest  (2)'!B38/'CubicTest  (2)'!$C$26</f>
        <v>237415.72815511891</v>
      </c>
      <c r="C40" s="11">
        <f>ComponentsData!$C$1*'CubicTest  (2)'!$B$8*'CubicTest  (2)'!C38/'CubicTest  (2)'!$C$26</f>
        <v>237415.70839876583</v>
      </c>
      <c r="D40" s="11">
        <v>1.07390052236728</v>
      </c>
      <c r="E40" s="10">
        <v>1.0538391304919801</v>
      </c>
    </row>
    <row r="41" spans="1:6">
      <c r="A41" s="92" t="s">
        <v>56</v>
      </c>
      <c r="B41" s="4"/>
      <c r="C41" s="4" t="s">
        <v>58</v>
      </c>
      <c r="D41" s="4">
        <f>SQRT(B6^2-4*B7)</f>
        <v>1</v>
      </c>
      <c r="E41" s="5">
        <f>SQRT(C6^2-4*C7)</f>
        <v>2.8284271247461903</v>
      </c>
    </row>
    <row r="42" spans="1:6">
      <c r="A42" s="93"/>
      <c r="B42" s="49"/>
      <c r="C42" s="95" t="s">
        <v>57</v>
      </c>
      <c r="D42" s="49">
        <f>(1/D41) *LN((2*B39+(2+D41)*B22)/(2*B39+(2-D41)*B22))</f>
        <v>0.39993993525663385</v>
      </c>
      <c r="E42" s="7">
        <f>(1/E41) *LN((2*C39+(2+E41)*C22)/(2*C39+(2-E41)*C22))</f>
        <v>0.45259497109857905</v>
      </c>
    </row>
    <row r="43" spans="1:6">
      <c r="A43" s="93"/>
      <c r="B43" s="49"/>
      <c r="C43" s="95"/>
      <c r="D43" s="49">
        <f>(1/D41) *LN((2*B40+(2+D41)*B22)/(2*B40+(2-D41)*B22))</f>
        <v>1.9235915830835168E-7</v>
      </c>
      <c r="E43" s="7">
        <f>(1/E41) *LN((2*C40+(2+E41)*C22)/(2*C40+(2-E41)*C22))</f>
        <v>1.7272308859280012E-7</v>
      </c>
    </row>
    <row r="44" spans="1:6">
      <c r="A44" s="93"/>
      <c r="B44" s="49"/>
      <c r="C44" s="49" t="s">
        <v>59</v>
      </c>
      <c r="D44" s="49">
        <f>B22/B22</f>
        <v>1</v>
      </c>
      <c r="E44" s="7">
        <f>C22/C22</f>
        <v>1</v>
      </c>
    </row>
    <row r="45" spans="1:6">
      <c r="A45" s="93"/>
      <c r="B45" s="49"/>
      <c r="C45" s="95" t="s">
        <v>60</v>
      </c>
      <c r="D45" s="49">
        <f>2*B20/B20</f>
        <v>2</v>
      </c>
      <c r="E45" s="7">
        <f>2*C20/C20</f>
        <v>2</v>
      </c>
    </row>
    <row r="46" spans="1:6">
      <c r="A46" s="93"/>
      <c r="B46" s="49"/>
      <c r="C46" s="95"/>
      <c r="D46" s="49">
        <f>2*B21/B21</f>
        <v>2</v>
      </c>
      <c r="E46" s="7">
        <f>2*C21/C21</f>
        <v>2</v>
      </c>
    </row>
    <row r="47" spans="1:6">
      <c r="A47" s="93"/>
      <c r="B47" s="49">
        <f>EXP(-LN((B39-B$22)/B39)+(B37-1)*D$44+(B20/($B$8*B$22*ComponentsData!$C$1))*('CubicTest  (2)'!D$44-'CubicTest  (2)'!D45)*'CubicTest  (2)'!D42-LN('CubicTest  (2)'!B37))</f>
        <v>194821.52318571982</v>
      </c>
      <c r="C47" s="49">
        <f>EXP(-LN((C39-C$22)/C39)+(C37-1)*E$44+(C20/($B$8*C$22*ComponentsData!$C$1))*('CubicTest  (2)'!E$44-'CubicTest  (2)'!E45)*'CubicTest  (2)'!E42-LN('CubicTest  (2)'!C37))</f>
        <v>91252.577947160171</v>
      </c>
      <c r="D47" s="49">
        <v>1.1816253007300679</v>
      </c>
      <c r="E47" s="7">
        <v>0.51232786991648382</v>
      </c>
    </row>
    <row r="48" spans="1:6" ht="15" thickBot="1">
      <c r="A48" s="94"/>
      <c r="B48" s="11">
        <f>EXP(-LN((B40-B$22)/B40)+(B38-1)*D$44+(B20/($B$8*B$22*ComponentsData!$C$1))*('CubicTest  (2)'!D$44-'CubicTest  (2)'!D46)*'CubicTest  (2)'!D43-LN('CubicTest  (2)'!B38))</f>
        <v>0.99999879170647088</v>
      </c>
      <c r="C48" s="11">
        <f>EXP(-LN((C40-C$22)/C40)+(C38-1)*E$44+(C20/($B$8*C$22*ComponentsData!$C$1))*('CubicTest  (2)'!E$44-'CubicTest  (2)'!E46)*'CubicTest  (2)'!E43-LN('CubicTest  (2)'!C38))</f>
        <v>0.9999987084923595</v>
      </c>
      <c r="D48" s="11">
        <v>0.80159377432915602</v>
      </c>
      <c r="E48" s="10">
        <v>0.78558383553474098</v>
      </c>
    </row>
    <row r="49" spans="2:2">
      <c r="B49" s="23"/>
    </row>
    <row r="50" spans="2:2">
      <c r="B50" s="23"/>
    </row>
  </sheetData>
  <mergeCells count="13">
    <mergeCell ref="A23:A25"/>
    <mergeCell ref="G24:H24"/>
    <mergeCell ref="G25:H25"/>
    <mergeCell ref="D10:E10"/>
    <mergeCell ref="G17:H17"/>
    <mergeCell ref="B18:C18"/>
    <mergeCell ref="D18:E18"/>
    <mergeCell ref="G18:H18"/>
    <mergeCell ref="A26:A36"/>
    <mergeCell ref="A39:A40"/>
    <mergeCell ref="A41:A48"/>
    <mergeCell ref="C42:C43"/>
    <mergeCell ref="C45:C46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0"/>
  <sheetViews>
    <sheetView topLeftCell="C33" workbookViewId="0">
      <selection activeCell="H38" sqref="H38"/>
    </sheetView>
  </sheetViews>
  <sheetFormatPr baseColWidth="10" defaultRowHeight="14.4"/>
  <cols>
    <col min="1" max="1" width="22.88671875" style="39" bestFit="1" customWidth="1"/>
    <col min="2" max="5" width="12" style="39" bestFit="1" customWidth="1"/>
    <col min="6" max="6" width="14.21875" style="39" bestFit="1" customWidth="1"/>
    <col min="7" max="7" width="12" style="39" bestFit="1" customWidth="1"/>
    <col min="8" max="8" width="13.109375" style="39" bestFit="1" customWidth="1"/>
    <col min="9" max="9" width="11.5546875" style="39"/>
    <col min="10" max="10" width="13" style="39" bestFit="1" customWidth="1"/>
    <col min="11" max="16384" width="11.5546875" style="39"/>
  </cols>
  <sheetData>
    <row r="1" spans="1:12">
      <c r="A1" s="35"/>
      <c r="B1" s="35" t="s">
        <v>33</v>
      </c>
      <c r="C1" s="35" t="s">
        <v>43</v>
      </c>
    </row>
    <row r="2" spans="1:12" ht="14.4" customHeight="1">
      <c r="A2" s="35" t="s">
        <v>17</v>
      </c>
      <c r="B2" s="39">
        <v>0.48508000000000001</v>
      </c>
      <c r="C2" s="39">
        <v>0.37889299999999998</v>
      </c>
    </row>
    <row r="3" spans="1:12">
      <c r="A3" s="35" t="s">
        <v>18</v>
      </c>
      <c r="B3" s="39">
        <v>1.5517099999999999</v>
      </c>
      <c r="C3" s="39">
        <v>1.4897153000000001</v>
      </c>
    </row>
    <row r="4" spans="1:12">
      <c r="A4" s="35" t="s">
        <v>19</v>
      </c>
      <c r="B4" s="39">
        <v>-0.15612999999999999</v>
      </c>
      <c r="C4" s="39">
        <v>-0.17131848</v>
      </c>
    </row>
    <row r="5" spans="1:12">
      <c r="A5" s="35" t="s">
        <v>20</v>
      </c>
      <c r="B5" s="39">
        <v>0</v>
      </c>
      <c r="C5" s="39">
        <v>1.96554E-2</v>
      </c>
    </row>
    <row r="6" spans="1:12">
      <c r="A6" s="35" t="s">
        <v>52</v>
      </c>
      <c r="B6" s="39">
        <v>1</v>
      </c>
      <c r="C6" s="39">
        <v>2</v>
      </c>
    </row>
    <row r="7" spans="1:12">
      <c r="A7" s="35" t="s">
        <v>8</v>
      </c>
      <c r="B7" s="39">
        <v>0</v>
      </c>
      <c r="C7" s="39">
        <v>-1</v>
      </c>
    </row>
    <row r="8" spans="1:12">
      <c r="A8" s="35" t="s">
        <v>32</v>
      </c>
      <c r="B8" s="39">
        <v>425.87</v>
      </c>
      <c r="C8" s="39">
        <f>B8/ComponentsData!$C$6</f>
        <v>0.83096585365853659</v>
      </c>
    </row>
    <row r="9" spans="1:12">
      <c r="A9" s="35" t="s">
        <v>31</v>
      </c>
      <c r="B9" s="39">
        <v>604.23</v>
      </c>
      <c r="C9" s="39">
        <f>B9/ComponentsData!$C$6</f>
        <v>1.1789853658536587</v>
      </c>
      <c r="D9" s="35" t="s">
        <v>33</v>
      </c>
      <c r="E9" s="35" t="s">
        <v>43</v>
      </c>
    </row>
    <row r="10" spans="1:12">
      <c r="A10" s="35" t="s">
        <v>23</v>
      </c>
      <c r="D10" s="98" t="s">
        <v>25</v>
      </c>
      <c r="E10" s="98"/>
      <c r="F10" s="35" t="s">
        <v>67</v>
      </c>
      <c r="G10" s="39">
        <f>B8/ComponentsData!D6</f>
        <v>0.65812491500488335</v>
      </c>
    </row>
    <row r="11" spans="1:12">
      <c r="A11" s="35" t="s">
        <v>24</v>
      </c>
      <c r="B11" s="39">
        <f>B2 + B3*ComponentsData!$C$4+B4*ComponentsData!$C$4^2+B5*ComponentsData!$C$4^3</f>
        <v>1.313098303188811</v>
      </c>
      <c r="C11" s="39">
        <f>C2 + C3*ComponentsData!$C$4+C4*ComponentsData!$C$4^2+C5*ComponentsData!$C$4^3</f>
        <v>1.1705307196840293</v>
      </c>
      <c r="D11" s="39">
        <v>1.32157488208</v>
      </c>
      <c r="E11" s="39">
        <v>1.1786359793688199</v>
      </c>
      <c r="F11" s="35" t="s">
        <v>24</v>
      </c>
      <c r="G11" s="39">
        <f>C2 + C3*ComponentsData!$D$4+C4*ComponentsData!$D$4^2+C5*ComponentsData!$D$4^3</f>
        <v>0.87306910063967647</v>
      </c>
    </row>
    <row r="12" spans="1:12">
      <c r="A12" s="35" t="s">
        <v>28</v>
      </c>
      <c r="B12" s="39">
        <f xml:space="preserve"> 1 + 0.5 *B11+0.3 * ComponentsData!$C$7</f>
        <v>1.7746861515944055</v>
      </c>
      <c r="C12" s="39">
        <f xml:space="preserve"> 1 + 0.5 *C11+0.3 * ComponentsData!$C$7</f>
        <v>1.7034023598420145</v>
      </c>
      <c r="D12" s="39">
        <v>1.77892744104</v>
      </c>
      <c r="E12" s="39">
        <v>1.70745798968441</v>
      </c>
      <c r="F12" s="35" t="s">
        <v>28</v>
      </c>
      <c r="G12" s="39">
        <f xml:space="preserve"> 1 + 0.5 *G11+0.3 * ComponentsData!$D$7</f>
        <v>1.4135245503198381</v>
      </c>
    </row>
    <row r="13" spans="1:12">
      <c r="A13" s="35" t="s">
        <v>29</v>
      </c>
      <c r="B13" s="39">
        <f>POWER(1+ B11*(1-SQRT($C$8)) - ComponentsData!$C$7*(1-$C$8)*(0.7 -$C$8),2)</f>
        <v>1.2652438224543587</v>
      </c>
      <c r="C13" s="39">
        <f>POWER(1+ C11*(1-SQRT($C$8)) - ComponentsData!$C$7*(1-$C$8)*(0.7 -$C$8),2)</f>
        <v>1.2370417632774973</v>
      </c>
      <c r="D13" s="39">
        <v>1.26719019563283</v>
      </c>
      <c r="E13" s="39">
        <v>1.2388649417067901</v>
      </c>
      <c r="F13" s="35" t="s">
        <v>29</v>
      </c>
      <c r="G13" s="39">
        <f>POWER(1+ G11*(1-SQRT($G$10)) - ComponentsData!$D$7*(1-$G$10)*(0.7 -$G$10),2)</f>
        <v>1.359301171367906</v>
      </c>
    </row>
    <row r="14" spans="1:12">
      <c r="A14" s="35" t="s">
        <v>30</v>
      </c>
      <c r="B14" s="39">
        <f>EXP((2*(B12-1)/B12)*(1-POWER($C$9,B12)))</f>
        <v>0.7435676271501791</v>
      </c>
      <c r="C14" s="39">
        <f>EXP((2*(C12-1)/C12)*(1-POWER($C$9,C12)))</f>
        <v>0.76538024364473822</v>
      </c>
      <c r="D14" s="39">
        <v>0.74258381399471496</v>
      </c>
      <c r="E14" s="39">
        <v>0.76440879061241396</v>
      </c>
    </row>
    <row r="15" spans="1:12">
      <c r="A15" s="35" t="s">
        <v>35</v>
      </c>
      <c r="B15" s="39">
        <v>0.42748023000000002</v>
      </c>
      <c r="C15" s="39">
        <v>0.45723553</v>
      </c>
    </row>
    <row r="16" spans="1:12" ht="15" thickBot="1">
      <c r="A16" s="35" t="s">
        <v>36</v>
      </c>
      <c r="B16" s="23">
        <v>8.6640350000000005E-2</v>
      </c>
      <c r="C16" s="23">
        <v>7.7796074000000007E-2</v>
      </c>
      <c r="K16" s="55" t="s">
        <v>71</v>
      </c>
      <c r="L16" s="45"/>
    </row>
    <row r="17" spans="1:13">
      <c r="G17" s="92" t="s">
        <v>65</v>
      </c>
      <c r="H17" s="96"/>
      <c r="K17" s="45" t="s">
        <v>77</v>
      </c>
      <c r="L17" s="55" t="s">
        <v>76</v>
      </c>
    </row>
    <row r="18" spans="1:13">
      <c r="B18" s="99" t="s">
        <v>11</v>
      </c>
      <c r="C18" s="99"/>
      <c r="D18" s="99" t="s">
        <v>12</v>
      </c>
      <c r="E18" s="99"/>
      <c r="G18" s="93" t="s">
        <v>64</v>
      </c>
      <c r="H18" s="97"/>
      <c r="J18" s="45" t="s">
        <v>75</v>
      </c>
      <c r="K18" s="39">
        <v>0.4</v>
      </c>
      <c r="L18" s="39">
        <v>0.6</v>
      </c>
    </row>
    <row r="19" spans="1:13" ht="29.4" thickBot="1">
      <c r="A19" s="40" t="s">
        <v>16</v>
      </c>
      <c r="B19" s="35" t="s">
        <v>33</v>
      </c>
      <c r="C19" s="35" t="s">
        <v>43</v>
      </c>
      <c r="D19" s="35" t="s">
        <v>33</v>
      </c>
      <c r="E19" s="35" t="s">
        <v>43</v>
      </c>
      <c r="G19" s="36" t="s">
        <v>62</v>
      </c>
      <c r="H19" s="52" t="s">
        <v>63</v>
      </c>
      <c r="I19" s="51"/>
      <c r="J19" s="51"/>
      <c r="K19" s="45" t="s">
        <v>72</v>
      </c>
      <c r="L19" s="45" t="s">
        <v>73</v>
      </c>
    </row>
    <row r="20" spans="1:13" ht="15" thickBot="1">
      <c r="A20" s="37" t="s">
        <v>37</v>
      </c>
      <c r="B20" s="4">
        <f>VDWMixingRuleTest!B15 *VDWMixingRuleTest!B13* (ComponentsData!$C$1*ComponentsData!$C$6)^2 / (ComponentsData!$C$5)</f>
        <v>1214845.4872515749</v>
      </c>
      <c r="C20" s="4">
        <f>VDWMixingRuleTest!C15 *VDWMixingRuleTest!C13* (ComponentsData!$C$1*ComponentsData!$C$6)^2 / (ComponentsData!$C$5)</f>
        <v>1270442.8024434203</v>
      </c>
      <c r="D20" s="6">
        <v>11.972327904134801</v>
      </c>
      <c r="E20" s="6">
        <v>12.5194340883597</v>
      </c>
      <c r="G20" s="53">
        <f>VDWMixingRuleTest!C15 *VDWMixingRuleTest!G13* (ComponentsData!$C$1*ComponentsData!$D$6)^2 / (ComponentsData!$D$5)</f>
        <v>815414.05587326142</v>
      </c>
      <c r="H20" s="7">
        <f>VDWMixingRuleTest!C15 *VDWMixingRuleTest!C13* (ComponentsData!$C$1*ComponentsData!$C$6)^2 / (ComponentsData!$C$5)</f>
        <v>1270442.8024434203</v>
      </c>
      <c r="I20" s="50" t="s">
        <v>66</v>
      </c>
      <c r="J20" s="45" t="s">
        <v>10</v>
      </c>
      <c r="K20" s="39">
        <f>K18^2*G20+L18^2*H20+2*K18*L18*SQRT(G20*H20)*(1-ComponentsData!C9)</f>
        <v>1114383.4838565087</v>
      </c>
      <c r="L20" s="39">
        <f>K18*G27+L18*H27</f>
        <v>3.2192474752966292E-2</v>
      </c>
      <c r="M20" s="44" t="s">
        <v>79</v>
      </c>
    </row>
    <row r="21" spans="1:13" ht="15" thickBot="1">
      <c r="A21" s="41" t="s">
        <v>38</v>
      </c>
      <c r="B21" s="4">
        <f>VDWMixingRuleTest!B15 *VDWMixingRuleTest!B14* (ComponentsData!$C$1*ComponentsData!$C$6)^2 / (ComponentsData!$C$5)</f>
        <v>713949.16954225395</v>
      </c>
      <c r="C21" s="4">
        <f>VDWMixingRuleTest!C15 *VDWMixingRuleTest!C14* (ComponentsData!$C$1*ComponentsData!$C$6)^2 / (ComponentsData!$C$5)</f>
        <v>786046.07422031171</v>
      </c>
      <c r="D21" s="6">
        <v>7.0158820263030197</v>
      </c>
      <c r="E21" s="6">
        <v>7.7247851226222197</v>
      </c>
      <c r="G21" s="54">
        <v>7.9091347582367302</v>
      </c>
      <c r="H21" s="10">
        <v>12.5194340883597</v>
      </c>
      <c r="I21" s="39" t="s">
        <v>12</v>
      </c>
      <c r="K21" s="44">
        <v>10.9204307481091</v>
      </c>
      <c r="L21" s="39">
        <v>3.2008681820432802E-2</v>
      </c>
      <c r="M21" s="44" t="s">
        <v>12</v>
      </c>
    </row>
    <row r="22" spans="1:13" ht="15" thickBot="1">
      <c r="A22" s="37" t="s">
        <v>9</v>
      </c>
      <c r="B22" s="4">
        <f>VDWMixingRuleTest!B16 * (ComponentsData!$C$1*ComponentsData!$C$6) / (ComponentsData!$C$5)</f>
        <v>4.5669098419645594E-2</v>
      </c>
      <c r="C22" s="4">
        <f>VDWMixingRuleTest!C16 * (ComponentsData!$C$1*ComponentsData!$C$6) / (ComponentsData!$C$5)</f>
        <v>4.1007181528791514E-2</v>
      </c>
      <c r="D22" s="6">
        <v>4.5556306725294003E-2</v>
      </c>
      <c r="E22" s="6">
        <v>4.0905903648446297E-2</v>
      </c>
      <c r="J22" s="45" t="s">
        <v>78</v>
      </c>
      <c r="K22" s="39">
        <f>2*(K18*G20+L18*SQRT(G20*H20)*(1-ComponentsData!C9))/K20</f>
        <v>1.766650204630094</v>
      </c>
      <c r="L22" s="39">
        <f>2*(K18*SQRT(H20*G20)*(1-ComponentsData!C9)+L18*H20)/K20</f>
        <v>2.1555665302466043</v>
      </c>
      <c r="M22" s="44" t="s">
        <v>66</v>
      </c>
    </row>
    <row r="23" spans="1:13" ht="15" thickBot="1">
      <c r="A23" s="92" t="s">
        <v>4</v>
      </c>
      <c r="B23" s="4" t="s">
        <v>1</v>
      </c>
      <c r="C23" s="4">
        <v>1.33</v>
      </c>
      <c r="D23" s="4"/>
      <c r="E23" s="5"/>
      <c r="K23" s="39">
        <v>1.7579196770574099</v>
      </c>
      <c r="L23" s="39">
        <v>2.1613868819617301</v>
      </c>
      <c r="M23" s="44" t="s">
        <v>12</v>
      </c>
    </row>
    <row r="24" spans="1:13">
      <c r="A24" s="93"/>
      <c r="B24" s="6"/>
      <c r="C24" s="6"/>
      <c r="D24" s="6"/>
      <c r="E24" s="7"/>
      <c r="G24" s="92" t="s">
        <v>68</v>
      </c>
      <c r="H24" s="96"/>
    </row>
    <row r="25" spans="1:13" ht="15" thickBot="1">
      <c r="A25" s="93"/>
      <c r="B25" s="6">
        <f>ComponentsData!$C$1*VDWMixingRuleTest!$B$8/(VDWMixingRuleTest!$C$23-VDWMixingRuleTest!B22)-B20/($C$23^2 +B22*$C$23)</f>
        <v>2093006.8122486742</v>
      </c>
      <c r="C25" s="6">
        <f>ComponentsData!$C$1*VDWMixingRuleTest!$B$8/(VDWMixingRuleTest!$C$23-VDWMixingRuleTest!C22)-C20/($C$23^2 +2*C22*$C$23-C22^2)</f>
        <v>2069915.292647958</v>
      </c>
      <c r="D25" s="6">
        <v>20.643830517734798</v>
      </c>
      <c r="E25" s="7">
        <v>20.416487251292999</v>
      </c>
      <c r="G25" s="93" t="s">
        <v>64</v>
      </c>
      <c r="H25" s="97"/>
    </row>
    <row r="26" spans="1:13">
      <c r="A26" s="92" t="s">
        <v>44</v>
      </c>
      <c r="B26" s="4" t="s">
        <v>3</v>
      </c>
      <c r="C26" s="4">
        <v>24</v>
      </c>
      <c r="D26" s="4"/>
      <c r="E26" s="5"/>
      <c r="G26" s="36" t="s">
        <v>69</v>
      </c>
      <c r="H26" s="52" t="s">
        <v>70</v>
      </c>
      <c r="I26" s="51"/>
    </row>
    <row r="27" spans="1:13">
      <c r="A27" s="93"/>
      <c r="B27" s="6"/>
      <c r="C27" s="33" t="s">
        <v>45</v>
      </c>
      <c r="D27" s="6">
        <f>B20*$C$26/((ComponentsData!$C$1*VDWMixingRuleTest!$B$8)^2)</f>
        <v>2.3254598243920631E-6</v>
      </c>
      <c r="E27" s="7">
        <f>C20*$C$26/((ComponentsData!$C$1*VDWMixingRuleTest!$B$8)^2)</f>
        <v>2.4318843237867957E-6</v>
      </c>
      <c r="F27" s="6"/>
      <c r="G27" s="53">
        <f>VDWMixingRuleTest!C16*(ComponentsData!$C$1*ComponentsData!$D$6)/(ComponentsData!$D$5)</f>
        <v>1.8970414589228459E-2</v>
      </c>
      <c r="H27" s="53">
        <f>VDWMixingRuleTest!C16 * (ComponentsData!$C$1*ComponentsData!$C$6) / (ComponentsData!$C$5)</f>
        <v>4.1007181528791514E-2</v>
      </c>
      <c r="I27" s="50" t="s">
        <v>66</v>
      </c>
    </row>
    <row r="28" spans="1:13" ht="15" thickBot="1">
      <c r="A28" s="93"/>
      <c r="B28" s="6"/>
      <c r="C28" s="6" t="s">
        <v>46</v>
      </c>
      <c r="D28" s="6">
        <f>B22*$C$26/((ComponentsData!$C$1*VDWMixingRuleTest!$B$8))</f>
        <v>3.0954369108394541E-7</v>
      </c>
      <c r="E28" s="7">
        <f>C22*$C$26/((ComponentsData!$C$1*VDWMixingRuleTest!$B$8))</f>
        <v>2.7794536723131612E-7</v>
      </c>
      <c r="F28" s="6"/>
      <c r="G28" s="54">
        <v>1.8662849078412501E-2</v>
      </c>
      <c r="H28" s="10">
        <v>4.0905903648446297E-2</v>
      </c>
      <c r="I28" s="39" t="s">
        <v>12</v>
      </c>
    </row>
    <row r="29" spans="1:13">
      <c r="A29" s="93"/>
      <c r="B29" s="6"/>
      <c r="C29" s="6" t="s">
        <v>26</v>
      </c>
      <c r="D29" s="6">
        <f>1-(B6-1)*D28</f>
        <v>1</v>
      </c>
      <c r="E29" s="7">
        <f>1-(C6-1)*E28</f>
        <v>0.99999972205463272</v>
      </c>
      <c r="F29" s="6"/>
    </row>
    <row r="30" spans="1:13">
      <c r="A30" s="93"/>
      <c r="B30" s="6"/>
      <c r="C30" s="6" t="s">
        <v>47</v>
      </c>
      <c r="D30" s="6">
        <f>D27-B6*D28-B6*D28^2+B7*D28^2</f>
        <v>2.015916037490821E-6</v>
      </c>
      <c r="E30" s="7">
        <f>E27-C6*E28-C6*E28^2+C7*E28^2</f>
        <v>1.8759933575632821E-6</v>
      </c>
      <c r="F30" s="6"/>
    </row>
    <row r="31" spans="1:13">
      <c r="A31" s="93"/>
      <c r="B31" s="6"/>
      <c r="C31" s="6" t="s">
        <v>48</v>
      </c>
      <c r="D31" s="6">
        <f>D27*D28+B7*D28^2+B7*D28^3</f>
        <v>7.1983141750974272E-13</v>
      </c>
      <c r="E31" s="7">
        <f>E27*E28+C7*E28^2+C7*E28^3</f>
        <v>5.986773328013628E-13</v>
      </c>
      <c r="F31" s="6"/>
    </row>
    <row r="32" spans="1:13">
      <c r="A32" s="93"/>
      <c r="B32" s="6"/>
      <c r="C32" s="6" t="s">
        <v>49</v>
      </c>
      <c r="D32" s="6">
        <f>3*D30-D29^2</f>
        <v>-0.99999395225188747</v>
      </c>
      <c r="E32" s="7">
        <f>3*E30-E29^2</f>
        <v>-0.99999381612927007</v>
      </c>
      <c r="F32" s="6"/>
    </row>
    <row r="33" spans="1:6">
      <c r="A33" s="93"/>
      <c r="B33" s="6"/>
      <c r="C33" s="6" t="s">
        <v>50</v>
      </c>
      <c r="D33" s="6">
        <f>-D29^3+4.5*D29*D30-13.5*D31</f>
        <v>-0.99999092838754899</v>
      </c>
      <c r="E33" s="7">
        <f>-E29^3+4.5*E29*E30-13.5*E31</f>
        <v>-0.99999072420444945</v>
      </c>
      <c r="F33" s="6"/>
    </row>
    <row r="34" spans="1:6">
      <c r="A34" s="93"/>
      <c r="B34" s="6"/>
      <c r="C34" s="6" t="s">
        <v>51</v>
      </c>
      <c r="D34" s="6">
        <f>D32^3+D33^2</f>
        <v>-7.9958262233503774E-12</v>
      </c>
      <c r="E34" s="7">
        <f>E32^3+E33^2</f>
        <v>-7.5914829977818954E-12</v>
      </c>
      <c r="F34" s="6"/>
    </row>
    <row r="35" spans="1:6">
      <c r="A35" s="93"/>
      <c r="B35" s="6"/>
      <c r="C35" s="6" t="s">
        <v>53</v>
      </c>
      <c r="D35" s="6">
        <f>ACOS(-D33/SQRT(-D32^3))</f>
        <v>2.827689201900796E-6</v>
      </c>
      <c r="E35" s="7">
        <f>ACOS(-E33/SQRT(-E32^3))</f>
        <v>2.7552645966988365E-6</v>
      </c>
      <c r="F35" s="6"/>
    </row>
    <row r="36" spans="1:6">
      <c r="A36" s="93"/>
      <c r="B36" s="38" t="s">
        <v>33</v>
      </c>
      <c r="C36" s="38" t="s">
        <v>43</v>
      </c>
      <c r="D36" s="6"/>
      <c r="E36" s="7"/>
      <c r="F36" s="6"/>
    </row>
    <row r="37" spans="1:6">
      <c r="A37" s="36" t="s">
        <v>54</v>
      </c>
      <c r="B37" s="42">
        <f>(1/3)*(D29+2*SQRT(-D32)*COS((D35/3)+120*(PI()/180)))</f>
        <v>4.6377229597401498E-7</v>
      </c>
      <c r="C37" s="42">
        <f>(1/3)*(E29+2*SQRT(-E32)*COS((E35/3)+120*(PI()/180)))</f>
        <v>4.0774912065296337E-7</v>
      </c>
      <c r="D37" s="6">
        <v>4.6362135571463098E-2</v>
      </c>
      <c r="E37" s="7">
        <v>4.08195900315209E-2</v>
      </c>
      <c r="F37" s="6"/>
    </row>
    <row r="38" spans="1:6" ht="15" thickBot="1">
      <c r="A38" s="34" t="s">
        <v>55</v>
      </c>
      <c r="B38" s="43">
        <f>(1/3)*(D29+2*SQRT(-D32)*COS((D35/3)))</f>
        <v>0.99999798408061835</v>
      </c>
      <c r="C38" s="43">
        <f>(1/3)*(E29+2*SQRT(-E32)*COS((E35/3)))</f>
        <v>0.99999784605783293</v>
      </c>
      <c r="D38" s="11">
        <v>0.73804763897418502</v>
      </c>
      <c r="E38" s="10">
        <v>0.72426026984667702</v>
      </c>
      <c r="F38" s="6"/>
    </row>
    <row r="39" spans="1:6">
      <c r="A39" s="92" t="s">
        <v>5</v>
      </c>
      <c r="B39" s="4">
        <f>ComponentsData!$C$1*VDWMixingRuleTest!$B$8*VDWMixingRuleTest!B37/VDWMixingRuleTest!$C$26</f>
        <v>6.8423499619633524E-2</v>
      </c>
      <c r="C39" s="4">
        <f>ComponentsData!$C$1*VDWMixingRuleTest!$B$8*VDWMixingRuleTest!C37/VDWMixingRuleTest!$C$26</f>
        <v>6.0158017294476666E-2</v>
      </c>
      <c r="D39" s="4">
        <v>6.7459495809048198E-2</v>
      </c>
      <c r="E39" s="5">
        <v>5.9394782589639698E-2</v>
      </c>
    </row>
    <row r="40" spans="1:6" ht="15" thickBot="1">
      <c r="A40" s="94"/>
      <c r="B40" s="11">
        <f>ComponentsData!$C$1*VDWMixingRuleTest!$B$8*VDWMixingRuleTest!B38/VDWMixingRuleTest!$C$26</f>
        <v>147536.54385428884</v>
      </c>
      <c r="C40" s="11">
        <f>ComponentsData!$C$1*VDWMixingRuleTest!$B$8*VDWMixingRuleTest!C38/VDWMixingRuleTest!$C$26</f>
        <v>147536.52349084304</v>
      </c>
      <c r="D40" s="11">
        <v>1.07390052236728</v>
      </c>
      <c r="E40" s="10">
        <v>1.0538391304919801</v>
      </c>
    </row>
    <row r="41" spans="1:6">
      <c r="A41" s="92" t="s">
        <v>56</v>
      </c>
      <c r="B41" s="4"/>
      <c r="C41" s="4" t="s">
        <v>58</v>
      </c>
      <c r="D41" s="4">
        <f>SQRT(B6^2-4*B7)</f>
        <v>1</v>
      </c>
      <c r="E41" s="5">
        <f>SQRT(C6^2-4*C7)</f>
        <v>2.8284271247461903</v>
      </c>
    </row>
    <row r="42" spans="1:6">
      <c r="A42" s="93"/>
      <c r="B42" s="6"/>
      <c r="C42" s="95" t="s">
        <v>57</v>
      </c>
      <c r="D42" s="6">
        <f>(1/D41) *LN((2*B39+(2+D41)*B22)/(2*B39+(2-D41)*B22))</f>
        <v>0.4057578175600795</v>
      </c>
      <c r="E42" s="7">
        <f>(1/E41) *LN((2*C39+(2+E41)*C22)/(2*C39+(2-E41)*C22))</f>
        <v>0.46128087648384003</v>
      </c>
    </row>
    <row r="43" spans="1:6">
      <c r="A43" s="93"/>
      <c r="B43" s="6"/>
      <c r="C43" s="95"/>
      <c r="D43" s="6">
        <f>(1/D41) *LN((2*B40+(2+D41)*B22)/(2*B40+(2-D41)*B22))</f>
        <v>3.0954421919868096E-7</v>
      </c>
      <c r="E43" s="7">
        <f>(1/E41) *LN((2*C40+(2+E41)*C22)/(2*C40+(2-E41)*C22))</f>
        <v>2.7794588859982758E-7</v>
      </c>
    </row>
    <row r="44" spans="1:6">
      <c r="A44" s="93"/>
      <c r="B44" s="6"/>
      <c r="C44" s="6" t="s">
        <v>59</v>
      </c>
      <c r="D44" s="6">
        <f>B22/B22</f>
        <v>1</v>
      </c>
      <c r="E44" s="7">
        <f>C22/C22</f>
        <v>1</v>
      </c>
    </row>
    <row r="45" spans="1:6">
      <c r="A45" s="93"/>
      <c r="B45" s="6"/>
      <c r="C45" s="95" t="s">
        <v>60</v>
      </c>
      <c r="D45" s="6">
        <f>2*B20/B20</f>
        <v>2</v>
      </c>
      <c r="E45" s="7">
        <f>2*C20/C20</f>
        <v>2</v>
      </c>
    </row>
    <row r="46" spans="1:6">
      <c r="A46" s="93"/>
      <c r="B46" s="6"/>
      <c r="C46" s="95"/>
      <c r="D46" s="6">
        <f>2*B21/B21</f>
        <v>2</v>
      </c>
      <c r="E46" s="7">
        <f>2*C21/C21</f>
        <v>2</v>
      </c>
    </row>
    <row r="47" spans="1:6">
      <c r="A47" s="93"/>
      <c r="B47" s="6">
        <f>EXP(-LN((B39-B$22)/B39)+(B37-1)*D$44+(B20/($B$8*B$22*ComponentsData!$C$1))*(VDWMixingRuleTest!D$44-VDWMixingRuleTest!D45)*VDWMixingRuleTest!D42-LN(VDWMixingRuleTest!B37))</f>
        <v>113159.98688655955</v>
      </c>
      <c r="C47" s="6">
        <f>EXP(-LN((C39-C$22)/C39)+(C37-1)*E$44+(C20/($B$8*C$22*ComponentsData!$C$1))*(VDWMixingRuleTest!E$44-VDWMixingRuleTest!E45)*VDWMixingRuleTest!E42-LN(VDWMixingRuleTest!C37))</f>
        <v>50074.305062294865</v>
      </c>
      <c r="D47" s="6">
        <v>1.1816253007300679</v>
      </c>
      <c r="E47" s="7">
        <v>0.51232786991648382</v>
      </c>
    </row>
    <row r="48" spans="1:6" ht="15" thickBot="1">
      <c r="A48" s="94"/>
      <c r="B48" s="11">
        <f>EXP(-LN((B40-B$22)/B40)+(B38-1)*D$44+(B20/($B$8*B$22*ComponentsData!$C$1))*(VDWMixingRuleTest!D$44-VDWMixingRuleTest!D46)*VDWMixingRuleTest!D43-LN(VDWMixingRuleTest!B38))</f>
        <v>0.99999798408463503</v>
      </c>
      <c r="C48" s="11">
        <f>EXP(-LN((C40-C$22)/C40)+(C38-1)*E$44+(C20/($B$8*C$22*ComponentsData!$C$1))*(VDWMixingRuleTest!E$44-VDWMixingRuleTest!E46)*VDWMixingRuleTest!E43-LN(VDWMixingRuleTest!C38))</f>
        <v>0.99999784606175857</v>
      </c>
      <c r="D48" s="11">
        <v>0.80159377432915602</v>
      </c>
      <c r="E48" s="10">
        <v>0.78558383553474098</v>
      </c>
    </row>
    <row r="49" spans="2:2">
      <c r="B49" s="23"/>
    </row>
    <row r="50" spans="2:2">
      <c r="B50" s="23"/>
    </row>
  </sheetData>
  <mergeCells count="13">
    <mergeCell ref="A26:A36"/>
    <mergeCell ref="A39:A40"/>
    <mergeCell ref="A41:A48"/>
    <mergeCell ref="C42:C43"/>
    <mergeCell ref="C45:C46"/>
    <mergeCell ref="A23:A25"/>
    <mergeCell ref="G24:H24"/>
    <mergeCell ref="G25:H25"/>
    <mergeCell ref="D10:E10"/>
    <mergeCell ref="G17:H17"/>
    <mergeCell ref="B18:C18"/>
    <mergeCell ref="D18:E18"/>
    <mergeCell ref="G18:H18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0"/>
  <sheetViews>
    <sheetView tabSelected="1" topLeftCell="A7" workbookViewId="0">
      <selection activeCell="H13" sqref="H13"/>
    </sheetView>
  </sheetViews>
  <sheetFormatPr baseColWidth="10" defaultRowHeight="14.4"/>
  <cols>
    <col min="1" max="1" width="22.88671875" style="2" bestFit="1" customWidth="1"/>
    <col min="2" max="5" width="12" style="2" bestFit="1" customWidth="1"/>
    <col min="6" max="6" width="14.21875" style="2" bestFit="1" customWidth="1"/>
    <col min="7" max="7" width="12" style="2" bestFit="1" customWidth="1"/>
    <col min="8" max="8" width="13.109375" style="2" bestFit="1" customWidth="1"/>
    <col min="9" max="9" width="11.5546875" style="2"/>
    <col min="10" max="10" width="13" style="2" bestFit="1" customWidth="1"/>
    <col min="11" max="16384" width="11.5546875" style="2"/>
  </cols>
  <sheetData>
    <row r="1" spans="1:7">
      <c r="A1" s="29"/>
      <c r="B1" s="29" t="s">
        <v>33</v>
      </c>
      <c r="C1" s="29" t="s">
        <v>43</v>
      </c>
    </row>
    <row r="2" spans="1:7" ht="14.4" customHeight="1">
      <c r="A2" s="29" t="s">
        <v>17</v>
      </c>
      <c r="B2" s="2">
        <v>0.48508000000000001</v>
      </c>
      <c r="C2" s="2">
        <v>0.37889299999999998</v>
      </c>
    </row>
    <row r="3" spans="1:7">
      <c r="A3" s="29" t="s">
        <v>18</v>
      </c>
      <c r="B3" s="2">
        <v>1.5517099999999999</v>
      </c>
      <c r="C3" s="2">
        <v>1.4897153000000001</v>
      </c>
    </row>
    <row r="4" spans="1:7">
      <c r="A4" s="29" t="s">
        <v>19</v>
      </c>
      <c r="B4" s="2">
        <v>-0.15612999999999999</v>
      </c>
      <c r="C4" s="2">
        <v>-0.17131848</v>
      </c>
    </row>
    <row r="5" spans="1:7">
      <c r="A5" s="29" t="s">
        <v>20</v>
      </c>
      <c r="B5" s="2">
        <v>0</v>
      </c>
      <c r="C5" s="2">
        <v>1.96554E-2</v>
      </c>
    </row>
    <row r="6" spans="1:7">
      <c r="A6" s="29" t="s">
        <v>52</v>
      </c>
      <c r="B6" s="2">
        <v>1</v>
      </c>
      <c r="C6" s="2">
        <v>2</v>
      </c>
    </row>
    <row r="7" spans="1:7">
      <c r="A7" s="29" t="s">
        <v>8</v>
      </c>
      <c r="B7" s="2">
        <v>0</v>
      </c>
      <c r="C7" s="2">
        <v>-1</v>
      </c>
    </row>
    <row r="8" spans="1:7">
      <c r="A8" s="29" t="s">
        <v>32</v>
      </c>
      <c r="B8" s="2">
        <v>425.87</v>
      </c>
      <c r="C8" s="2">
        <f>B8/ComponentsData!$C$6</f>
        <v>0.83096585365853659</v>
      </c>
    </row>
    <row r="9" spans="1:7">
      <c r="A9" s="29" t="s">
        <v>31</v>
      </c>
      <c r="B9" s="2">
        <v>604.23</v>
      </c>
      <c r="C9" s="2">
        <f>B9/ComponentsData!$C$6</f>
        <v>1.1789853658536587</v>
      </c>
      <c r="D9" s="29" t="s">
        <v>33</v>
      </c>
      <c r="E9" s="29" t="s">
        <v>43</v>
      </c>
    </row>
    <row r="10" spans="1:7">
      <c r="A10" s="29" t="s">
        <v>23</v>
      </c>
      <c r="D10" s="98" t="s">
        <v>25</v>
      </c>
      <c r="E10" s="98"/>
      <c r="F10" s="39" t="s">
        <v>67</v>
      </c>
      <c r="G10" s="2">
        <f>B8/ComponentsData!D6</f>
        <v>0.65812491500488335</v>
      </c>
    </row>
    <row r="11" spans="1:7">
      <c r="A11" s="29" t="s">
        <v>24</v>
      </c>
      <c r="B11" s="2">
        <f>B2 + B3*ComponentsData!$C$4+B4*ComponentsData!$C$4^2+B5*ComponentsData!$C$4^3</f>
        <v>1.313098303188811</v>
      </c>
      <c r="C11" s="2">
        <f>C2 + C3*ComponentsData!$C$4+C4*ComponentsData!$C$4^2+C5*ComponentsData!$C$4^3</f>
        <v>1.1705307196840293</v>
      </c>
      <c r="D11" s="2">
        <v>1.32157488208</v>
      </c>
      <c r="E11" s="2">
        <v>1.1786359793688199</v>
      </c>
      <c r="F11" s="35" t="s">
        <v>24</v>
      </c>
      <c r="G11" s="39">
        <f>C2 + C3*ComponentsData!$D$4+C4*ComponentsData!$D$4^2+C5*ComponentsData!$D$4^3</f>
        <v>0.87306910063967647</v>
      </c>
    </row>
    <row r="12" spans="1:7">
      <c r="A12" s="29" t="s">
        <v>28</v>
      </c>
      <c r="B12" s="2">
        <f xml:space="preserve"> 1 + 0.5 *B11+0.3 * ComponentsData!$C$7</f>
        <v>1.7746861515944055</v>
      </c>
      <c r="C12" s="2">
        <f xml:space="preserve"> 1 + 0.5 *C11+0.3 * ComponentsData!$C$7</f>
        <v>1.7034023598420145</v>
      </c>
      <c r="D12" s="2">
        <v>1.77892744104</v>
      </c>
      <c r="E12" s="2">
        <v>1.70745798968441</v>
      </c>
      <c r="F12" s="35" t="s">
        <v>28</v>
      </c>
      <c r="G12" s="39">
        <f xml:space="preserve"> 1 + 0.5 *G11+0.3 * ComponentsData!$D$7</f>
        <v>1.4135245503198381</v>
      </c>
    </row>
    <row r="13" spans="1:7">
      <c r="A13" s="29" t="s">
        <v>29</v>
      </c>
      <c r="B13" s="2">
        <f>POWER(1+ B11*(1-SQRT($C$8)) + ComponentsData!$C$7*(1-$C$8)*(0.7 -$C$8),2)</f>
        <v>1.226324492720664</v>
      </c>
      <c r="C13" s="2">
        <f>POWER(1+ C11*(1-SQRT($C$8)) + ComponentsData!$C$7*(1-$C$8)*(0.7 -$C$8),2)</f>
        <v>1.1985620373845787</v>
      </c>
      <c r="D13" s="2">
        <v>1.26719019563283</v>
      </c>
      <c r="E13" s="2">
        <v>1.2388649417067901</v>
      </c>
      <c r="F13" s="35" t="s">
        <v>29</v>
      </c>
      <c r="G13" s="39">
        <f>POWER(1+ G11*(1-SQRT($G$10)) - ComponentsData!$D$7*(1-$G$10)*(0.7 -$G$10),2)</f>
        <v>1.359301171367906</v>
      </c>
    </row>
    <row r="14" spans="1:7">
      <c r="A14" s="29" t="s">
        <v>30</v>
      </c>
      <c r="B14" s="2">
        <f>EXP((2*(B12-1)/B12)*(1-POWER($C$9,B12)))</f>
        <v>0.7435676271501791</v>
      </c>
      <c r="C14" s="2">
        <f>EXP((2*(C12-1)/C12)*(1-POWER($C$9,C12)))</f>
        <v>0.76538024364473822</v>
      </c>
      <c r="D14" s="2">
        <v>0.74258381399471496</v>
      </c>
      <c r="E14" s="2">
        <v>0.76440879061241396</v>
      </c>
    </row>
    <row r="15" spans="1:7">
      <c r="A15" s="29" t="s">
        <v>35</v>
      </c>
      <c r="B15" s="2">
        <v>0.42748023000000002</v>
      </c>
      <c r="C15" s="2">
        <v>0.45723553</v>
      </c>
    </row>
    <row r="16" spans="1:7" ht="15" thickBot="1">
      <c r="A16" s="29" t="s">
        <v>36</v>
      </c>
      <c r="B16" s="23">
        <v>8.6640350000000005E-2</v>
      </c>
      <c r="C16" s="23">
        <v>7.7796074000000007E-2</v>
      </c>
    </row>
    <row r="17" spans="1:10">
      <c r="G17" s="92" t="s">
        <v>65</v>
      </c>
      <c r="H17" s="96"/>
    </row>
    <row r="18" spans="1:10">
      <c r="B18" s="99" t="s">
        <v>11</v>
      </c>
      <c r="C18" s="99"/>
      <c r="D18" s="99" t="s">
        <v>12</v>
      </c>
      <c r="E18" s="99"/>
      <c r="G18" s="93" t="s">
        <v>64</v>
      </c>
      <c r="H18" s="97"/>
    </row>
    <row r="19" spans="1:10" ht="29.4" thickBot="1">
      <c r="A19" s="40" t="s">
        <v>16</v>
      </c>
      <c r="B19" s="29" t="s">
        <v>33</v>
      </c>
      <c r="C19" s="29" t="s">
        <v>43</v>
      </c>
      <c r="D19" s="29" t="s">
        <v>33</v>
      </c>
      <c r="E19" s="29" t="s">
        <v>43</v>
      </c>
      <c r="G19" s="36" t="s">
        <v>62</v>
      </c>
      <c r="H19" s="52" t="s">
        <v>63</v>
      </c>
      <c r="I19" s="51"/>
      <c r="J19" s="51"/>
    </row>
    <row r="20" spans="1:10" ht="15" thickBot="1">
      <c r="A20" s="30" t="s">
        <v>37</v>
      </c>
      <c r="B20" s="4">
        <f>'CubicTest '!B15 *'CubicTest '!B13* (ComponentsData!$C$1*ComponentsData!$C$6)^2 / (ComponentsData!$C$5)</f>
        <v>1177476.427427107</v>
      </c>
      <c r="C20" s="4">
        <f>'CubicTest '!C15 *'CubicTest '!C13* (ComponentsData!$C$1*ComponentsData!$C$6)^2 / (ComponentsData!$C$5)</f>
        <v>1230924.0955962627</v>
      </c>
      <c r="D20" s="6">
        <v>11.6214170108335</v>
      </c>
      <c r="E20" s="6">
        <v>12.1481424413572</v>
      </c>
      <c r="G20" s="53">
        <f>'CubicTest '!C15 *'CubicTest '!G13* (ComponentsData!$C$1*ComponentsData!$D$6)^2 / (ComponentsData!$D$5)</f>
        <v>815414.05587326142</v>
      </c>
      <c r="H20" s="7">
        <f>'CubicTest '!C15 *'CubicTest '!C13* (ComponentsData!$C$1*ComponentsData!$C$6)^2 / (ComponentsData!$C$5)</f>
        <v>1230924.0955962627</v>
      </c>
      <c r="I20" s="50" t="s">
        <v>66</v>
      </c>
      <c r="J20" s="51"/>
    </row>
    <row r="21" spans="1:10" ht="15" thickBot="1">
      <c r="A21" s="41" t="s">
        <v>38</v>
      </c>
      <c r="B21" s="4">
        <f>'CubicTest '!B15 *'CubicTest '!B14* (ComponentsData!$C$1*ComponentsData!$C$6)^2 / (ComponentsData!$C$5)</f>
        <v>713949.16954225395</v>
      </c>
      <c r="C21" s="4">
        <f>'CubicTest '!C15 *'CubicTest '!C14* (ComponentsData!$C$1*ComponentsData!$C$6)^2 / (ComponentsData!$C$5)</f>
        <v>786046.07422031171</v>
      </c>
      <c r="D21" s="6">
        <v>7.0261529270041096</v>
      </c>
      <c r="E21" s="6">
        <v>7.7360938220322497</v>
      </c>
      <c r="G21" s="54">
        <v>7.9187369260346196</v>
      </c>
      <c r="H21" s="10">
        <v>12.1481424413572</v>
      </c>
      <c r="I21" s="39" t="s">
        <v>12</v>
      </c>
    </row>
    <row r="22" spans="1:10" ht="15" thickBot="1">
      <c r="A22" s="30" t="s">
        <v>9</v>
      </c>
      <c r="B22" s="4">
        <f>'CubicTest '!B16 * (ComponentsData!$C$1*ComponentsData!$C$6) / (ComponentsData!$C$5)</f>
        <v>4.5669098419645594E-2</v>
      </c>
      <c r="C22" s="4">
        <f>'CubicTest '!C16 * (ComponentsData!$C$1*ComponentsData!$C$6) / (ComponentsData!$C$5)</f>
        <v>4.1007181528791514E-2</v>
      </c>
      <c r="D22" s="6">
        <v>4.5556306725294003E-2</v>
      </c>
      <c r="E22" s="6">
        <v>4.0905903648446297E-2</v>
      </c>
    </row>
    <row r="23" spans="1:10" ht="15" thickBot="1">
      <c r="A23" s="92" t="s">
        <v>4</v>
      </c>
      <c r="B23" s="4" t="s">
        <v>1</v>
      </c>
      <c r="C23" s="4">
        <v>1.33</v>
      </c>
      <c r="D23" s="4"/>
      <c r="E23" s="5"/>
    </row>
    <row r="24" spans="1:10">
      <c r="A24" s="93"/>
      <c r="B24" s="6"/>
      <c r="C24" s="6"/>
      <c r="D24" s="6"/>
      <c r="E24" s="7"/>
      <c r="G24" s="92" t="s">
        <v>68</v>
      </c>
      <c r="H24" s="96"/>
      <c r="I24" s="39"/>
    </row>
    <row r="25" spans="1:10" ht="15" thickBot="1">
      <c r="A25" s="93"/>
      <c r="B25" s="6">
        <f>ComponentsData!$C$1*'CubicTest '!$B$8/('CubicTest '!$C$23-'CubicTest '!B22)-B20/($C$23^2 +B22*$C$23)</f>
        <v>2113431.082514164</v>
      </c>
      <c r="C25" s="6">
        <f>ComponentsData!$C$1*'CubicTest '!$B$8/('CubicTest '!$C$23-'CubicTest '!C22)-C20/($C$23^2 +2*C22*$C$23-C22^2)</f>
        <v>2090977.3611918697</v>
      </c>
      <c r="D25" s="6">
        <v>20.856392209890799</v>
      </c>
      <c r="E25" s="7">
        <v>20.6351177035781</v>
      </c>
      <c r="G25" s="93" t="s">
        <v>64</v>
      </c>
      <c r="H25" s="97"/>
      <c r="I25" s="39"/>
    </row>
    <row r="26" spans="1:10">
      <c r="A26" s="92" t="s">
        <v>44</v>
      </c>
      <c r="B26" s="4" t="s">
        <v>3</v>
      </c>
      <c r="C26" s="4">
        <v>24</v>
      </c>
      <c r="D26" s="4"/>
      <c r="E26" s="5"/>
      <c r="G26" s="36" t="s">
        <v>69</v>
      </c>
      <c r="H26" s="52" t="s">
        <v>70</v>
      </c>
      <c r="I26" s="51"/>
    </row>
    <row r="27" spans="1:10">
      <c r="A27" s="93"/>
      <c r="B27" s="6"/>
      <c r="C27" s="33" t="s">
        <v>45</v>
      </c>
      <c r="D27" s="6">
        <f>B20*$C$26/((ComponentsData!$C$1*'CubicTest '!$B$8)^2)</f>
        <v>2.2539278903238849E-6</v>
      </c>
      <c r="E27" s="7">
        <f>C20*$C$26/((ComponentsData!$C$1*'CubicTest '!$B$8)^2)</f>
        <v>2.3562375308000582E-6</v>
      </c>
      <c r="F27" s="6"/>
      <c r="G27" s="53">
        <f>'CubicTest '!C16*(ComponentsData!$C$1*ComponentsData!$D$6)/(ComponentsData!$D$5)</f>
        <v>1.8970414589228459E-2</v>
      </c>
      <c r="H27" s="53">
        <f>'CubicTest '!C16 * (ComponentsData!$C$1*ComponentsData!$C$6) / (ComponentsData!$C$5)</f>
        <v>4.1007181528791514E-2</v>
      </c>
      <c r="I27" s="50" t="s">
        <v>66</v>
      </c>
    </row>
    <row r="28" spans="1:10" ht="15" thickBot="1">
      <c r="A28" s="93"/>
      <c r="B28" s="6"/>
      <c r="C28" s="6" t="s">
        <v>46</v>
      </c>
      <c r="D28" s="6">
        <f>B22*$C$26/((ComponentsData!$C$1*'CubicTest '!$B$8))</f>
        <v>3.0954369108394541E-7</v>
      </c>
      <c r="E28" s="7">
        <f>C22*$C$26/((ComponentsData!$C$1*'CubicTest '!$B$8))</f>
        <v>2.7794536723131612E-7</v>
      </c>
      <c r="F28" s="6"/>
      <c r="G28" s="54">
        <v>1.8676504821640585E-2</v>
      </c>
      <c r="H28" s="10">
        <v>4.0935834797457396E-2</v>
      </c>
      <c r="I28" s="39" t="s">
        <v>12</v>
      </c>
    </row>
    <row r="29" spans="1:10">
      <c r="A29" s="93"/>
      <c r="B29" s="6"/>
      <c r="C29" s="6" t="s">
        <v>26</v>
      </c>
      <c r="D29" s="6">
        <f>1-(B6-1)*D28</f>
        <v>1</v>
      </c>
      <c r="E29" s="7">
        <f>1-(C6-1)*E28</f>
        <v>0.99999972205463272</v>
      </c>
      <c r="F29" s="6"/>
    </row>
    <row r="30" spans="1:10">
      <c r="A30" s="93"/>
      <c r="B30" s="6"/>
      <c r="C30" s="6" t="s">
        <v>47</v>
      </c>
      <c r="D30" s="6">
        <f>D27-B6*D28-B6*D28^2+B7*D28^2</f>
        <v>1.9443841034226428E-6</v>
      </c>
      <c r="E30" s="7">
        <f>E27-C6*E28-C6*E28^2+C7*E28^2</f>
        <v>1.8003465645765445E-6</v>
      </c>
      <c r="F30" s="6"/>
    </row>
    <row r="31" spans="1:10">
      <c r="A31" s="93"/>
      <c r="B31" s="6"/>
      <c r="C31" s="6" t="s">
        <v>48</v>
      </c>
      <c r="D31" s="6">
        <f>D27*D28+B7*D28^2+B7*D28^3</f>
        <v>6.9768915860790544E-13</v>
      </c>
      <c r="E31" s="7">
        <f>E27*E28+C7*E28^2+C7*E28^3</f>
        <v>5.7765165714479275E-13</v>
      </c>
      <c r="F31" s="6"/>
    </row>
    <row r="32" spans="1:10">
      <c r="A32" s="93"/>
      <c r="B32" s="6"/>
      <c r="C32" s="6" t="s">
        <v>49</v>
      </c>
      <c r="D32" s="6">
        <f>3*D30-D29^2</f>
        <v>-0.99999416684768971</v>
      </c>
      <c r="E32" s="7">
        <f>3*E30-E29^2</f>
        <v>-0.99999404306964901</v>
      </c>
      <c r="F32" s="6"/>
    </row>
    <row r="33" spans="1:6">
      <c r="A33" s="93"/>
      <c r="B33" s="6"/>
      <c r="C33" s="6" t="s">
        <v>50</v>
      </c>
      <c r="D33" s="6">
        <f>-D29^3+4.5*D29*D30-13.5*D31</f>
        <v>-0.99999125028095337</v>
      </c>
      <c r="E33" s="7">
        <f>-E29^3+4.5*E29*E30-13.5*E31</f>
        <v>-0.99999106461463949</v>
      </c>
      <c r="F33" s="6"/>
    </row>
    <row r="34" spans="1:6">
      <c r="A34" s="93"/>
      <c r="B34" s="6"/>
      <c r="C34" s="6" t="s">
        <v>51</v>
      </c>
      <c r="D34" s="6">
        <f>D32^3+D33^2</f>
        <v>-6.6816552291015796E-12</v>
      </c>
      <c r="E34" s="7">
        <f>E32^3+E33^2</f>
        <v>-6.2817528956315982E-12</v>
      </c>
      <c r="F34" s="6"/>
    </row>
    <row r="35" spans="1:6">
      <c r="A35" s="93"/>
      <c r="B35" s="6"/>
      <c r="C35" s="6" t="s">
        <v>53</v>
      </c>
      <c r="D35" s="6">
        <f>ACOS(-D33/SQRT(-D32^3))</f>
        <v>2.5849112657017059E-6</v>
      </c>
      <c r="E35" s="7">
        <f>ACOS(-E33/SQRT(-E32^3))</f>
        <v>2.5063646817979901E-6</v>
      </c>
      <c r="F35" s="6"/>
    </row>
    <row r="36" spans="1:6">
      <c r="A36" s="93"/>
      <c r="B36" s="38" t="s">
        <v>33</v>
      </c>
      <c r="C36" s="38" t="s">
        <v>43</v>
      </c>
      <c r="D36" s="6"/>
      <c r="E36" s="7"/>
      <c r="F36" s="6"/>
    </row>
    <row r="37" spans="1:6">
      <c r="A37" s="27" t="s">
        <v>54</v>
      </c>
      <c r="B37" s="42">
        <f>(1/3)*(D29+2*SQRT(-D32)*COS((D35/3)+120*(PI()/180)))</f>
        <v>4.7472863932510967E-7</v>
      </c>
      <c r="C37" s="42">
        <f>(1/3)*(E29+2*SQRT(-E32)*COS((E35/3)+120*(PI()/180)))</f>
        <v>4.1782619305171426E-7</v>
      </c>
      <c r="D37" s="6">
        <v>4.7362482085528998E-2</v>
      </c>
      <c r="E37" s="7">
        <v>4.1746156910153098E-2</v>
      </c>
      <c r="F37" s="6"/>
    </row>
    <row r="38" spans="1:6" ht="15" thickBot="1">
      <c r="A38" s="28" t="s">
        <v>55</v>
      </c>
      <c r="B38" s="43">
        <f>(1/3)*(D29+2*SQRT(-D32)*COS((D35/3)))</f>
        <v>0.99999805561281363</v>
      </c>
      <c r="C38" s="43">
        <f>(1/3)*(E29+2*SQRT(-E32)*COS((E35/3)))</f>
        <v>0.99999792170490409</v>
      </c>
      <c r="D38" s="11">
        <v>0.75183758108683496</v>
      </c>
      <c r="E38" s="10">
        <v>0.73891142925655096</v>
      </c>
      <c r="F38" s="6"/>
    </row>
    <row r="39" spans="1:6">
      <c r="A39" s="92" t="s">
        <v>5</v>
      </c>
      <c r="B39" s="4">
        <f>ComponentsData!$C$1*'CubicTest '!$B$8*'CubicTest '!B37/'CubicTest '!$C$26</f>
        <v>7.0039963909596645E-2</v>
      </c>
      <c r="C39" s="4">
        <f>ComponentsData!$C$1*'CubicTest '!$B$8*'CubicTest '!C37/'CubicTest '!$C$26</f>
        <v>6.1644756725504651E-2</v>
      </c>
      <c r="D39" s="4">
        <v>6.89654814903089E-2</v>
      </c>
      <c r="E39" s="5">
        <v>6.0787435220975197E-2</v>
      </c>
    </row>
    <row r="40" spans="1:6" ht="15" thickBot="1">
      <c r="A40" s="94"/>
      <c r="B40" s="11">
        <f>ComponentsData!$C$1*'CubicTest '!$B$8*'CubicTest '!B38/'CubicTest '!$C$26</f>
        <v>147536.55440792299</v>
      </c>
      <c r="C40" s="11">
        <f>ComponentsData!$C$1*'CubicTest '!$B$8*'CubicTest '!C38/'CubicTest '!$C$26</f>
        <v>147536.53465157299</v>
      </c>
      <c r="D40" s="11">
        <v>1.09476612075627</v>
      </c>
      <c r="E40" s="10">
        <v>1.0759440859823599</v>
      </c>
    </row>
    <row r="41" spans="1:6">
      <c r="A41" s="92" t="s">
        <v>56</v>
      </c>
      <c r="B41" s="4"/>
      <c r="C41" s="4" t="s">
        <v>58</v>
      </c>
      <c r="D41" s="4">
        <f>SQRT(B6^2-4*B7)</f>
        <v>1</v>
      </c>
      <c r="E41" s="5">
        <f>SQRT(C6^2-4*C7)</f>
        <v>2.8284271247461903</v>
      </c>
    </row>
    <row r="42" spans="1:6">
      <c r="A42" s="93"/>
      <c r="B42" s="6"/>
      <c r="C42" s="95" t="s">
        <v>57</v>
      </c>
      <c r="D42" s="6">
        <f>(1/D41) *LN((2*B39+(2+D41)*B22)/(2*B39+(2-D41)*B22))</f>
        <v>0.39993590011719282</v>
      </c>
      <c r="E42" s="7">
        <f>(1/E41) *LN((2*C39+(2+E41)*C22)/(2*C39+(2-E41)*C22))</f>
        <v>0.45259769407690564</v>
      </c>
    </row>
    <row r="43" spans="1:6">
      <c r="A43" s="93"/>
      <c r="B43" s="6"/>
      <c r="C43" s="95"/>
      <c r="D43" s="6">
        <f>(1/D41) *LN((2*B40+(2+D41)*B22)/(2*B40+(2-D41)*B22))</f>
        <v>3.0954419699422735E-7</v>
      </c>
      <c r="E43" s="7">
        <f>(1/E41) *LN((2*C40+(2+E41)*C22)/(2*C40+(2-E41)*C22))</f>
        <v>2.7794586756060517E-7</v>
      </c>
    </row>
    <row r="44" spans="1:6">
      <c r="A44" s="93"/>
      <c r="B44" s="6"/>
      <c r="C44" s="6" t="s">
        <v>59</v>
      </c>
      <c r="D44" s="6">
        <f>B22/B22</f>
        <v>1</v>
      </c>
      <c r="E44" s="7">
        <f>C22/C22</f>
        <v>1</v>
      </c>
    </row>
    <row r="45" spans="1:6">
      <c r="A45" s="93"/>
      <c r="B45" s="6"/>
      <c r="C45" s="95" t="s">
        <v>60</v>
      </c>
      <c r="D45" s="6">
        <f>2*B20/B20</f>
        <v>2</v>
      </c>
      <c r="E45" s="7">
        <f>2*C20/C20</f>
        <v>2</v>
      </c>
    </row>
    <row r="46" spans="1:6">
      <c r="A46" s="93"/>
      <c r="B46" s="6"/>
      <c r="C46" s="95"/>
      <c r="D46" s="6">
        <f>2*B21/B21</f>
        <v>2</v>
      </c>
      <c r="E46" s="7">
        <f>2*C21/C21</f>
        <v>2</v>
      </c>
    </row>
    <row r="47" spans="1:6">
      <c r="A47" s="93"/>
      <c r="B47" s="6">
        <f>EXP(-LN((B39-B$22)/B39)+(B37-1)*D$44+(B20/($B$8*B$22*ComponentsData!$C$1))*('CubicTest '!D$44-'CubicTest '!D45)*'CubicTest '!D42-LN('CubicTest '!B37))</f>
        <v>121065.38370773982</v>
      </c>
      <c r="C47" s="6">
        <f>EXP(-LN((C39-C$22)/C39)+(C37-1)*E$44+(C20/($B$8*C$22*ComponentsData!$C$1))*('CubicTest '!E$44-'CubicTest '!E45)*'CubicTest '!E42-LN('CubicTest '!C37))</f>
        <v>56706.870570007086</v>
      </c>
      <c r="D47" s="6">
        <v>1.2674579278679701</v>
      </c>
      <c r="E47" s="7">
        <v>0.58087185274443698</v>
      </c>
    </row>
    <row r="48" spans="1:6" ht="15" thickBot="1">
      <c r="A48" s="94"/>
      <c r="B48" s="11">
        <f>EXP(-LN((B40-B$22)/B40)+(B38-1)*D$44+(B20/($B$8*B$22*ComponentsData!$C$1))*('CubicTest '!D$44-'CubicTest '!D46)*'CubicTest '!D43-LN('CubicTest '!B38))</f>
        <v>0.99999805561654731</v>
      </c>
      <c r="C48" s="11">
        <f>EXP(-LN((C40-C$22)/C40)+(C38-1)*E$44+(C20/($B$8*C$22*ComponentsData!$C$1))*('CubicTest '!E$44-'CubicTest '!E46)*'CubicTest '!E43-LN('CubicTest '!C38))</f>
        <v>0.99999792170853063</v>
      </c>
      <c r="D48" s="11">
        <v>0.80892723400206501</v>
      </c>
      <c r="E48" s="10">
        <v>0.79354817091952101</v>
      </c>
    </row>
    <row r="49" spans="2:2">
      <c r="B49" s="23"/>
    </row>
    <row r="50" spans="2:2">
      <c r="B50" s="23"/>
    </row>
  </sheetData>
  <mergeCells count="13">
    <mergeCell ref="G18:H18"/>
    <mergeCell ref="G17:H17"/>
    <mergeCell ref="G24:H24"/>
    <mergeCell ref="G25:H25"/>
    <mergeCell ref="D10:E10"/>
    <mergeCell ref="C42:C43"/>
    <mergeCell ref="C45:C46"/>
    <mergeCell ref="A41:A48"/>
    <mergeCell ref="B18:C18"/>
    <mergeCell ref="D18:E18"/>
    <mergeCell ref="A39:A40"/>
    <mergeCell ref="A23:A25"/>
    <mergeCell ref="A26:A3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E7" sqref="E7"/>
    </sheetView>
  </sheetViews>
  <sheetFormatPr baseColWidth="10" defaultRowHeight="14.4"/>
  <cols>
    <col min="1" max="1" width="15.109375" style="2" bestFit="1" customWidth="1"/>
    <col min="2" max="2" width="13.109375" style="2" bestFit="1" customWidth="1"/>
    <col min="3" max="3" width="13.5546875" style="2" bestFit="1" customWidth="1"/>
    <col min="4" max="16384" width="11.5546875" style="2"/>
  </cols>
  <sheetData>
    <row r="1" spans="1:4">
      <c r="A1" s="2" t="s">
        <v>0</v>
      </c>
      <c r="B1" s="2">
        <v>8.2059999999999994E-2</v>
      </c>
    </row>
    <row r="3" spans="1:4" ht="15" thickBot="1">
      <c r="B3" s="3"/>
      <c r="C3" s="3" t="s">
        <v>11</v>
      </c>
      <c r="D3" s="3"/>
    </row>
    <row r="4" spans="1:4">
      <c r="A4" s="92" t="s">
        <v>4</v>
      </c>
      <c r="B4" s="4" t="s">
        <v>154</v>
      </c>
      <c r="C4" s="4">
        <v>13</v>
      </c>
      <c r="D4" s="5"/>
    </row>
    <row r="5" spans="1:4">
      <c r="A5" s="93"/>
      <c r="B5" s="6" t="s">
        <v>2</v>
      </c>
      <c r="C5" s="6">
        <v>300</v>
      </c>
      <c r="D5" s="7"/>
    </row>
    <row r="6" spans="1:4" ht="15" thickBot="1">
      <c r="A6" s="94"/>
      <c r="B6" s="8" t="s">
        <v>155</v>
      </c>
      <c r="C6" s="9">
        <f>universalGasConstant *pressureTestTemperature/molarVolume</f>
        <v>191872.43076923076</v>
      </c>
      <c r="D6" s="10"/>
    </row>
    <row r="7" spans="1:4">
      <c r="A7" s="92" t="s">
        <v>5</v>
      </c>
      <c r="B7" s="4" t="s">
        <v>2</v>
      </c>
      <c r="C7" s="4">
        <v>500</v>
      </c>
      <c r="D7" s="5"/>
    </row>
    <row r="8" spans="1:4" ht="15" thickBot="1">
      <c r="A8" s="93"/>
      <c r="B8" s="82" t="s">
        <v>155</v>
      </c>
      <c r="C8" s="6">
        <v>101325</v>
      </c>
      <c r="D8" s="7"/>
    </row>
    <row r="9" spans="1:4" ht="15" thickBot="1">
      <c r="A9" s="94"/>
      <c r="B9" s="84" t="s">
        <v>154</v>
      </c>
      <c r="C9" s="11">
        <f>universalGasConstant*C7/C8</f>
        <v>41.028729336294106</v>
      </c>
      <c r="D9" s="10"/>
    </row>
    <row r="10" spans="1:4">
      <c r="A10" s="92" t="s">
        <v>15</v>
      </c>
      <c r="B10" s="4" t="s">
        <v>154</v>
      </c>
      <c r="C10" s="4">
        <v>15.13</v>
      </c>
      <c r="D10" s="5"/>
    </row>
    <row r="11" spans="1:4">
      <c r="A11" s="93"/>
      <c r="B11" s="82" t="s">
        <v>155</v>
      </c>
      <c r="C11" s="6">
        <v>203000.23</v>
      </c>
      <c r="D11" s="7"/>
    </row>
    <row r="12" spans="1:4" ht="15" thickBot="1">
      <c r="A12" s="94"/>
      <c r="B12" s="8" t="s">
        <v>2</v>
      </c>
      <c r="C12" s="11">
        <f>C11*C10/universalGasConstant</f>
        <v>369.40331026431988</v>
      </c>
      <c r="D12" s="10"/>
    </row>
  </sheetData>
  <mergeCells count="3">
    <mergeCell ref="A4:A6"/>
    <mergeCell ref="A7:A9"/>
    <mergeCell ref="A10:A12"/>
  </mergeCells>
  <pageMargins left="0.7" right="0.7" top="0.75" bottom="0.75" header="0.3" footer="0.3"/>
  <pageSetup orientation="portrait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F7" sqref="F7"/>
    </sheetView>
  </sheetViews>
  <sheetFormatPr baseColWidth="10" defaultRowHeight="14.4"/>
  <cols>
    <col min="1" max="1" width="22.88671875" bestFit="1" customWidth="1"/>
    <col min="3" max="3" width="13.5546875" bestFit="1" customWidth="1"/>
  </cols>
  <sheetData>
    <row r="1" spans="1:4" ht="15" thickBot="1">
      <c r="B1" s="3"/>
      <c r="C1" s="3" t="s">
        <v>11</v>
      </c>
      <c r="D1" s="1" t="s">
        <v>12</v>
      </c>
    </row>
    <row r="2" spans="1:4">
      <c r="A2" s="100" t="s">
        <v>16</v>
      </c>
      <c r="B2" s="12" t="s">
        <v>10</v>
      </c>
      <c r="C2" s="85">
        <f>27 * (ComponentsData!C1*ComponentsData!C6)^2 / (64*ComponentsData!C5)</f>
        <v>947577.14010835707</v>
      </c>
      <c r="D2" s="13">
        <v>9.3240491619652257</v>
      </c>
    </row>
    <row r="3" spans="1:4" ht="15" thickBot="1">
      <c r="A3" s="94"/>
      <c r="B3" s="14" t="s">
        <v>9</v>
      </c>
      <c r="C3" s="14">
        <f>(ComponentsData!C1*ComponentsData!C6)/(8*ComponentsData!C5)</f>
        <v>6.588889936912419E-2</v>
      </c>
      <c r="D3" s="15">
        <v>6.5726169627220415E-2</v>
      </c>
    </row>
    <row r="4" spans="1:4" ht="15" thickBot="1">
      <c r="A4" s="16" t="s">
        <v>13</v>
      </c>
      <c r="B4" s="17" t="s">
        <v>10</v>
      </c>
      <c r="C4" s="17">
        <f>27 * (ComponentsData!C1*ComponentsData!C6)^2 / (64*ComponentsData!C5)</f>
        <v>947577.14010835707</v>
      </c>
      <c r="D4" s="18">
        <v>9.3240491619652257</v>
      </c>
    </row>
    <row r="5" spans="1:4" ht="15" thickBot="1">
      <c r="A5" s="19" t="s">
        <v>14</v>
      </c>
      <c r="B5" s="17" t="s">
        <v>9</v>
      </c>
      <c r="C5" s="17">
        <f>(ComponentsData!C1*ComponentsData!C6)/(8*ComponentsData!C5)</f>
        <v>6.588889936912419E-2</v>
      </c>
      <c r="D5" s="18">
        <v>6.5726169627220415E-2</v>
      </c>
    </row>
    <row r="6" spans="1:4">
      <c r="A6" s="92" t="s">
        <v>4</v>
      </c>
      <c r="B6" s="12" t="s">
        <v>10</v>
      </c>
      <c r="C6" s="12">
        <f>27 * (ComponentsData!C1*ComponentsData!C6)^2 / (64*ComponentsData!C5)</f>
        <v>947577.14010835707</v>
      </c>
      <c r="D6" s="13"/>
    </row>
    <row r="7" spans="1:4">
      <c r="A7" s="93"/>
      <c r="B7" s="20" t="s">
        <v>9</v>
      </c>
      <c r="C7" s="20">
        <f>(ComponentsData!C1*ComponentsData!C6)/(8*ComponentsData!C5)</f>
        <v>6.588889936912419E-2</v>
      </c>
      <c r="D7" s="21"/>
    </row>
    <row r="8" spans="1:4">
      <c r="A8" s="93"/>
      <c r="B8" s="6" t="s">
        <v>1</v>
      </c>
      <c r="C8" s="6">
        <v>1.33</v>
      </c>
      <c r="D8" s="21"/>
    </row>
    <row r="9" spans="1:4">
      <c r="A9" s="93"/>
      <c r="B9" s="6" t="s">
        <v>2</v>
      </c>
      <c r="C9" s="6">
        <v>455</v>
      </c>
      <c r="D9" s="21"/>
    </row>
    <row r="10" spans="1:4" ht="15" thickBot="1">
      <c r="A10" s="94"/>
      <c r="B10" s="8" t="s">
        <v>3</v>
      </c>
      <c r="C10" s="9">
        <f>(ComponentsData!C1*C9)/(C8-C5) - C4/(C8^2)</f>
        <v>2456996.529247296</v>
      </c>
      <c r="D10" s="15">
        <v>24.239911647806299</v>
      </c>
    </row>
    <row r="11" spans="1:4">
      <c r="A11" s="99" t="s">
        <v>5</v>
      </c>
      <c r="B11" s="2" t="s">
        <v>2</v>
      </c>
      <c r="C11" s="2">
        <v>500</v>
      </c>
    </row>
    <row r="12" spans="1:4">
      <c r="A12" s="99"/>
      <c r="B12" s="2" t="s">
        <v>3</v>
      </c>
      <c r="C12" s="2">
        <v>24</v>
      </c>
    </row>
    <row r="13" spans="1:4">
      <c r="A13" s="99"/>
      <c r="B13" s="3" t="s">
        <v>1</v>
      </c>
      <c r="C13" s="2">
        <f>ComponentsData!C1*C11/C12</f>
        <v>173218.16666666666</v>
      </c>
    </row>
    <row r="14" spans="1:4">
      <c r="A14" s="99" t="s">
        <v>5</v>
      </c>
      <c r="B14" s="2" t="s">
        <v>1</v>
      </c>
      <c r="C14" s="2">
        <v>15.13</v>
      </c>
    </row>
    <row r="15" spans="1:4">
      <c r="A15" s="99"/>
      <c r="B15" s="2" t="s">
        <v>3</v>
      </c>
      <c r="C15" s="2">
        <v>23.23</v>
      </c>
    </row>
    <row r="16" spans="1:4">
      <c r="A16" s="99"/>
      <c r="B16" s="3" t="s">
        <v>2</v>
      </c>
      <c r="C16" s="2">
        <f>C15*C14/ComponentsData!C1</f>
        <v>4.2272064900813915E-2</v>
      </c>
    </row>
  </sheetData>
  <mergeCells count="4">
    <mergeCell ref="A11:A13"/>
    <mergeCell ref="A14:A16"/>
    <mergeCell ref="A2:A3"/>
    <mergeCell ref="A6:A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4"/>
  <sheetViews>
    <sheetView topLeftCell="A6" workbookViewId="0">
      <selection activeCell="I12" sqref="I12"/>
    </sheetView>
  </sheetViews>
  <sheetFormatPr baseColWidth="10" defaultRowHeight="14.4"/>
  <cols>
    <col min="1" max="1" width="22.88671875" bestFit="1" customWidth="1"/>
    <col min="2" max="5" width="12" bestFit="1" customWidth="1"/>
    <col min="7" max="7" width="14.33203125" bestFit="1" customWidth="1"/>
    <col min="10" max="10" width="13" bestFit="1" customWidth="1"/>
  </cols>
  <sheetData>
    <row r="1" spans="1:5">
      <c r="A1" s="1"/>
      <c r="B1" s="1" t="s">
        <v>33</v>
      </c>
      <c r="C1" s="1" t="s">
        <v>43</v>
      </c>
    </row>
    <row r="2" spans="1:5" ht="14.4" customHeight="1">
      <c r="A2" s="1" t="s">
        <v>17</v>
      </c>
      <c r="B2">
        <v>0.48508000000000001</v>
      </c>
      <c r="C2">
        <v>0.37889299999999998</v>
      </c>
    </row>
    <row r="3" spans="1:5">
      <c r="A3" s="1" t="s">
        <v>18</v>
      </c>
      <c r="B3">
        <v>1.5517099999999999</v>
      </c>
      <c r="C3">
        <v>1.4897153000000001</v>
      </c>
    </row>
    <row r="4" spans="1:5">
      <c r="A4" s="1" t="s">
        <v>19</v>
      </c>
      <c r="B4">
        <v>-0.15612999999999999</v>
      </c>
      <c r="C4">
        <v>-0.17131848</v>
      </c>
    </row>
    <row r="5" spans="1:5">
      <c r="A5" s="1" t="s">
        <v>20</v>
      </c>
      <c r="B5">
        <v>0</v>
      </c>
      <c r="C5">
        <v>1.96554E-2</v>
      </c>
    </row>
    <row r="6" spans="1:5">
      <c r="A6" s="1" t="s">
        <v>32</v>
      </c>
      <c r="B6">
        <v>425.87</v>
      </c>
      <c r="C6">
        <f>B6/ComponentsData!$C$6</f>
        <v>0.83096585365853659</v>
      </c>
    </row>
    <row r="7" spans="1:5">
      <c r="A7" s="1" t="s">
        <v>31</v>
      </c>
      <c r="B7">
        <v>604.23</v>
      </c>
      <c r="C7">
        <f>B7/ComponentsData!$C$6</f>
        <v>1.1789853658536587</v>
      </c>
      <c r="D7" s="1" t="s">
        <v>33</v>
      </c>
      <c r="E7" s="1" t="s">
        <v>43</v>
      </c>
    </row>
    <row r="8" spans="1:5">
      <c r="A8" s="1" t="s">
        <v>23</v>
      </c>
      <c r="D8" s="91" t="s">
        <v>25</v>
      </c>
      <c r="E8" s="91"/>
    </row>
    <row r="9" spans="1:5">
      <c r="A9" s="1" t="s">
        <v>24</v>
      </c>
      <c r="B9">
        <f>B2 + B3*ComponentsData!$C$4+B4*ComponentsData!$C$4^2+B5*ComponentsData!$C$4^3</f>
        <v>1.313098303188811</v>
      </c>
      <c r="C9">
        <f>C2 + C3*ComponentsData!$C$4+C4*ComponentsData!$C$4^2+C5*ComponentsData!$C$4^3</f>
        <v>1.1705307196840293</v>
      </c>
      <c r="D9">
        <v>1.32157488208</v>
      </c>
      <c r="E9">
        <v>1.1786359793688199</v>
      </c>
    </row>
    <row r="10" spans="1:5">
      <c r="A10" s="1" t="s">
        <v>28</v>
      </c>
      <c r="B10">
        <f xml:space="preserve"> 1 + 0.5 *B9+0.3 * ComponentsData!$C$7</f>
        <v>1.7746861515944055</v>
      </c>
      <c r="C10">
        <f xml:space="preserve"> 1 + 0.5 *C9+0.3 * ComponentsData!$C$7</f>
        <v>1.7034023598420145</v>
      </c>
      <c r="D10">
        <v>1.77892744104</v>
      </c>
      <c r="E10">
        <v>1.70745798968441</v>
      </c>
    </row>
    <row r="11" spans="1:5">
      <c r="A11" s="1" t="s">
        <v>29</v>
      </c>
      <c r="B11">
        <f>POWER(1+ B9*(1-SQRT($C$6)) - ComponentsData!$C$7*(1-$C$6)*(0.7 -$C$6),2)</f>
        <v>1.2652438224543587</v>
      </c>
      <c r="C11">
        <f>POWER(1+ C9*(1-SQRT($C$6)) - ComponentsData!$C$7*(1-$C$6)*(0.7 -$C$6),2)</f>
        <v>1.2370417632774973</v>
      </c>
      <c r="D11">
        <v>1.26719019563283</v>
      </c>
      <c r="E11">
        <v>1.2388649417067901</v>
      </c>
    </row>
    <row r="12" spans="1:5">
      <c r="A12" s="1" t="s">
        <v>30</v>
      </c>
      <c r="B12">
        <f>EXP((2*(B10-1)/B10)*(1-POWER($C$7,B10)))</f>
        <v>0.7435676271501791</v>
      </c>
      <c r="C12">
        <f>EXP((2*(C10-1)/C10)*(1-POWER($C$7,C10)))</f>
        <v>0.76538024364473822</v>
      </c>
      <c r="D12">
        <v>0.74258381399471496</v>
      </c>
      <c r="E12">
        <v>0.76440879061241396</v>
      </c>
    </row>
    <row r="13" spans="1:5">
      <c r="A13" s="1" t="s">
        <v>35</v>
      </c>
      <c r="B13">
        <v>0.42748023000000002</v>
      </c>
      <c r="C13">
        <v>0.45723553</v>
      </c>
    </row>
    <row r="14" spans="1:5">
      <c r="A14" s="1" t="s">
        <v>36</v>
      </c>
      <c r="B14" s="23">
        <v>8.6640350000000005E-2</v>
      </c>
      <c r="C14" s="23">
        <v>7.7796074000000007E-2</v>
      </c>
    </row>
    <row r="16" spans="1:5">
      <c r="B16" s="101" t="s">
        <v>11</v>
      </c>
      <c r="C16" s="101"/>
      <c r="D16" s="101" t="s">
        <v>12</v>
      </c>
      <c r="E16" s="101"/>
    </row>
    <row r="17" spans="1:10" ht="29.4" thickBot="1">
      <c r="A17" s="24" t="s">
        <v>16</v>
      </c>
      <c r="B17" s="1" t="s">
        <v>33</v>
      </c>
      <c r="C17" s="1" t="s">
        <v>43</v>
      </c>
      <c r="D17" s="1" t="s">
        <v>33</v>
      </c>
      <c r="E17" s="1" t="s">
        <v>43</v>
      </c>
      <c r="G17" s="22" t="s">
        <v>39</v>
      </c>
      <c r="H17" s="22" t="s">
        <v>40</v>
      </c>
      <c r="I17" s="22" t="s">
        <v>41</v>
      </c>
      <c r="J17" s="22" t="s">
        <v>42</v>
      </c>
    </row>
    <row r="18" spans="1:10" ht="15" thickBot="1">
      <c r="A18" s="25" t="s">
        <v>37</v>
      </c>
      <c r="B18" s="12">
        <f>CubicAlphaTest!B13 *CubicAlphaTest!B11* (ComponentsData!$C$1*ComponentsData!$C$6)^2 / (ComponentsData!$C$5)</f>
        <v>1214845.4872515749</v>
      </c>
      <c r="C18" s="12">
        <f>CubicAlphaTest!C13 *CubicAlphaTest!C11* (ComponentsData!$C$1*ComponentsData!$C$6)^2 / (ComponentsData!$C$5)</f>
        <v>1270442.8024434203</v>
      </c>
      <c r="D18" s="20">
        <v>11.972327904134801</v>
      </c>
      <c r="E18" s="20">
        <v>12.5194340883597</v>
      </c>
      <c r="G18">
        <f>CubicAlphaTest!C13 *CubicAlphaTest!C11</f>
        <v>0.56561944626432104</v>
      </c>
      <c r="H18">
        <f>(ComponentsData!$C$1*ComponentsData!$C$6)</f>
        <v>4261166.8999999994</v>
      </c>
      <c r="I18">
        <f xml:space="preserve"> (ComponentsData!$C$1*ComponentsData!$C$6)^2</f>
        <v>18157543349655.605</v>
      </c>
      <c r="J18">
        <f xml:space="preserve"> (ComponentsData!$C$1*ComponentsData!$C$6)^2 / (ComponentsData!$C$5)</f>
        <v>2246108.7765531428</v>
      </c>
    </row>
    <row r="19" spans="1:10" ht="15" thickBot="1">
      <c r="A19" s="26" t="s">
        <v>38</v>
      </c>
      <c r="B19" s="12">
        <f>CubicAlphaTest!B13 *CubicAlphaTest!B12* (ComponentsData!$C$1*ComponentsData!$C$6)^2 / (ComponentsData!$C$5)</f>
        <v>713949.16954225395</v>
      </c>
      <c r="C19" s="12">
        <f>CubicAlphaTest!C13 *CubicAlphaTest!C12* (ComponentsData!$C$1*ComponentsData!$C$6)^2 / (ComponentsData!$C$5)</f>
        <v>786046.07422031171</v>
      </c>
      <c r="D19" s="20">
        <v>7.0158820263030197</v>
      </c>
      <c r="E19" s="20">
        <v>7.7247851226222197</v>
      </c>
    </row>
    <row r="20" spans="1:10" ht="15" thickBot="1">
      <c r="A20" s="25" t="s">
        <v>9</v>
      </c>
      <c r="B20" s="12">
        <f>CubicAlphaTest!B14 * (ComponentsData!$C$1*ComponentsData!$C$6) / (ComponentsData!$C$5)</f>
        <v>4.5669098419645594E-2</v>
      </c>
      <c r="C20" s="12">
        <f>CubicAlphaTest!C14 * (ComponentsData!$C$1*ComponentsData!$C$6) / (ComponentsData!$C$5)</f>
        <v>4.1007181528791514E-2</v>
      </c>
      <c r="D20" s="20">
        <v>4.5556306725294003E-2</v>
      </c>
      <c r="E20" s="20">
        <v>4.0905903648446297E-2</v>
      </c>
    </row>
    <row r="21" spans="1:10">
      <c r="A21" s="92" t="s">
        <v>4</v>
      </c>
      <c r="B21" s="4" t="s">
        <v>1</v>
      </c>
      <c r="C21" s="4">
        <v>1.33</v>
      </c>
      <c r="D21" s="12"/>
      <c r="E21" s="13"/>
    </row>
    <row r="22" spans="1:10">
      <c r="A22" s="93"/>
      <c r="B22" s="6" t="s">
        <v>2</v>
      </c>
      <c r="C22" s="6">
        <v>455</v>
      </c>
      <c r="D22" s="20"/>
      <c r="E22" s="21"/>
    </row>
    <row r="23" spans="1:10" ht="15" thickBot="1">
      <c r="A23" s="94"/>
      <c r="B23" s="14"/>
      <c r="C23" s="14"/>
      <c r="D23" s="14"/>
      <c r="E23" s="15"/>
    </row>
    <row r="24" spans="1:10">
      <c r="B24" s="20"/>
      <c r="C24" s="20"/>
      <c r="D24" s="20"/>
      <c r="E24" s="20"/>
    </row>
    <row r="25" spans="1:10">
      <c r="A25" s="31"/>
      <c r="B25" s="20"/>
      <c r="C25" s="20"/>
      <c r="D25" s="20"/>
      <c r="E25" s="20"/>
    </row>
    <row r="26" spans="1:10">
      <c r="A26" s="31"/>
      <c r="D26" s="20"/>
      <c r="E26" s="20"/>
    </row>
    <row r="27" spans="1:10">
      <c r="A27" s="31"/>
      <c r="D27" s="20"/>
      <c r="E27" s="20"/>
    </row>
    <row r="28" spans="1:10" ht="15" thickBot="1">
      <c r="A28" s="32"/>
      <c r="B28" s="8"/>
      <c r="C28" s="9"/>
      <c r="D28" s="20"/>
      <c r="E28" s="20"/>
    </row>
    <row r="29" spans="1:10">
      <c r="A29" s="99" t="s">
        <v>5</v>
      </c>
      <c r="B29" s="2" t="s">
        <v>2</v>
      </c>
      <c r="C29" s="2">
        <v>500</v>
      </c>
    </row>
    <row r="30" spans="1:10">
      <c r="A30" s="99"/>
      <c r="B30" s="2" t="s">
        <v>3</v>
      </c>
      <c r="C30" s="2">
        <v>24</v>
      </c>
    </row>
    <row r="31" spans="1:10">
      <c r="A31" s="99"/>
      <c r="B31" s="22" t="s">
        <v>1</v>
      </c>
      <c r="C31" s="2">
        <f>ComponentsData!C1*C29/C30</f>
        <v>173218.16666666666</v>
      </c>
    </row>
    <row r="32" spans="1:10">
      <c r="A32" s="99" t="s">
        <v>5</v>
      </c>
      <c r="B32" s="2" t="s">
        <v>1</v>
      </c>
      <c r="C32" s="2">
        <v>15.13</v>
      </c>
    </row>
    <row r="33" spans="1:3">
      <c r="A33" s="99"/>
      <c r="B33" s="2" t="s">
        <v>3</v>
      </c>
      <c r="C33" s="2">
        <v>23.23</v>
      </c>
    </row>
    <row r="34" spans="1:3">
      <c r="A34" s="99"/>
      <c r="B34" s="22" t="s">
        <v>2</v>
      </c>
      <c r="C34" s="2">
        <f>C33*C32/ComponentsData!C1</f>
        <v>4.2272064900813915E-2</v>
      </c>
    </row>
  </sheetData>
  <mergeCells count="6">
    <mergeCell ref="A29:A31"/>
    <mergeCell ref="A32:A34"/>
    <mergeCell ref="D8:E8"/>
    <mergeCell ref="D16:E16"/>
    <mergeCell ref="B16:C16"/>
    <mergeCell ref="A21:A23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B7" sqref="B7"/>
    </sheetView>
  </sheetViews>
  <sheetFormatPr baseColWidth="10" defaultRowHeight="14.4"/>
  <cols>
    <col min="1" max="1" width="17.5546875" bestFit="1" customWidth="1"/>
    <col min="2" max="2" width="17.5546875" customWidth="1"/>
  </cols>
  <sheetData>
    <row r="1" spans="1:6">
      <c r="A1" s="83" t="s">
        <v>146</v>
      </c>
      <c r="B1" s="83"/>
      <c r="C1" s="2">
        <v>8314.4719999999998</v>
      </c>
    </row>
    <row r="2" spans="1:6">
      <c r="A2" s="2"/>
      <c r="B2" s="83"/>
      <c r="C2" s="2"/>
    </row>
    <row r="3" spans="1:6">
      <c r="A3" t="s">
        <v>6</v>
      </c>
      <c r="B3" t="s">
        <v>151</v>
      </c>
      <c r="C3" t="s">
        <v>7</v>
      </c>
      <c r="D3" t="s">
        <v>61</v>
      </c>
    </row>
    <row r="4" spans="1:6">
      <c r="A4" t="s">
        <v>147</v>
      </c>
      <c r="C4">
        <v>0.56583099999999997</v>
      </c>
      <c r="D4">
        <v>0.34486099999999997</v>
      </c>
    </row>
    <row r="5" spans="1:6">
      <c r="A5" t="s">
        <v>148</v>
      </c>
      <c r="B5" t="s">
        <v>152</v>
      </c>
      <c r="C5" s="81">
        <v>8084000</v>
      </c>
      <c r="D5" s="81">
        <v>22064000</v>
      </c>
    </row>
    <row r="6" spans="1:6">
      <c r="A6" t="s">
        <v>149</v>
      </c>
      <c r="B6" t="s">
        <v>153</v>
      </c>
      <c r="C6">
        <v>512.5</v>
      </c>
      <c r="D6">
        <v>647.096</v>
      </c>
    </row>
    <row r="7" spans="1:6">
      <c r="A7" t="s">
        <v>150</v>
      </c>
      <c r="C7">
        <v>0.39378999999999997</v>
      </c>
      <c r="D7">
        <v>-7.6700000000000004E-2</v>
      </c>
    </row>
    <row r="9" spans="1:6">
      <c r="A9" t="s">
        <v>74</v>
      </c>
      <c r="C9">
        <v>-7.7799999999999994E-2</v>
      </c>
      <c r="D9">
        <v>0.39379999999999998</v>
      </c>
    </row>
    <row r="10" spans="1:6">
      <c r="E10" t="s">
        <v>80</v>
      </c>
      <c r="F10" t="s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D21"/>
  <sheetViews>
    <sheetView topLeftCell="A2" workbookViewId="0">
      <selection activeCell="B17" sqref="B17"/>
    </sheetView>
  </sheetViews>
  <sheetFormatPr baseColWidth="10" defaultRowHeight="14.4"/>
  <sheetData>
    <row r="2" spans="1:4">
      <c r="A2" t="s">
        <v>138</v>
      </c>
    </row>
    <row r="3" spans="1:4">
      <c r="A3" t="s">
        <v>139</v>
      </c>
    </row>
    <row r="4" spans="1:4">
      <c r="A4" t="s">
        <v>140</v>
      </c>
    </row>
    <row r="5" spans="1:4">
      <c r="B5" t="s">
        <v>141</v>
      </c>
    </row>
    <row r="6" spans="1:4">
      <c r="A6" t="s">
        <v>142</v>
      </c>
      <c r="B6">
        <v>0.39378999999999997</v>
      </c>
    </row>
    <row r="7" spans="1:4">
      <c r="A7" t="s">
        <v>77</v>
      </c>
      <c r="B7" s="81">
        <v>-7.6699000000000003E-2</v>
      </c>
    </row>
    <row r="8" spans="1:4">
      <c r="A8" t="s">
        <v>145</v>
      </c>
      <c r="B8">
        <v>-0.18000000715255701</v>
      </c>
    </row>
    <row r="9" spans="1:4">
      <c r="A9" t="s">
        <v>143</v>
      </c>
      <c r="B9">
        <v>0.14990999999999999</v>
      </c>
    </row>
    <row r="10" spans="1:4">
      <c r="A10" t="s">
        <v>121</v>
      </c>
      <c r="B10" t="s">
        <v>118</v>
      </c>
      <c r="C10" t="s">
        <v>144</v>
      </c>
      <c r="D10" t="s">
        <v>27</v>
      </c>
    </row>
    <row r="11" spans="1:4">
      <c r="A11">
        <v>0</v>
      </c>
      <c r="B11">
        <v>0</v>
      </c>
      <c r="C11">
        <v>53.916696166992203</v>
      </c>
      <c r="D11">
        <f>C11 + 273.15</f>
        <v>327.06669616699219</v>
      </c>
    </row>
    <row r="12" spans="1:4">
      <c r="A12">
        <v>0.1</v>
      </c>
      <c r="B12">
        <v>0.156250777646575</v>
      </c>
      <c r="C12">
        <v>52.996284108525302</v>
      </c>
      <c r="D12">
        <f t="shared" ref="D12:D21" si="0">C12 + 273.15</f>
        <v>326.14628410852526</v>
      </c>
    </row>
    <row r="13" spans="1:4">
      <c r="A13">
        <v>0.2</v>
      </c>
      <c r="B13">
        <v>0.35945183160455302</v>
      </c>
      <c r="C13">
        <v>50.736976523657297</v>
      </c>
      <c r="D13">
        <f t="shared" si="0"/>
        <v>323.88697652365727</v>
      </c>
    </row>
    <row r="14" spans="1:4">
      <c r="A14">
        <v>0.3</v>
      </c>
      <c r="B14">
        <v>0.54785801937119005</v>
      </c>
      <c r="C14">
        <v>47.705545235539397</v>
      </c>
      <c r="D14">
        <f t="shared" si="0"/>
        <v>320.85554523553935</v>
      </c>
    </row>
    <row r="15" spans="1:4">
      <c r="A15">
        <v>0.4</v>
      </c>
      <c r="B15">
        <v>0.69486158883764304</v>
      </c>
      <c r="C15">
        <v>44.472333375685103</v>
      </c>
      <c r="D15">
        <f t="shared" si="0"/>
        <v>317.62233337568506</v>
      </c>
    </row>
    <row r="16" spans="1:4">
      <c r="A16">
        <v>0.5</v>
      </c>
      <c r="B16">
        <v>0.80025412724815403</v>
      </c>
      <c r="C16">
        <v>41.386485695783001</v>
      </c>
      <c r="D16">
        <f t="shared" si="0"/>
        <v>314.53648569578297</v>
      </c>
    </row>
    <row r="17" spans="1:4">
      <c r="A17">
        <v>0.6</v>
      </c>
      <c r="B17">
        <v>0.87320014434568904</v>
      </c>
      <c r="C17">
        <v>38.606576958265201</v>
      </c>
      <c r="D17">
        <f t="shared" si="0"/>
        <v>311.75657695826516</v>
      </c>
    </row>
    <row r="18" spans="1:4">
      <c r="A18">
        <v>0.7</v>
      </c>
      <c r="B18">
        <v>0.92332785416995</v>
      </c>
      <c r="C18">
        <v>36.175044959210403</v>
      </c>
      <c r="D18">
        <f t="shared" si="0"/>
        <v>309.3250449592104</v>
      </c>
    </row>
    <row r="19" spans="1:4">
      <c r="A19">
        <v>0.8</v>
      </c>
      <c r="B19">
        <v>0.95802994848435497</v>
      </c>
      <c r="C19">
        <v>34.078263157133499</v>
      </c>
      <c r="D19">
        <f t="shared" si="0"/>
        <v>307.22826315713348</v>
      </c>
    </row>
    <row r="20" spans="1:4">
      <c r="A20">
        <v>0.9</v>
      </c>
      <c r="B20">
        <v>0.98245680853173301</v>
      </c>
      <c r="C20">
        <v>32.277180493197697</v>
      </c>
      <c r="D20">
        <f t="shared" si="0"/>
        <v>305.42718049319768</v>
      </c>
    </row>
    <row r="21" spans="1:4">
      <c r="A21">
        <v>1</v>
      </c>
      <c r="B21">
        <v>1</v>
      </c>
      <c r="C21">
        <v>30.726312255859401</v>
      </c>
      <c r="D21">
        <f t="shared" si="0"/>
        <v>303.87631225585937</v>
      </c>
    </row>
  </sheetData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22</vt:i4>
      </vt:variant>
    </vt:vector>
  </HeadingPairs>
  <TitlesOfParts>
    <vt:vector size="35" baseType="lpstr">
      <vt:lpstr>DewPointTest</vt:lpstr>
      <vt:lpstr>BubblePointTest</vt:lpstr>
      <vt:lpstr>Soave_PengRobinsonTest</vt:lpstr>
      <vt:lpstr>Mathias_StryjekVeraTest</vt:lpstr>
      <vt:lpstr>FlashTest</vt:lpstr>
      <vt:lpstr>CubicTest  (2)</vt:lpstr>
      <vt:lpstr>VDWMixingRuleTest</vt:lpstr>
      <vt:lpstr>CubicTest </vt:lpstr>
      <vt:lpstr>IdealGasTest</vt:lpstr>
      <vt:lpstr>VanDerWaalsTest</vt:lpstr>
      <vt:lpstr>CubicAlphaTest</vt:lpstr>
      <vt:lpstr>ComponentsData</vt:lpstr>
      <vt:lpstr>BubbleDiagram</vt:lpstr>
      <vt:lpstr>acentricFactor</vt:lpstr>
      <vt:lpstr>methanolAcentricFactor</vt:lpstr>
      <vt:lpstr>methanolCriticalPressure</vt:lpstr>
      <vt:lpstr>methanolCriticalTemperature</vt:lpstr>
      <vt:lpstr>methanolPrsvKappa</vt:lpstr>
      <vt:lpstr>molarVolume</vt:lpstr>
      <vt:lpstr>pressure</vt:lpstr>
      <vt:lpstr>pressureTestMolarVolume</vt:lpstr>
      <vt:lpstr>pressureTestResult</vt:lpstr>
      <vt:lpstr>pressureTestTemperature</vt:lpstr>
      <vt:lpstr>temperature</vt:lpstr>
      <vt:lpstr>temperatureTestMolarVolume</vt:lpstr>
      <vt:lpstr>temperatureTestPressure</vt:lpstr>
      <vt:lpstr>temperatureTestResult</vt:lpstr>
      <vt:lpstr>universalGasConstant</vt:lpstr>
      <vt:lpstr>volumeTestPressure</vt:lpstr>
      <vt:lpstr>volumeTestResult</vt:lpstr>
      <vt:lpstr>volumeTestTemperature</vt:lpstr>
      <vt:lpstr>waterAcentricFactor</vt:lpstr>
      <vt:lpstr>waterCriticalPressure</vt:lpstr>
      <vt:lpstr>waterCriticalTemperature</vt:lpstr>
      <vt:lpstr>waterPrsvKappa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Chilpayate</dc:creator>
  <cp:lastModifiedBy>Chilpayate</cp:lastModifiedBy>
  <dcterms:created xsi:type="dcterms:W3CDTF">2012-10-24T05:11:59Z</dcterms:created>
  <dcterms:modified xsi:type="dcterms:W3CDTF">2013-03-11T03:00:27Z</dcterms:modified>
</cp:coreProperties>
</file>