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7124" windowHeight="7416" activeTab="1"/>
  </bookViews>
  <sheets>
    <sheet name="A" sheetId="1" r:id="rId1"/>
    <sheet name="tetha" sheetId="2" r:id="rId2"/>
    <sheet name="kp" sheetId="3" r:id="rId3"/>
  </sheets>
  <calcPr calcId="125725"/>
</workbook>
</file>

<file path=xl/calcChain.xml><?xml version="1.0" encoding="utf-8"?>
<calcChain xmlns="http://schemas.openxmlformats.org/spreadsheetml/2006/main">
  <c r="C33" i="2"/>
  <c r="C34"/>
  <c r="C35"/>
  <c r="C36"/>
  <c r="C37"/>
  <c r="C32"/>
  <c r="E37"/>
  <c r="A37"/>
  <c r="E35"/>
  <c r="A35"/>
  <c r="E33"/>
  <c r="A33"/>
  <c r="F14"/>
  <c r="F15" s="1"/>
  <c r="A23" a="1"/>
  <c r="A23"/>
  <c r="B23"/>
  <c r="A24" a="1"/>
  <c r="A24" s="1"/>
  <c r="A22" a="1"/>
  <c r="A22" s="1"/>
  <c r="K25" a="1"/>
  <c r="L25" s="1"/>
  <c r="R7" i="3"/>
  <c r="Q7"/>
  <c r="P7"/>
  <c r="N7"/>
  <c r="E7"/>
  <c r="D9"/>
  <c r="C9"/>
  <c r="F9" s="1"/>
  <c r="D7"/>
  <c r="C7"/>
  <c r="L4"/>
  <c r="J4"/>
  <c r="H4"/>
  <c r="E4"/>
  <c r="F4"/>
  <c r="D4"/>
  <c r="C4"/>
  <c r="K23" i="2"/>
  <c r="F24" a="1"/>
  <c r="G24" s="1"/>
  <c r="G6"/>
  <c r="G7"/>
  <c r="C16" s="1"/>
  <c r="G8"/>
  <c r="G9"/>
  <c r="G10"/>
  <c r="G5"/>
  <c r="C17"/>
  <c r="C15"/>
  <c r="E17"/>
  <c r="E16"/>
  <c r="E15"/>
  <c r="D17"/>
  <c r="D16"/>
  <c r="D15"/>
  <c r="F5"/>
  <c r="F6"/>
  <c r="F7"/>
  <c r="F8"/>
  <c r="F9"/>
  <c r="F10"/>
  <c r="E6"/>
  <c r="E7"/>
  <c r="E8"/>
  <c r="E9"/>
  <c r="E10"/>
  <c r="E5"/>
  <c r="D10"/>
  <c r="D8"/>
  <c r="D6"/>
  <c r="A10"/>
  <c r="A8"/>
  <c r="A6"/>
  <c r="C6" i="1"/>
  <c r="C7"/>
  <c r="C5"/>
  <c r="B24" i="2" l="1"/>
  <c r="B22"/>
  <c r="K25"/>
  <c r="E9" i="3"/>
  <c r="H9"/>
  <c r="H7"/>
  <c r="F7"/>
  <c r="F24" i="2"/>
</calcChain>
</file>

<file path=xl/sharedStrings.xml><?xml version="1.0" encoding="utf-8"?>
<sst xmlns="http://schemas.openxmlformats.org/spreadsheetml/2006/main" count="52" uniqueCount="38">
  <si>
    <t xml:space="preserve">in fijita doolittle equation </t>
  </si>
  <si>
    <t>for parameter A</t>
  </si>
  <si>
    <t>A</t>
  </si>
  <si>
    <t>Tgp [°C]</t>
  </si>
  <si>
    <t>T (°C)</t>
  </si>
  <si>
    <t>(T- Tgp) ^2</t>
  </si>
  <si>
    <r>
      <t xml:space="preserve">for parameter </t>
    </r>
    <r>
      <rPr>
        <sz val="11"/>
        <color theme="1"/>
        <rFont val="Calibri"/>
        <family val="2"/>
      </rPr>
      <t>ϴt ϴp</t>
    </r>
  </si>
  <si>
    <t>ϴt</t>
  </si>
  <si>
    <t>T[K]</t>
  </si>
  <si>
    <t>I0 [ mol /L]</t>
  </si>
  <si>
    <t>T[°C]</t>
  </si>
  <si>
    <t>ϴp</t>
  </si>
  <si>
    <t>ln(1/ϴt)</t>
  </si>
  <si>
    <t>ln(1/ϴp)</t>
  </si>
  <si>
    <t>1 / T</t>
  </si>
  <si>
    <t>Fujita, H.; Kishimoto, A.; Matsumoto, K. Trans. Faraday SOC.</t>
  </si>
  <si>
    <t>I0</t>
  </si>
  <si>
    <t>b of thetat</t>
  </si>
  <si>
    <t>m</t>
  </si>
  <si>
    <t>para calcular b de tetha t</t>
  </si>
  <si>
    <t>m promedio de tethat</t>
  </si>
  <si>
    <t>kt0</t>
  </si>
  <si>
    <t>kpo</t>
  </si>
  <si>
    <t xml:space="preserve">dp </t>
  </si>
  <si>
    <t xml:space="preserve">dm </t>
  </si>
  <si>
    <t>io</t>
  </si>
  <si>
    <t>y = -0.008247x + 167.832701</t>
  </si>
  <si>
    <t>tgp[°C]</t>
  </si>
  <si>
    <t>B</t>
  </si>
  <si>
    <t>para pruebas</t>
  </si>
  <si>
    <t>kt</t>
  </si>
  <si>
    <t>e</t>
  </si>
  <si>
    <t>fi_m</t>
  </si>
  <si>
    <t>x</t>
  </si>
  <si>
    <t>kp</t>
  </si>
  <si>
    <t>kd</t>
  </si>
  <si>
    <t xml:space="preserve">in fujita doolittle equation </t>
  </si>
  <si>
    <t>no muy buena representacion de los parámetros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</si>
</sst>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3" borderId="0" xfId="0" applyFill="1"/>
    <xf numFmtId="11" fontId="0" fillId="3" borderId="0" xfId="0" applyNumberFormat="1" applyFill="1"/>
    <xf numFmtId="0" fontId="0" fillId="0" borderId="0" xfId="0" applyBorder="1" applyAlignment="1">
      <alignment wrapText="1"/>
    </xf>
    <xf numFmtId="4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A!$A$1:$A$2</c:f>
              <c:strCache>
                <c:ptCount val="1"/>
                <c:pt idx="0">
                  <c:v>in fijita doolittle equation  for parameter A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2.0725600789263054E-2"/>
                  <c:y val="0.13416668319482741"/>
                </c:manualLayout>
              </c:layout>
              <c:numFmt formatCode="#,##0.000000" sourceLinked="0"/>
            </c:trendlineLbl>
          </c:trendline>
          <c:xVal>
            <c:numRef>
              <c:f>A!$C$5:$C$7</c:f>
              <c:numCache>
                <c:formatCode>General</c:formatCode>
                <c:ptCount val="3"/>
                <c:pt idx="0">
                  <c:v>4096</c:v>
                </c:pt>
                <c:pt idx="1">
                  <c:v>1936</c:v>
                </c:pt>
                <c:pt idx="2">
                  <c:v>576</c:v>
                </c:pt>
              </c:numCache>
            </c:numRef>
          </c:xVal>
          <c:yVal>
            <c:numRef>
              <c:f>A!$B$5:$B$7</c:f>
              <c:numCache>
                <c:formatCode>General</c:formatCode>
                <c:ptCount val="3"/>
                <c:pt idx="0">
                  <c:v>134</c:v>
                </c:pt>
                <c:pt idx="1">
                  <c:v>152</c:v>
                </c:pt>
                <c:pt idx="2">
                  <c:v>163</c:v>
                </c:pt>
              </c:numCache>
            </c:numRef>
          </c:yVal>
        </c:ser>
        <c:axId val="54499968"/>
        <c:axId val="188010880"/>
      </c:scatterChart>
      <c:valAx>
        <c:axId val="54499968"/>
        <c:scaling>
          <c:orientation val="minMax"/>
        </c:scaling>
        <c:axPos val="b"/>
        <c:numFmt formatCode="General" sourceLinked="1"/>
        <c:tickLblPos val="nextTo"/>
        <c:crossAx val="188010880"/>
        <c:crosses val="autoZero"/>
        <c:crossBetween val="midCat"/>
      </c:valAx>
      <c:valAx>
        <c:axId val="188010880"/>
        <c:scaling>
          <c:orientation val="minMax"/>
        </c:scaling>
        <c:axPos val="l"/>
        <c:majorGridlines/>
        <c:numFmt formatCode="General" sourceLinked="1"/>
        <c:tickLblPos val="nextTo"/>
        <c:crossAx val="544999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plotArea>
      <c:layout/>
      <c:scatterChart>
        <c:scatterStyle val="lineMarker"/>
        <c:ser>
          <c:idx val="1"/>
          <c:order val="0"/>
          <c:tx>
            <c:strRef>
              <c:f>tetha!$F$4</c:f>
              <c:strCache>
                <c:ptCount val="1"/>
                <c:pt idx="0">
                  <c:v>ln(1/ϴp)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8.9508092738407763E-2"/>
                  <c:y val="-4.8164916885389333E-2"/>
                </c:manualLayout>
              </c:layout>
              <c:numFmt formatCode="#,##0.0000" sourceLinked="0"/>
            </c:trendlineLbl>
          </c:trendline>
          <c:xVal>
            <c:numRef>
              <c:f>tetha!$G$5:$G$10</c:f>
              <c:numCache>
                <c:formatCode>General</c:formatCode>
                <c:ptCount val="6"/>
                <c:pt idx="0">
                  <c:v>3.0945381401825778E-3</c:v>
                </c:pt>
                <c:pt idx="1">
                  <c:v>3.0945381401825778E-3</c:v>
                </c:pt>
                <c:pt idx="2">
                  <c:v>2.9141774734081308E-3</c:v>
                </c:pt>
                <c:pt idx="3">
                  <c:v>2.9141774734081308E-3</c:v>
                </c:pt>
                <c:pt idx="4">
                  <c:v>2.7536830510808208E-3</c:v>
                </c:pt>
                <c:pt idx="5">
                  <c:v>2.7536830510808208E-3</c:v>
                </c:pt>
              </c:numCache>
            </c:numRef>
          </c:xVal>
          <c:yVal>
            <c:numRef>
              <c:f>tetha!$F$5:$F$10</c:f>
              <c:numCache>
                <c:formatCode>General</c:formatCode>
                <c:ptCount val="6"/>
                <c:pt idx="0">
                  <c:v>-8.1605182474775049</c:v>
                </c:pt>
                <c:pt idx="1">
                  <c:v>-8.1605182474775049</c:v>
                </c:pt>
                <c:pt idx="2">
                  <c:v>-5.521460917862246</c:v>
                </c:pt>
                <c:pt idx="3">
                  <c:v>-5.521460917862246</c:v>
                </c:pt>
                <c:pt idx="4">
                  <c:v>-3.4011973816621555</c:v>
                </c:pt>
                <c:pt idx="5">
                  <c:v>-3.4011973816621555</c:v>
                </c:pt>
              </c:numCache>
            </c:numRef>
          </c:yVal>
        </c:ser>
        <c:ser>
          <c:idx val="0"/>
          <c:order val="1"/>
          <c:tx>
            <c:strRef>
              <c:f>tetha!$D$13</c:f>
              <c:strCache>
                <c:ptCount val="1"/>
                <c:pt idx="0">
                  <c:v>0.0258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0.16067716535433069"/>
                  <c:y val="-0.37999453193350846"/>
                </c:manualLayout>
              </c:layout>
              <c:numFmt formatCode="#,##0.000000" sourceLinked="0"/>
            </c:trendlineLbl>
          </c:trendline>
          <c:xVal>
            <c:numRef>
              <c:f>tetha!$C$15:$C$17</c:f>
              <c:numCache>
                <c:formatCode>General</c:formatCode>
                <c:ptCount val="3"/>
                <c:pt idx="0">
                  <c:v>3.0945381401825778E-3</c:v>
                </c:pt>
                <c:pt idx="1">
                  <c:v>2.9141774734081308E-3</c:v>
                </c:pt>
                <c:pt idx="2">
                  <c:v>2.7536830510808208E-3</c:v>
                </c:pt>
              </c:numCache>
            </c:numRef>
          </c:xVal>
          <c:yVal>
            <c:numRef>
              <c:f>tetha!$D$15:$D$17</c:f>
              <c:numCache>
                <c:formatCode>General</c:formatCode>
                <c:ptCount val="3"/>
                <c:pt idx="0">
                  <c:v>-7.3132203870903014</c:v>
                </c:pt>
                <c:pt idx="1">
                  <c:v>-3.8918202981106269</c:v>
                </c:pt>
                <c:pt idx="2">
                  <c:v>-1.3350010667323402</c:v>
                </c:pt>
              </c:numCache>
            </c:numRef>
          </c:yVal>
        </c:ser>
        <c:ser>
          <c:idx val="2"/>
          <c:order val="2"/>
          <c:tx>
            <c:strRef>
              <c:f>tetha!$E$13</c:f>
              <c:strCache>
                <c:ptCount val="1"/>
                <c:pt idx="0">
                  <c:v>0.01548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Eq val="1"/>
            <c:trendlineLbl>
              <c:layout>
                <c:manualLayout>
                  <c:x val="-0.21275809273840776"/>
                  <c:y val="-0.53271617089530443"/>
                </c:manualLayout>
              </c:layout>
              <c:numFmt formatCode="#,##0.000000" sourceLinked="0"/>
            </c:trendlineLbl>
          </c:trendline>
          <c:xVal>
            <c:numRef>
              <c:f>tetha!$C$15:$C$17</c:f>
              <c:numCache>
                <c:formatCode>General</c:formatCode>
                <c:ptCount val="3"/>
                <c:pt idx="0">
                  <c:v>3.0945381401825778E-3</c:v>
                </c:pt>
                <c:pt idx="1">
                  <c:v>2.9141774734081308E-3</c:v>
                </c:pt>
                <c:pt idx="2">
                  <c:v>2.7536830510808208E-3</c:v>
                </c:pt>
              </c:numCache>
            </c:numRef>
          </c:xVal>
          <c:yVal>
            <c:numRef>
              <c:f>tetha!$E$15:$E$17</c:f>
              <c:numCache>
                <c:formatCode>General</c:formatCode>
                <c:ptCount val="3"/>
                <c:pt idx="0">
                  <c:v>-7.7536235465597461</c:v>
                </c:pt>
                <c:pt idx="1">
                  <c:v>-4.4188406077965983</c:v>
                </c:pt>
                <c:pt idx="2">
                  <c:v>-1.8405496333974871</c:v>
                </c:pt>
              </c:numCache>
            </c:numRef>
          </c:yVal>
        </c:ser>
        <c:axId val="199532928"/>
        <c:axId val="199534464"/>
      </c:scatterChart>
      <c:valAx>
        <c:axId val="199532928"/>
        <c:scaling>
          <c:orientation val="minMax"/>
        </c:scaling>
        <c:axPos val="b"/>
        <c:numFmt formatCode="General" sourceLinked="1"/>
        <c:tickLblPos val="nextTo"/>
        <c:crossAx val="199534464"/>
        <c:crosses val="autoZero"/>
        <c:crossBetween val="midCat"/>
      </c:valAx>
      <c:valAx>
        <c:axId val="199534464"/>
        <c:scaling>
          <c:orientation val="minMax"/>
        </c:scaling>
        <c:axPos val="l"/>
        <c:majorGridlines/>
        <c:numFmt formatCode="General" sourceLinked="1"/>
        <c:tickLblPos val="nextTo"/>
        <c:crossAx val="1995329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plotArea>
      <c:layout/>
      <c:scatterChart>
        <c:scatterStyle val="lineMarker"/>
        <c:ser>
          <c:idx val="0"/>
          <c:order val="0"/>
          <c:tx>
            <c:v>tethat i0: 0.0258</c:v>
          </c:tx>
          <c:spPr>
            <a:ln w="28575">
              <a:noFill/>
            </a:ln>
          </c:spPr>
          <c:trendline>
            <c:trendlineType val="exp"/>
            <c:dispEq val="1"/>
            <c:trendlineLbl>
              <c:layout>
                <c:manualLayout>
                  <c:x val="-4.840463692038495E-2"/>
                  <c:y val="-0.24881160688247303"/>
                </c:manualLayout>
              </c:layout>
              <c:numFmt formatCode="General" sourceLinked="0"/>
            </c:trendlineLbl>
          </c:trendline>
          <c:xVal>
            <c:numRef>
              <c:f>(tetha!$C$32,tetha!$C$34,tetha!$C$36)</c:f>
              <c:numCache>
                <c:formatCode>General</c:formatCode>
                <c:ptCount val="3"/>
                <c:pt idx="0">
                  <c:v>323.14999999999998</c:v>
                </c:pt>
                <c:pt idx="1">
                  <c:v>343.15</c:v>
                </c:pt>
                <c:pt idx="2">
                  <c:v>363.15</c:v>
                </c:pt>
              </c:numCache>
            </c:numRef>
          </c:xVal>
          <c:yVal>
            <c:numRef>
              <c:f>(tetha!$D$32,tetha!$D$34,tetha!$D$36)</c:f>
              <c:numCache>
                <c:formatCode>0.00E+00</c:formatCode>
                <c:ptCount val="3"/>
                <c:pt idx="0">
                  <c:v>1500</c:v>
                </c:pt>
                <c:pt idx="1">
                  <c:v>49</c:v>
                </c:pt>
                <c:pt idx="2">
                  <c:v>3.8</c:v>
                </c:pt>
              </c:numCache>
            </c:numRef>
          </c:yVal>
        </c:ser>
        <c:ser>
          <c:idx val="1"/>
          <c:order val="1"/>
          <c:tx>
            <c:v> tethat i0: 0.01548</c:v>
          </c:tx>
          <c:spPr>
            <a:ln w="28575">
              <a:noFill/>
            </a:ln>
          </c:spPr>
          <c:trendline>
            <c:trendlineType val="exp"/>
            <c:dispEq val="1"/>
            <c:trendlineLbl>
              <c:layout>
                <c:manualLayout>
                  <c:x val="-8.4515748031496057E-2"/>
                  <c:y val="-0.44325605132691748"/>
                </c:manualLayout>
              </c:layout>
              <c:numFmt formatCode="General" sourceLinked="0"/>
            </c:trendlineLbl>
          </c:trendline>
          <c:xVal>
            <c:numRef>
              <c:f>(tetha!$C$33,tetha!$C$35,tetha!$C$37)</c:f>
              <c:numCache>
                <c:formatCode>General</c:formatCode>
                <c:ptCount val="3"/>
                <c:pt idx="0">
                  <c:v>323.14999999999998</c:v>
                </c:pt>
                <c:pt idx="1">
                  <c:v>343.15</c:v>
                </c:pt>
                <c:pt idx="2">
                  <c:v>363.15</c:v>
                </c:pt>
              </c:numCache>
            </c:numRef>
          </c:xVal>
          <c:yVal>
            <c:numRef>
              <c:f>(tetha!$D$33,tetha!$D$35,tetha!$D$37)</c:f>
              <c:numCache>
                <c:formatCode>0.00E+00</c:formatCode>
                <c:ptCount val="3"/>
                <c:pt idx="0">
                  <c:v>2330</c:v>
                </c:pt>
                <c:pt idx="1">
                  <c:v>83</c:v>
                </c:pt>
                <c:pt idx="2">
                  <c:v>6.3</c:v>
                </c:pt>
              </c:numCache>
            </c:numRef>
          </c:yVal>
        </c:ser>
        <c:ser>
          <c:idx val="2"/>
          <c:order val="2"/>
          <c:tx>
            <c:v>tethap</c:v>
          </c:tx>
          <c:spPr>
            <a:ln w="28575">
              <a:noFill/>
            </a:ln>
          </c:spPr>
          <c:trendline>
            <c:trendlineType val="exp"/>
            <c:dispEq val="1"/>
            <c:trendlineLbl>
              <c:layout>
                <c:manualLayout>
                  <c:x val="-0.11687839020122484"/>
                  <c:y val="-0.67936716243802853"/>
                </c:manualLayout>
              </c:layout>
              <c:numFmt formatCode="General" sourceLinked="0"/>
            </c:trendlineLbl>
          </c:trendline>
          <c:xVal>
            <c:numRef>
              <c:f>(tetha!$C$32,tetha!$C$34,tetha!$C$36)</c:f>
              <c:numCache>
                <c:formatCode>General</c:formatCode>
                <c:ptCount val="3"/>
                <c:pt idx="0">
                  <c:v>323.14999999999998</c:v>
                </c:pt>
                <c:pt idx="1">
                  <c:v>343.15</c:v>
                </c:pt>
                <c:pt idx="2">
                  <c:v>363.15</c:v>
                </c:pt>
              </c:numCache>
            </c:numRef>
          </c:xVal>
          <c:yVal>
            <c:numRef>
              <c:f>(tetha!$E$32,tetha!$E$34,tetha!$E$36)</c:f>
              <c:numCache>
                <c:formatCode>0.00E+00</c:formatCode>
                <c:ptCount val="3"/>
                <c:pt idx="0">
                  <c:v>3500</c:v>
                </c:pt>
                <c:pt idx="1">
                  <c:v>250</c:v>
                </c:pt>
                <c:pt idx="2">
                  <c:v>30</c:v>
                </c:pt>
              </c:numCache>
            </c:numRef>
          </c:yVal>
        </c:ser>
        <c:axId val="62012032"/>
        <c:axId val="62010112"/>
      </c:scatterChart>
      <c:valAx>
        <c:axId val="62012032"/>
        <c:scaling>
          <c:orientation val="minMax"/>
        </c:scaling>
        <c:axPos val="b"/>
        <c:numFmt formatCode="General" sourceLinked="1"/>
        <c:tickLblPos val="nextTo"/>
        <c:crossAx val="62010112"/>
        <c:crosses val="autoZero"/>
        <c:crossBetween val="midCat"/>
      </c:valAx>
      <c:valAx>
        <c:axId val="62010112"/>
        <c:scaling>
          <c:orientation val="minMax"/>
        </c:scaling>
        <c:axPos val="l"/>
        <c:majorGridlines/>
        <c:numFmt formatCode="0.00E+00" sourceLinked="1"/>
        <c:tickLblPos val="nextTo"/>
        <c:crossAx val="6201203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4166666666666672"/>
          <c:y val="9.4919072615923014E-2"/>
          <c:w val="0.34166666666666667"/>
          <c:h val="0.83793963254593173"/>
        </c:manualLayout>
      </c:layout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layout/>
    </c:title>
    <c:plotArea>
      <c:layout/>
      <c:scatterChart>
        <c:scatterStyle val="lineMarker"/>
        <c:ser>
          <c:idx val="0"/>
          <c:order val="0"/>
          <c:tx>
            <c:v>tethat 50 °C</c:v>
          </c:tx>
          <c:spPr>
            <a:ln w="28575">
              <a:noFill/>
            </a:ln>
          </c:spPr>
          <c:xVal>
            <c:numRef>
              <c:f>(tetha!$B$32,tetha!$B$33)</c:f>
              <c:numCache>
                <c:formatCode>General</c:formatCode>
                <c:ptCount val="2"/>
                <c:pt idx="0">
                  <c:v>2.58E-2</c:v>
                </c:pt>
                <c:pt idx="1">
                  <c:v>1.5480000000000001E-2</c:v>
                </c:pt>
              </c:numCache>
            </c:numRef>
          </c:xVal>
          <c:yVal>
            <c:numRef>
              <c:f>(tetha!$D$32,tetha!$D$33)</c:f>
              <c:numCache>
                <c:formatCode>0.00E+00</c:formatCode>
                <c:ptCount val="2"/>
                <c:pt idx="0">
                  <c:v>1500</c:v>
                </c:pt>
                <c:pt idx="1">
                  <c:v>2330</c:v>
                </c:pt>
              </c:numCache>
            </c:numRef>
          </c:yVal>
        </c:ser>
        <c:axId val="187896576"/>
        <c:axId val="68135552"/>
      </c:scatterChart>
      <c:valAx>
        <c:axId val="187896576"/>
        <c:scaling>
          <c:orientation val="minMax"/>
        </c:scaling>
        <c:axPos val="b"/>
        <c:numFmt formatCode="General" sourceLinked="1"/>
        <c:tickLblPos val="nextTo"/>
        <c:crossAx val="68135552"/>
        <c:crosses val="autoZero"/>
        <c:crossBetween val="midCat"/>
      </c:valAx>
      <c:valAx>
        <c:axId val="68135552"/>
        <c:scaling>
          <c:orientation val="minMax"/>
        </c:scaling>
        <c:axPos val="l"/>
        <c:majorGridlines/>
        <c:numFmt formatCode="0.00E+00" sourceLinked="1"/>
        <c:tickLblPos val="nextTo"/>
        <c:crossAx val="1878965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167640</xdr:rowOff>
    </xdr:from>
    <xdr:to>
      <xdr:col>10</xdr:col>
      <xdr:colOff>624840</xdr:colOff>
      <xdr:row>19</xdr:row>
      <xdr:rowOff>83820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129540</xdr:rowOff>
    </xdr:from>
    <xdr:to>
      <xdr:col>12</xdr:col>
      <xdr:colOff>762000</xdr:colOff>
      <xdr:row>17</xdr:row>
      <xdr:rowOff>129540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213360</xdr:colOff>
      <xdr:row>22</xdr:row>
      <xdr:rowOff>160020</xdr:rowOff>
    </xdr:from>
    <xdr:to>
      <xdr:col>11</xdr:col>
      <xdr:colOff>30480</xdr:colOff>
      <xdr:row>37</xdr:row>
      <xdr:rowOff>137160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441960</xdr:colOff>
      <xdr:row>37</xdr:row>
      <xdr:rowOff>175260</xdr:rowOff>
    </xdr:from>
    <xdr:to>
      <xdr:col>11</xdr:col>
      <xdr:colOff>259080</xdr:colOff>
      <xdr:row>52</xdr:row>
      <xdr:rowOff>175260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12" sqref="B12"/>
    </sheetView>
  </sheetViews>
  <sheetFormatPr baseColWidth="10" defaultRowHeight="14.4"/>
  <sheetData>
    <row r="1" spans="1:5">
      <c r="A1" t="s">
        <v>0</v>
      </c>
      <c r="D1" t="s">
        <v>3</v>
      </c>
      <c r="E1">
        <v>114</v>
      </c>
    </row>
    <row r="2" spans="1:5">
      <c r="A2" t="s">
        <v>1</v>
      </c>
    </row>
    <row r="4" spans="1:5">
      <c r="A4" t="s">
        <v>4</v>
      </c>
      <c r="B4" t="s">
        <v>2</v>
      </c>
      <c r="C4" t="s">
        <v>5</v>
      </c>
    </row>
    <row r="5" spans="1:5">
      <c r="A5">
        <v>50</v>
      </c>
      <c r="B5">
        <v>134</v>
      </c>
      <c r="C5">
        <f>(A5-$E$1)^2</f>
        <v>4096</v>
      </c>
    </row>
    <row r="6" spans="1:5">
      <c r="A6">
        <v>70</v>
      </c>
      <c r="B6">
        <v>152</v>
      </c>
      <c r="C6">
        <f t="shared" ref="C6:C7" si="0">(A6-$E$1)^2</f>
        <v>1936</v>
      </c>
    </row>
    <row r="7" spans="1:5">
      <c r="A7">
        <v>90</v>
      </c>
      <c r="B7">
        <v>163</v>
      </c>
      <c r="C7">
        <f t="shared" si="0"/>
        <v>576</v>
      </c>
    </row>
  </sheetData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tabSelected="1" topLeftCell="A10" workbookViewId="0">
      <selection activeCell="E40" sqref="E40"/>
    </sheetView>
  </sheetViews>
  <sheetFormatPr baseColWidth="10" defaultRowHeight="14.4"/>
  <sheetData>
    <row r="1" spans="1:7">
      <c r="A1" t="s">
        <v>36</v>
      </c>
    </row>
    <row r="2" spans="1:7">
      <c r="A2" t="s">
        <v>6</v>
      </c>
      <c r="E2" s="2" t="s">
        <v>15</v>
      </c>
    </row>
    <row r="4" spans="1:7">
      <c r="A4" t="s">
        <v>10</v>
      </c>
      <c r="B4" t="s">
        <v>9</v>
      </c>
      <c r="C4" t="s">
        <v>7</v>
      </c>
      <c r="D4" t="s">
        <v>11</v>
      </c>
      <c r="E4" t="s">
        <v>12</v>
      </c>
      <c r="F4" t="s">
        <v>13</v>
      </c>
      <c r="G4" t="s">
        <v>14</v>
      </c>
    </row>
    <row r="5" spans="1:7">
      <c r="A5">
        <v>50</v>
      </c>
      <c r="B5">
        <v>2.58E-2</v>
      </c>
      <c r="C5" s="1">
        <v>1500</v>
      </c>
      <c r="D5" s="1">
        <v>3500</v>
      </c>
      <c r="E5">
        <f>LN(1/C5)</f>
        <v>-7.3132203870903014</v>
      </c>
      <c r="F5">
        <f>LN(1/D5)</f>
        <v>-8.1605182474775049</v>
      </c>
      <c r="G5">
        <f>1/(A5+273.15)</f>
        <v>3.0945381401825778E-3</v>
      </c>
    </row>
    <row r="6" spans="1:7">
      <c r="A6">
        <f>A5</f>
        <v>50</v>
      </c>
      <c r="B6">
        <v>1.5480000000000001E-2</v>
      </c>
      <c r="C6" s="1">
        <v>2330</v>
      </c>
      <c r="D6" s="1">
        <f>D5</f>
        <v>3500</v>
      </c>
      <c r="E6">
        <f t="shared" ref="E6:F10" si="0">LN(1/C6)</f>
        <v>-7.7536235465597461</v>
      </c>
      <c r="F6">
        <f t="shared" si="0"/>
        <v>-8.1605182474775049</v>
      </c>
      <c r="G6">
        <f t="shared" ref="G6:G10" si="1">1/(A6+273.15)</f>
        <v>3.0945381401825778E-3</v>
      </c>
    </row>
    <row r="7" spans="1:7">
      <c r="A7">
        <v>70</v>
      </c>
      <c r="B7">
        <v>2.58E-2</v>
      </c>
      <c r="C7" s="1">
        <v>49</v>
      </c>
      <c r="D7" s="1">
        <v>250</v>
      </c>
      <c r="E7">
        <f t="shared" si="0"/>
        <v>-3.8918202981106269</v>
      </c>
      <c r="F7">
        <f t="shared" si="0"/>
        <v>-5.521460917862246</v>
      </c>
      <c r="G7">
        <f t="shared" si="1"/>
        <v>2.9141774734081308E-3</v>
      </c>
    </row>
    <row r="8" spans="1:7">
      <c r="A8">
        <f>A7</f>
        <v>70</v>
      </c>
      <c r="B8">
        <v>1.5480000000000001E-2</v>
      </c>
      <c r="C8" s="1">
        <v>83</v>
      </c>
      <c r="D8" s="1">
        <f>D7</f>
        <v>250</v>
      </c>
      <c r="E8">
        <f t="shared" si="0"/>
        <v>-4.4188406077965983</v>
      </c>
      <c r="F8">
        <f t="shared" si="0"/>
        <v>-5.521460917862246</v>
      </c>
      <c r="G8">
        <f t="shared" si="1"/>
        <v>2.9141774734081308E-3</v>
      </c>
    </row>
    <row r="9" spans="1:7">
      <c r="A9">
        <v>90</v>
      </c>
      <c r="B9">
        <v>2.58E-2</v>
      </c>
      <c r="C9" s="1">
        <v>3.8</v>
      </c>
      <c r="D9" s="1">
        <v>30</v>
      </c>
      <c r="E9">
        <f t="shared" si="0"/>
        <v>-1.3350010667323402</v>
      </c>
      <c r="F9">
        <f t="shared" si="0"/>
        <v>-3.4011973816621555</v>
      </c>
      <c r="G9">
        <f t="shared" si="1"/>
        <v>2.7536830510808208E-3</v>
      </c>
    </row>
    <row r="10" spans="1:7">
      <c r="A10">
        <f>A9</f>
        <v>90</v>
      </c>
      <c r="B10">
        <v>1.5480000000000001E-2</v>
      </c>
      <c r="C10" s="1">
        <v>6.3</v>
      </c>
      <c r="D10" s="1">
        <f>D9</f>
        <v>30</v>
      </c>
      <c r="E10">
        <f t="shared" si="0"/>
        <v>-1.8405496333974871</v>
      </c>
      <c r="F10">
        <f t="shared" si="0"/>
        <v>-3.4011973816621555</v>
      </c>
      <c r="G10">
        <f t="shared" si="1"/>
        <v>2.7536830510808208E-3</v>
      </c>
    </row>
    <row r="13" spans="1:7">
      <c r="C13" t="s">
        <v>9</v>
      </c>
      <c r="D13">
        <v>2.58E-2</v>
      </c>
      <c r="E13">
        <v>1.5480000000000001E-2</v>
      </c>
    </row>
    <row r="14" spans="1:7">
      <c r="C14" t="s">
        <v>10</v>
      </c>
      <c r="D14" t="s">
        <v>12</v>
      </c>
      <c r="E14" t="s">
        <v>13</v>
      </c>
      <c r="F14">
        <f>D13</f>
        <v>2.58E-2</v>
      </c>
    </row>
    <row r="15" spans="1:7">
      <c r="B15">
        <v>50</v>
      </c>
      <c r="C15">
        <f>G5</f>
        <v>3.0945381401825778E-3</v>
      </c>
      <c r="D15">
        <f>E5</f>
        <v>-7.3132203870903014</v>
      </c>
      <c r="E15">
        <f>E6</f>
        <v>-7.7536235465597461</v>
      </c>
      <c r="F15">
        <f>(K25*F14+L25)*C15+F24*F14+G24</f>
        <v>-7.2323013555624271</v>
      </c>
    </row>
    <row r="16" spans="1:7">
      <c r="B16">
        <v>70</v>
      </c>
      <c r="C16">
        <f>G7</f>
        <v>2.9141774734081308E-3</v>
      </c>
      <c r="D16">
        <f>E7</f>
        <v>-3.8918202981106269</v>
      </c>
      <c r="E16">
        <f>E8</f>
        <v>-4.4188406077965983</v>
      </c>
    </row>
    <row r="17" spans="1:13">
      <c r="B17">
        <v>90</v>
      </c>
      <c r="C17">
        <f>G9</f>
        <v>2.7536830510808208E-3</v>
      </c>
      <c r="D17">
        <f>E9</f>
        <v>-1.3350010667323402</v>
      </c>
      <c r="E17">
        <f>E10</f>
        <v>-1.8405496333974871</v>
      </c>
    </row>
    <row r="18" spans="1:13" ht="15" thickBot="1"/>
    <row r="19" spans="1:13" ht="15" thickBot="1">
      <c r="E19" s="4"/>
      <c r="F19" s="5"/>
      <c r="G19" s="5"/>
      <c r="H19" s="5"/>
      <c r="I19" s="5"/>
      <c r="J19" s="5"/>
      <c r="K19" s="5"/>
      <c r="L19" s="5"/>
      <c r="M19" s="6"/>
    </row>
    <row r="20" spans="1:13">
      <c r="E20" s="4" t="s">
        <v>16</v>
      </c>
      <c r="F20" s="5" t="s">
        <v>17</v>
      </c>
      <c r="G20" s="6" t="s">
        <v>19</v>
      </c>
      <c r="H20" s="3"/>
      <c r="I20" s="3"/>
      <c r="J20" s="4" t="s">
        <v>20</v>
      </c>
      <c r="K20" s="5"/>
      <c r="L20" s="6"/>
      <c r="M20" s="8"/>
    </row>
    <row r="21" spans="1:13">
      <c r="E21" s="7">
        <v>1.5480000000000001E-2</v>
      </c>
      <c r="F21" s="15">
        <v>46.066827000000004</v>
      </c>
      <c r="G21" s="8"/>
      <c r="H21" s="3"/>
      <c r="I21" s="3"/>
      <c r="J21" s="7">
        <v>-17371.213014000001</v>
      </c>
      <c r="K21" s="3"/>
      <c r="L21" s="8"/>
      <c r="M21" s="8"/>
    </row>
    <row r="22" spans="1:13">
      <c r="A22">
        <f t="array" ref="A22:B22">LINEST(D15:E15,$D$13:$E$13)</f>
        <v>42.674724754791136</v>
      </c>
      <c r="B22">
        <v>-8.4142282857639135</v>
      </c>
      <c r="E22" s="7">
        <v>2.58E-2</v>
      </c>
      <c r="F22" s="3">
        <v>47.133392999999998</v>
      </c>
      <c r="G22" s="8"/>
      <c r="H22" s="3"/>
      <c r="I22" s="3"/>
      <c r="J22" s="16">
        <v>-17568.274130999998</v>
      </c>
      <c r="K22" s="3"/>
      <c r="L22" s="8"/>
      <c r="M22" s="8"/>
    </row>
    <row r="23" spans="1:13">
      <c r="A23">
        <f t="array" ref="A23:B23">LINEST(D16:E16,$D$13:$E$13)</f>
        <v>51.067859465694887</v>
      </c>
      <c r="B23">
        <v>-5.2093710723255553</v>
      </c>
      <c r="E23" s="7"/>
      <c r="F23" s="3"/>
      <c r="G23" s="8"/>
      <c r="H23" s="3"/>
      <c r="I23" s="3"/>
      <c r="J23" s="7"/>
      <c r="K23" s="3">
        <f>(J21+J22)/2</f>
        <v>-17469.7435725</v>
      </c>
      <c r="L23" s="8"/>
      <c r="M23" s="8"/>
    </row>
    <row r="24" spans="1:13" ht="15" thickBot="1">
      <c r="A24">
        <f t="array" ref="A24:B24">LINEST(D17:E17,$D$13:$E$13)</f>
        <v>48.987264211739031</v>
      </c>
      <c r="B24">
        <v>-2.5988724833952075</v>
      </c>
      <c r="E24" s="9" t="s">
        <v>18</v>
      </c>
      <c r="F24" s="10">
        <f t="array" ref="F24:G24">LINEST(F21:F22,E21:E22)</f>
        <v>103.34941860465064</v>
      </c>
      <c r="G24" s="11">
        <v>44.466978000000012</v>
      </c>
      <c r="H24" s="3"/>
      <c r="I24" s="3"/>
      <c r="J24" s="7"/>
      <c r="K24" s="3"/>
      <c r="L24" s="8"/>
      <c r="M24" s="8"/>
    </row>
    <row r="25" spans="1:13" ht="15" thickBot="1">
      <c r="E25" s="7"/>
      <c r="F25" s="3">
        <v>103.34941860465101</v>
      </c>
      <c r="G25" s="3">
        <v>44.466977999999997</v>
      </c>
      <c r="H25" s="3"/>
      <c r="I25" s="3"/>
      <c r="J25" s="9" t="s">
        <v>18</v>
      </c>
      <c r="K25" s="10">
        <f t="array" ref="K25:L25">LINEST(J21:J22,E21:E22)</f>
        <v>-19095.069476743938</v>
      </c>
      <c r="L25" s="11">
        <v>-17075.621338500005</v>
      </c>
      <c r="M25" s="8"/>
    </row>
    <row r="26" spans="1:13">
      <c r="E26" s="7"/>
      <c r="F26" s="3"/>
      <c r="G26" s="3"/>
      <c r="H26" s="3"/>
      <c r="I26" s="3"/>
      <c r="J26" s="3"/>
      <c r="K26" s="3">
        <v>-19095.069476743938</v>
      </c>
      <c r="L26" s="3">
        <v>-17075.621338500001</v>
      </c>
      <c r="M26" s="8"/>
    </row>
    <row r="27" spans="1:13" ht="15" thickBot="1">
      <c r="E27" s="9"/>
      <c r="F27" s="10"/>
      <c r="G27" s="10" t="s">
        <v>37</v>
      </c>
      <c r="H27" s="10"/>
      <c r="I27" s="10"/>
      <c r="J27" s="10"/>
      <c r="K27" s="10"/>
      <c r="L27" s="10"/>
      <c r="M27" s="11"/>
    </row>
    <row r="31" spans="1:13">
      <c r="A31" t="s">
        <v>10</v>
      </c>
      <c r="B31" t="s">
        <v>9</v>
      </c>
      <c r="C31" t="s">
        <v>8</v>
      </c>
      <c r="D31" t="s">
        <v>7</v>
      </c>
      <c r="E31" t="s">
        <v>11</v>
      </c>
    </row>
    <row r="32" spans="1:13">
      <c r="A32">
        <v>50</v>
      </c>
      <c r="B32">
        <v>2.58E-2</v>
      </c>
      <c r="C32">
        <f>A32+273.15</f>
        <v>323.14999999999998</v>
      </c>
      <c r="D32" s="1">
        <v>1500</v>
      </c>
      <c r="E32" s="1">
        <v>3500</v>
      </c>
    </row>
    <row r="33" spans="1:5">
      <c r="A33">
        <f>A32</f>
        <v>50</v>
      </c>
      <c r="B33">
        <v>1.5480000000000001E-2</v>
      </c>
      <c r="C33">
        <f t="shared" ref="C33:C37" si="2">A33+273.15</f>
        <v>323.14999999999998</v>
      </c>
      <c r="D33" s="1">
        <v>2330</v>
      </c>
      <c r="E33" s="1">
        <f>E32</f>
        <v>3500</v>
      </c>
    </row>
    <row r="34" spans="1:5">
      <c r="A34">
        <v>70</v>
      </c>
      <c r="B34">
        <v>2.58E-2</v>
      </c>
      <c r="C34">
        <f t="shared" si="2"/>
        <v>343.15</v>
      </c>
      <c r="D34" s="1">
        <v>49</v>
      </c>
      <c r="E34" s="1">
        <v>250</v>
      </c>
    </row>
    <row r="35" spans="1:5">
      <c r="A35">
        <f>A34</f>
        <v>70</v>
      </c>
      <c r="B35">
        <v>1.5480000000000001E-2</v>
      </c>
      <c r="C35">
        <f t="shared" si="2"/>
        <v>343.15</v>
      </c>
      <c r="D35" s="1">
        <v>83</v>
      </c>
      <c r="E35" s="1">
        <f>E34</f>
        <v>250</v>
      </c>
    </row>
    <row r="36" spans="1:5">
      <c r="A36">
        <v>90</v>
      </c>
      <c r="B36">
        <v>2.58E-2</v>
      </c>
      <c r="C36">
        <f t="shared" si="2"/>
        <v>363.15</v>
      </c>
      <c r="D36" s="1">
        <v>3.8</v>
      </c>
      <c r="E36" s="1">
        <v>30</v>
      </c>
    </row>
    <row r="37" spans="1:5">
      <c r="A37">
        <f>A36</f>
        <v>90</v>
      </c>
      <c r="B37">
        <v>1.5480000000000001E-2</v>
      </c>
      <c r="C37">
        <f t="shared" si="2"/>
        <v>363.15</v>
      </c>
      <c r="D37" s="1">
        <v>6.3</v>
      </c>
      <c r="E37" s="1">
        <f>E36</f>
        <v>30</v>
      </c>
    </row>
  </sheetData>
  <pageMargins left="0.7" right="0.7" top="0.75" bottom="0.75" header="0.3" footer="0.3"/>
  <pageSetup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R9"/>
  <sheetViews>
    <sheetView topLeftCell="G1" workbookViewId="0">
      <selection activeCell="H12" sqref="H12"/>
    </sheetView>
  </sheetViews>
  <sheetFormatPr baseColWidth="10" defaultRowHeight="14.4"/>
  <cols>
    <col min="12" max="12" width="12" bestFit="1" customWidth="1"/>
  </cols>
  <sheetData>
    <row r="2" spans="1:18">
      <c r="J2" t="s">
        <v>26</v>
      </c>
    </row>
    <row r="3" spans="1:18">
      <c r="A3" t="s">
        <v>25</v>
      </c>
      <c r="B3" t="s">
        <v>10</v>
      </c>
      <c r="C3" t="s">
        <v>8</v>
      </c>
      <c r="D3" t="s">
        <v>35</v>
      </c>
      <c r="E3" t="s">
        <v>21</v>
      </c>
      <c r="F3" t="s">
        <v>22</v>
      </c>
      <c r="G3" t="s">
        <v>23</v>
      </c>
      <c r="H3" t="s">
        <v>24</v>
      </c>
      <c r="I3" t="s">
        <v>27</v>
      </c>
      <c r="J3" t="s">
        <v>2</v>
      </c>
      <c r="K3" t="s">
        <v>28</v>
      </c>
      <c r="L3" s="12" t="s">
        <v>7</v>
      </c>
      <c r="M3" s="12" t="s">
        <v>11</v>
      </c>
      <c r="N3" s="12" t="s">
        <v>31</v>
      </c>
      <c r="O3" s="12" t="s">
        <v>33</v>
      </c>
      <c r="P3" s="12" t="s">
        <v>32</v>
      </c>
      <c r="Q3" s="12" t="s">
        <v>30</v>
      </c>
      <c r="R3" s="12" t="s">
        <v>34</v>
      </c>
    </row>
    <row r="4" spans="1:18">
      <c r="A4">
        <v>1.584E-2</v>
      </c>
      <c r="B4">
        <v>50</v>
      </c>
      <c r="C4">
        <f>B4+273.15</f>
        <v>323.14999999999998</v>
      </c>
      <c r="D4">
        <f>63200000000000000*EXP(-15430/C4)</f>
        <v>1.1580036892453073E-4</v>
      </c>
      <c r="E4">
        <f>5880000000*EXP(-701/(1.987*C4))</f>
        <v>1973532110.0262163</v>
      </c>
      <c r="F4">
        <f>29500000*EXP(-4353/(1.987*C4))</f>
        <v>33542.646159442622</v>
      </c>
      <c r="G4">
        <v>1.2</v>
      </c>
      <c r="H4">
        <f>0.973-0.001164*(C4-273)</f>
        <v>0.91462540000000003</v>
      </c>
      <c r="I4">
        <v>114</v>
      </c>
      <c r="J4">
        <f xml:space="preserve"> (-0.008247 *(B4 -I4)^2+ 167.832701)/1000</f>
        <v>0.13405298899999996</v>
      </c>
      <c r="K4">
        <v>0.03</v>
      </c>
      <c r="L4">
        <f>EXP(17469.5 * (1/C4)*-A4*103.2945 - 44.468)</f>
        <v>1.877094467373535E-58</v>
      </c>
    </row>
    <row r="6" spans="1:18">
      <c r="A6" t="s">
        <v>29</v>
      </c>
    </row>
    <row r="7" spans="1:18">
      <c r="A7">
        <v>1.584E-2</v>
      </c>
      <c r="B7">
        <v>50</v>
      </c>
      <c r="C7">
        <f>B7+273.15</f>
        <v>323.14999999999998</v>
      </c>
      <c r="D7">
        <f>63200000000000000*EXP(-15430/C7)</f>
        <v>1.1580036892453073E-4</v>
      </c>
      <c r="E7">
        <f>5880000000*EXP(-701/(1.987*C7))</f>
        <v>1973532110.0262163</v>
      </c>
      <c r="F7">
        <f>29500000*EXP(-4353/(1.987*C7))</f>
        <v>33542.646159442622</v>
      </c>
      <c r="G7">
        <v>1.2</v>
      </c>
      <c r="H7">
        <f>0.973-0.001164*(C7-273)</f>
        <v>0.91462540000000003</v>
      </c>
      <c r="I7">
        <v>114</v>
      </c>
      <c r="J7">
        <v>0.13400000000000001</v>
      </c>
      <c r="K7">
        <v>0.03</v>
      </c>
      <c r="L7" s="1">
        <v>2330</v>
      </c>
      <c r="M7" s="1">
        <v>3500</v>
      </c>
      <c r="N7" s="1">
        <f>(H7-G7)/G7</f>
        <v>-0.2378121666666666</v>
      </c>
      <c r="O7" s="1">
        <v>0.1</v>
      </c>
      <c r="P7" s="1">
        <f>(1-O7)/(1+N7*O7)</f>
        <v>0.92192448595069887</v>
      </c>
      <c r="Q7">
        <f>((1/E7)+(L7*0.0001/EXP(2.3*P7/(J7+K7*P7))))^-1</f>
        <v>2131635.1303998325</v>
      </c>
      <c r="R7">
        <f>((1/F7)+ M7*0.0001/EXP(2.3*P7/(J7+K7*P7)))^-1</f>
        <v>32768.91637503024</v>
      </c>
    </row>
    <row r="8" spans="1:18" s="13" customFormat="1">
      <c r="A8" s="13">
        <v>1.584E-2</v>
      </c>
      <c r="B8" s="13">
        <v>50</v>
      </c>
      <c r="C8" s="13">
        <v>323.14999999999998</v>
      </c>
      <c r="D8" s="13">
        <v>1.15800368924531E-4</v>
      </c>
      <c r="E8" s="13">
        <v>1973532110.0262201</v>
      </c>
      <c r="F8" s="13">
        <v>33542.6461594426</v>
      </c>
      <c r="G8" s="13">
        <v>1.2</v>
      </c>
      <c r="H8" s="13">
        <v>0.91462540000000003</v>
      </c>
      <c r="I8" s="13">
        <v>114</v>
      </c>
      <c r="J8" s="13">
        <v>0.13400000000000001</v>
      </c>
      <c r="K8" s="13">
        <v>0.03</v>
      </c>
      <c r="L8" s="13">
        <v>2330</v>
      </c>
      <c r="M8" s="13">
        <v>3500</v>
      </c>
      <c r="N8" s="14">
        <v>-0.2378121666666666</v>
      </c>
      <c r="O8" s="14">
        <v>0.1</v>
      </c>
      <c r="P8" s="14">
        <v>0.92192448595069898</v>
      </c>
      <c r="Q8" s="13">
        <v>2131635.1303998302</v>
      </c>
      <c r="R8" s="13">
        <v>32768.916375030203</v>
      </c>
    </row>
    <row r="9" spans="1:18">
      <c r="A9">
        <v>1.584E-2</v>
      </c>
      <c r="B9">
        <v>70</v>
      </c>
      <c r="C9">
        <f>B9+273.15</f>
        <v>343.15</v>
      </c>
      <c r="D9">
        <f>63200000000000000*EXP(-15430/C9)</f>
        <v>1.872131385881226E-3</v>
      </c>
      <c r="E9">
        <f>5880000000*EXP(-701/(1.987*C9))</f>
        <v>2103189275.6313438</v>
      </c>
      <c r="F9">
        <f>29500000*EXP(-4353/(1.987*C9))</f>
        <v>49796.312820974337</v>
      </c>
      <c r="G9">
        <v>1.2</v>
      </c>
      <c r="H9">
        <f>0.973-0.001164*(C9-273)</f>
        <v>0.89134539999999995</v>
      </c>
      <c r="I9">
        <v>114</v>
      </c>
      <c r="J9">
        <v>0.13400000000000001</v>
      </c>
      <c r="K9">
        <v>0.03</v>
      </c>
      <c r="L9" s="1">
        <v>2330</v>
      </c>
      <c r="M9" s="1">
        <v>250</v>
      </c>
      <c r="N9" s="1"/>
      <c r="O9" s="1"/>
      <c r="P9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</vt:lpstr>
      <vt:lpstr>tetha</vt:lpstr>
      <vt:lpstr>kp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Chilpayate</dc:creator>
  <cp:lastModifiedBy>Chilpayate</cp:lastModifiedBy>
  <cp:lastPrinted>2012-11-26T04:29:10Z</cp:lastPrinted>
  <dcterms:created xsi:type="dcterms:W3CDTF">2012-11-24T06:06:49Z</dcterms:created>
  <dcterms:modified xsi:type="dcterms:W3CDTF">2012-11-26T05:13:39Z</dcterms:modified>
</cp:coreProperties>
</file>