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\OneDrive - Hexagon\Desktop\Projetos\Pessoal\binary_options_bot\"/>
    </mc:Choice>
  </mc:AlternateContent>
  <xr:revisionPtr revIDLastSave="0" documentId="13_ncr:1_{D3905122-D3CB-4B09-8B8C-F99111777764}" xr6:coauthVersionLast="47" xr6:coauthVersionMax="47" xr10:uidLastSave="{00000000-0000-0000-0000-000000000000}"/>
  <bookViews>
    <workbookView xWindow="-120" yWindow="-120" windowWidth="27960" windowHeight="16440" activeTab="3" xr2:uid="{DF8386FE-B955-44B5-8881-F5D61F83ED09}"/>
  </bookViews>
  <sheets>
    <sheet name="Relatório de Respostas 1" sheetId="2" r:id="rId1"/>
    <sheet name="Relatório de Sensibilidade 1" sheetId="3" r:id="rId2"/>
    <sheet name="Relatório de Limites 1" sheetId="4" r:id="rId3"/>
    <sheet name="Planilha1" sheetId="1" r:id="rId4"/>
  </sheets>
  <definedNames>
    <definedName name="solver_adj" localSheetId="3" hidden="1">Planilha1!$B$2,Planilha1!$B$3,Planilha1!$B$1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Planilha1!$B$1</definedName>
    <definedName name="solver_lhs2" localSheetId="3" hidden="1">Planilha1!$B$13</definedName>
    <definedName name="solver_lhs3" localSheetId="3" hidden="1">Planilha1!$B$18</definedName>
    <definedName name="solver_lhs4" localSheetId="3" hidden="1">Planilha1!$B$20</definedName>
    <definedName name="solver_lhs5" localSheetId="3" hidden="1">Planilha1!$B$2</definedName>
    <definedName name="solver_lhs6" localSheetId="3" hidden="1">Planilha1!$B$3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6</definedName>
    <definedName name="solver_nwt" localSheetId="3" hidden="1">1</definedName>
    <definedName name="solver_opt" localSheetId="3" hidden="1">Planilha1!$B$20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3</definedName>
    <definedName name="solver_rel4" localSheetId="3" hidden="1">3</definedName>
    <definedName name="solver_rel5" localSheetId="3" hidden="1">3</definedName>
    <definedName name="solver_rel6" localSheetId="3" hidden="1">3</definedName>
    <definedName name="solver_rhs1" localSheetId="3" hidden="1">2</definedName>
    <definedName name="solver_rhs2" localSheetId="3" hidden="1">0.000001</definedName>
    <definedName name="solver_rhs3" localSheetId="3" hidden="1">0</definedName>
    <definedName name="solver_rhs4" localSheetId="3" hidden="1">0</definedName>
    <definedName name="solver_rhs5" localSheetId="3" hidden="1">1</definedName>
    <definedName name="solver_rhs6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G3" i="1"/>
  <c r="G4" i="1"/>
  <c r="G5" i="1"/>
  <c r="G6" i="1" s="1"/>
  <c r="G7" i="1" s="1"/>
  <c r="F2" i="1"/>
  <c r="F3" i="1"/>
  <c r="F4" i="1"/>
  <c r="F5" i="1"/>
  <c r="F6" i="1"/>
  <c r="F7" i="1"/>
  <c r="F8" i="1"/>
  <c r="F9" i="1"/>
  <c r="F10" i="1"/>
  <c r="F11" i="1"/>
  <c r="F12" i="1"/>
  <c r="E2" i="1"/>
  <c r="E3" i="1"/>
  <c r="E4" i="1"/>
  <c r="E5" i="1"/>
  <c r="E6" i="1"/>
  <c r="E7" i="1"/>
  <c r="E8" i="1"/>
  <c r="E9" i="1"/>
  <c r="E10" i="1"/>
  <c r="E11" i="1"/>
  <c r="E12" i="1"/>
  <c r="H2" i="1" l="1"/>
  <c r="H3" i="1" s="1"/>
  <c r="G2" i="1"/>
  <c r="I2" i="1" s="1"/>
  <c r="H4" i="1" l="1"/>
  <c r="H5" i="1" s="1"/>
  <c r="H6" i="1" s="1"/>
  <c r="H7" i="1" s="1"/>
  <c r="H8" i="1" s="1"/>
  <c r="H9" i="1" s="1"/>
  <c r="H10" i="1" s="1"/>
  <c r="H11" i="1" s="1"/>
  <c r="H12" i="1" s="1"/>
  <c r="J2" i="1"/>
  <c r="K2" i="1" s="1"/>
  <c r="N2" i="1" s="1"/>
  <c r="M2" i="1" l="1"/>
  <c r="P2" i="1" s="1"/>
  <c r="L2" i="1"/>
  <c r="O2" i="1" s="1"/>
  <c r="I3" i="1"/>
  <c r="J3" i="1"/>
  <c r="G8" i="1" l="1"/>
  <c r="G9" i="1" s="1"/>
  <c r="G10" i="1" s="1"/>
  <c r="G11" i="1" s="1"/>
  <c r="G12" i="1" s="1"/>
  <c r="I4" i="1"/>
  <c r="K3" i="1"/>
  <c r="N3" i="1" s="1"/>
  <c r="J4" i="1"/>
  <c r="M3" i="1" l="1"/>
  <c r="P3" i="1" s="1"/>
  <c r="L3" i="1"/>
  <c r="O3" i="1" s="1"/>
  <c r="K4" i="1"/>
  <c r="N4" i="1" s="1"/>
  <c r="I5" i="1"/>
  <c r="J5" i="1"/>
  <c r="L4" i="1" l="1"/>
  <c r="O4" i="1" s="1"/>
  <c r="M4" i="1"/>
  <c r="P4" i="1" s="1"/>
  <c r="K5" i="1"/>
  <c r="N5" i="1" s="1"/>
  <c r="I6" i="1"/>
  <c r="I7" i="1" s="1"/>
  <c r="J6" i="1"/>
  <c r="M5" i="1" l="1"/>
  <c r="P5" i="1" s="1"/>
  <c r="L5" i="1"/>
  <c r="O5" i="1" s="1"/>
  <c r="K6" i="1"/>
  <c r="N6" i="1" s="1"/>
  <c r="J7" i="1"/>
  <c r="K7" i="1" l="1"/>
  <c r="I8" i="1"/>
  <c r="I9" i="1" s="1"/>
  <c r="M6" i="1"/>
  <c r="P6" i="1" s="1"/>
  <c r="L6" i="1"/>
  <c r="O6" i="1" s="1"/>
  <c r="J8" i="1"/>
  <c r="L7" i="1" l="1"/>
  <c r="O7" i="1" s="1"/>
  <c r="N7" i="1"/>
  <c r="M7" i="1"/>
  <c r="P7" i="1" s="1"/>
  <c r="K8" i="1"/>
  <c r="I10" i="1"/>
  <c r="J9" i="1"/>
  <c r="K9" i="1" s="1"/>
  <c r="N9" i="1" s="1"/>
  <c r="L8" i="1" l="1"/>
  <c r="O8" i="1" s="1"/>
  <c r="N8" i="1"/>
  <c r="M8" i="1"/>
  <c r="P8" i="1" s="1"/>
  <c r="L9" i="1"/>
  <c r="O9" i="1" s="1"/>
  <c r="M9" i="1"/>
  <c r="P9" i="1" s="1"/>
  <c r="I11" i="1"/>
  <c r="J10" i="1"/>
  <c r="K10" i="1" s="1"/>
  <c r="N10" i="1" s="1"/>
  <c r="M10" i="1" l="1"/>
  <c r="P10" i="1" s="1"/>
  <c r="L10" i="1"/>
  <c r="O10" i="1" s="1"/>
  <c r="I12" i="1"/>
  <c r="J11" i="1"/>
  <c r="K11" i="1" s="1"/>
  <c r="N11" i="1" s="1"/>
  <c r="L11" i="1" l="1"/>
  <c r="O11" i="1" s="1"/>
  <c r="M11" i="1"/>
  <c r="P11" i="1" s="1"/>
  <c r="J12" i="1"/>
  <c r="K12" i="1" s="1"/>
  <c r="N12" i="1" s="1"/>
  <c r="L12" i="1" l="1"/>
  <c r="O12" i="1" s="1"/>
  <c r="M12" i="1"/>
  <c r="P12" i="1" s="1"/>
  <c r="B9" i="1" l="1"/>
  <c r="B11" i="1" s="1"/>
  <c r="B17" i="1" l="1"/>
  <c r="B10" i="1"/>
  <c r="B19" i="1" l="1"/>
  <c r="B18" i="1"/>
  <c r="B12" i="1"/>
  <c r="B13" i="1" s="1"/>
  <c r="B20" i="1" l="1"/>
</calcChain>
</file>

<file path=xl/sharedStrings.xml><?xml version="1.0" encoding="utf-8"?>
<sst xmlns="http://schemas.openxmlformats.org/spreadsheetml/2006/main" count="133" uniqueCount="76">
  <si>
    <t>n</t>
  </si>
  <si>
    <t>Valor</t>
  </si>
  <si>
    <t>Retorno</t>
  </si>
  <si>
    <t>Custo Total</t>
  </si>
  <si>
    <t>Investimento</t>
  </si>
  <si>
    <t>Aposta Inicial</t>
  </si>
  <si>
    <t>taxa Mgale</t>
  </si>
  <si>
    <t>Líquido</t>
  </si>
  <si>
    <t>Taxa erro</t>
  </si>
  <si>
    <t>Crescimento</t>
  </si>
  <si>
    <t>esperanca_liq</t>
  </si>
  <si>
    <t>risco</t>
  </si>
  <si>
    <t>Negativos</t>
  </si>
  <si>
    <t>Positivos</t>
  </si>
  <si>
    <t>n_erros</t>
  </si>
  <si>
    <t>Líquido prob</t>
  </si>
  <si>
    <t>Negativos prob</t>
  </si>
  <si>
    <t>Positivos prob</t>
  </si>
  <si>
    <t>risco_stop_loss</t>
  </si>
  <si>
    <t>n_stops</t>
  </si>
  <si>
    <t>Microsoft Excel 16.0 Relatório de Respostas</t>
  </si>
  <si>
    <t>Planilha: [martingale.xlsx]Planilha1</t>
  </si>
  <si>
    <t>Relatório Criado: 03/11/2022 15:48:07</t>
  </si>
  <si>
    <t>Resultado: O Solver fez uma convergência para a solução atual. Todas as Restrições foram satisfeitas.</t>
  </si>
  <si>
    <t>Mecanismo do Solver</t>
  </si>
  <si>
    <t>Mecanismo: GRG Não Linear</t>
  </si>
  <si>
    <t>Tempo da Solução: 5.266 Segundos.</t>
  </si>
  <si>
    <t>Iterações: 12 Subproblemas: 0</t>
  </si>
  <si>
    <t>Opções do Solver</t>
  </si>
  <si>
    <t>Tempo Máx. Ilimitado,  Iterações Ilimitado, Precision 0.000001, Usar Escala Automática</t>
  </si>
  <si>
    <t xml:space="preserve"> Convergência 0.0001, Tamanho da População 100, Propagação Aleatória 0, Encaminhar Derivativos, Limites Necessários</t>
  </si>
  <si>
    <t>Subproblemas Máx. Ilimitado, Soluç. Máx. Núm. Inteiro Ilimitado, Tolerância de Número Inteiro 1%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</si>
  <si>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</si>
  <si>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</si>
  <si>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</si>
  <si>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</si>
  <si>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</si>
  <si>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</si>
  <si>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</si>
  <si>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</si>
  <si>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</si>
  <si>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</si>
  <si>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</si>
  <si>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</si>
  <si>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$B$17</t>
  </si>
  <si>
    <t>$B$3</t>
  </si>
  <si>
    <t>Conting.</t>
  </si>
  <si>
    <t>$B$5</t>
  </si>
  <si>
    <t>$B$1</t>
  </si>
  <si>
    <t>$B$1&gt;=1</t>
  </si>
  <si>
    <t>Associação</t>
  </si>
  <si>
    <t>$B$3&gt;=1</t>
  </si>
  <si>
    <t>Não-associação</t>
  </si>
  <si>
    <t>$B$5&gt;=1</t>
  </si>
  <si>
    <t>Microsoft Excel 16.0 Relatório de Sensibilidade</t>
  </si>
  <si>
    <t>Final</t>
  </si>
  <si>
    <t>Reduzido</t>
  </si>
  <si>
    <t>Gradiente</t>
  </si>
  <si>
    <t>NENHUM</t>
  </si>
  <si>
    <t>Microsoft Excel 16.0 Relatório de Limites</t>
  </si>
  <si>
    <t>Objetivo</t>
  </si>
  <si>
    <t>Variável</t>
  </si>
  <si>
    <t>Inferior</t>
  </si>
  <si>
    <t>Limite</t>
  </si>
  <si>
    <t>Resultado</t>
  </si>
  <si>
    <t>Superior</t>
  </si>
  <si>
    <t>#N/D</t>
  </si>
  <si>
    <t>prob_loss</t>
  </si>
  <si>
    <t>acerto</t>
  </si>
  <si>
    <t>Chance_falha</t>
  </si>
  <si>
    <t>Chance_acerto</t>
  </si>
  <si>
    <t>martingale_base</t>
  </si>
  <si>
    <t>bet_money_base</t>
  </si>
  <si>
    <t>mgale_growth</t>
  </si>
  <si>
    <t>stop_loss_n</t>
  </si>
  <si>
    <t>chance_mega_sena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</si>
</sst>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%"/>
    <numFmt numFmtId="165" formatCode="_-* #,##0_-;\-* #,##0_-;_-* &quot;-&quot;??_-;_-@_-"/>
    <numFmt numFmtId="166" formatCode="_-* #,##0.000_-;\-* #,##0.000_-;_-* &quot;-&quot;???_-;_-@_-"/>
    <numFmt numFmtId="167" formatCode="0.00000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1" applyFont="1"/>
    <xf numFmtId="164" fontId="0" fillId="0" borderId="0" xfId="2" applyNumberFormat="1" applyFont="1"/>
    <xf numFmtId="43" fontId="0" fillId="0" borderId="0" xfId="0" applyNumberFormat="1"/>
    <xf numFmtId="165" fontId="0" fillId="0" borderId="0" xfId="1" applyNumberFormat="1" applyFont="1"/>
    <xf numFmtId="0" fontId="2" fillId="0" borderId="0" xfId="0" applyFont="1"/>
    <xf numFmtId="10" fontId="2" fillId="0" borderId="0" xfId="2" applyNumberFormat="1" applyFont="1"/>
    <xf numFmtId="166" fontId="0" fillId="0" borderId="0" xfId="0" applyNumberFormat="1"/>
    <xf numFmtId="166" fontId="0" fillId="0" borderId="0" xfId="0" applyNumberFormat="1" applyFont="1"/>
    <xf numFmtId="165" fontId="0" fillId="0" borderId="0" xfId="0" applyNumberFormat="1"/>
    <xf numFmtId="43" fontId="3" fillId="0" borderId="0" xfId="0" applyNumberFormat="1" applyFont="1"/>
    <xf numFmtId="167" fontId="2" fillId="0" borderId="0" xfId="2" applyNumberFormat="1" applyFont="1"/>
    <xf numFmtId="0" fontId="4" fillId="0" borderId="0" xfId="0" applyFo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43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0" xfId="0" applyFont="1"/>
    <xf numFmtId="43" fontId="4" fillId="0" borderId="0" xfId="0" applyNumberFormat="1" applyFont="1" applyAlignment="1">
      <alignment horizontal="left" vertical="top"/>
    </xf>
    <xf numFmtId="43" fontId="4" fillId="0" borderId="0" xfId="0" applyNumberFormat="1" applyFont="1"/>
    <xf numFmtId="0" fontId="0" fillId="2" borderId="0" xfId="0" applyFill="1"/>
    <xf numFmtId="0" fontId="0" fillId="0" borderId="0" xfId="0" applyFont="1"/>
    <xf numFmtId="165" fontId="0" fillId="2" borderId="0" xfId="0" applyNumberFormat="1" applyFont="1" applyFill="1"/>
    <xf numFmtId="164" fontId="6" fillId="0" borderId="0" xfId="2" applyNumberFormat="1" applyFont="1"/>
    <xf numFmtId="164" fontId="0" fillId="2" borderId="0" xfId="2" applyNumberFormat="1" applyFont="1" applyFill="1"/>
    <xf numFmtId="43" fontId="0" fillId="2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AB9-5B11-4A75-9BBE-19C549EF7B4F}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13.42578125" bestFit="1" customWidth="1"/>
    <col min="4" max="4" width="14.42578125" bestFit="1" customWidth="1"/>
    <col min="5" max="5" width="12" bestFit="1" customWidth="1"/>
    <col min="6" max="6" width="14.85546875" bestFit="1" customWidth="1"/>
    <col min="7" max="7" width="17.5703125" bestFit="1" customWidth="1"/>
  </cols>
  <sheetData>
    <row r="1" spans="1:5" x14ac:dyDescent="0.25">
      <c r="A1" s="12" t="s">
        <v>20</v>
      </c>
    </row>
    <row r="2" spans="1:5" x14ac:dyDescent="0.25">
      <c r="A2" s="12" t="s">
        <v>21</v>
      </c>
    </row>
    <row r="3" spans="1:5" x14ac:dyDescent="0.25">
      <c r="A3" s="12" t="s">
        <v>22</v>
      </c>
    </row>
    <row r="4" spans="1:5" x14ac:dyDescent="0.25">
      <c r="A4" s="12" t="s">
        <v>23</v>
      </c>
    </row>
    <row r="5" spans="1:5" x14ac:dyDescent="0.25">
      <c r="A5" s="12" t="s">
        <v>24</v>
      </c>
    </row>
    <row r="6" spans="1:5" x14ac:dyDescent="0.25">
      <c r="A6" s="12"/>
      <c r="B6" t="s">
        <v>25</v>
      </c>
    </row>
    <row r="7" spans="1:5" x14ac:dyDescent="0.25">
      <c r="A7" s="12"/>
      <c r="B7" t="s">
        <v>26</v>
      </c>
    </row>
    <row r="8" spans="1:5" x14ac:dyDescent="0.25">
      <c r="A8" s="12"/>
      <c r="B8" t="s">
        <v>27</v>
      </c>
    </row>
    <row r="9" spans="1:5" x14ac:dyDescent="0.25">
      <c r="A9" s="12" t="s">
        <v>28</v>
      </c>
    </row>
    <row r="10" spans="1:5" x14ac:dyDescent="0.25">
      <c r="B10" t="s">
        <v>29</v>
      </c>
    </row>
    <row r="11" spans="1:5" x14ac:dyDescent="0.25">
      <c r="B11" t="s">
        <v>30</v>
      </c>
    </row>
    <row r="12" spans="1:5" x14ac:dyDescent="0.25">
      <c r="B12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14" t="s">
        <v>33</v>
      </c>
      <c r="C15" s="14" t="s">
        <v>34</v>
      </c>
      <c r="D15" s="14" t="s">
        <v>35</v>
      </c>
      <c r="E15" s="14" t="s">
        <v>36</v>
      </c>
    </row>
    <row r="16" spans="1:5" ht="15.75" thickBot="1" x14ac:dyDescent="0.3">
      <c r="B16" s="13" t="s">
        <v>44</v>
      </c>
      <c r="C16" s="13" t="s">
        <v>10</v>
      </c>
      <c r="D16" s="16">
        <v>-0.22354514063595488</v>
      </c>
      <c r="E16" s="16">
        <v>-0.19584631259433349</v>
      </c>
    </row>
    <row r="19" spans="1:7" ht="15.75" thickBot="1" x14ac:dyDescent="0.3">
      <c r="A19" t="s">
        <v>37</v>
      </c>
    </row>
    <row r="20" spans="1:7" ht="15.75" thickBot="1" x14ac:dyDescent="0.3">
      <c r="B20" s="14" t="s">
        <v>33</v>
      </c>
      <c r="C20" s="14" t="s">
        <v>34</v>
      </c>
      <c r="D20" s="14" t="s">
        <v>35</v>
      </c>
      <c r="E20" s="14" t="s">
        <v>36</v>
      </c>
      <c r="F20" s="14" t="s">
        <v>38</v>
      </c>
    </row>
    <row r="21" spans="1:7" x14ac:dyDescent="0.25">
      <c r="B21" s="15" t="s">
        <v>45</v>
      </c>
      <c r="C21" s="15" t="s">
        <v>6</v>
      </c>
      <c r="D21" s="17">
        <v>1.1991737842627399</v>
      </c>
      <c r="E21" s="17">
        <v>1.1476423231651662</v>
      </c>
      <c r="F21" s="15" t="s">
        <v>46</v>
      </c>
    </row>
    <row r="22" spans="1:7" x14ac:dyDescent="0.25">
      <c r="B22" s="15" t="s">
        <v>47</v>
      </c>
      <c r="C22" s="15" t="s">
        <v>9</v>
      </c>
      <c r="D22" s="17">
        <v>1.4093335421565201</v>
      </c>
      <c r="E22" s="17">
        <v>1.4394241687204672</v>
      </c>
      <c r="F22" s="15" t="s">
        <v>46</v>
      </c>
    </row>
    <row r="23" spans="1:7" ht="15.75" thickBot="1" x14ac:dyDescent="0.3">
      <c r="B23" s="13" t="s">
        <v>48</v>
      </c>
      <c r="C23" s="13" t="s">
        <v>5</v>
      </c>
      <c r="D23" s="18">
        <v>1.1000000000000001</v>
      </c>
      <c r="E23" s="18">
        <v>1</v>
      </c>
      <c r="F23" s="13" t="s">
        <v>46</v>
      </c>
    </row>
    <row r="26" spans="1:7" ht="15.75" thickBot="1" x14ac:dyDescent="0.3">
      <c r="A26" t="s">
        <v>39</v>
      </c>
    </row>
    <row r="27" spans="1:7" ht="15.75" thickBot="1" x14ac:dyDescent="0.3">
      <c r="B27" s="14" t="s">
        <v>33</v>
      </c>
      <c r="C27" s="14" t="s">
        <v>34</v>
      </c>
      <c r="D27" s="14" t="s">
        <v>40</v>
      </c>
      <c r="E27" s="14" t="s">
        <v>41</v>
      </c>
      <c r="F27" s="14" t="s">
        <v>42</v>
      </c>
      <c r="G27" s="14" t="s">
        <v>43</v>
      </c>
    </row>
    <row r="28" spans="1:7" x14ac:dyDescent="0.25">
      <c r="B28" s="15" t="s">
        <v>48</v>
      </c>
      <c r="C28" s="15" t="s">
        <v>5</v>
      </c>
      <c r="D28" s="17">
        <v>1</v>
      </c>
      <c r="E28" s="15" t="s">
        <v>49</v>
      </c>
      <c r="F28" s="15" t="s">
        <v>50</v>
      </c>
      <c r="G28" s="17">
        <v>0</v>
      </c>
    </row>
    <row r="29" spans="1:7" x14ac:dyDescent="0.25">
      <c r="B29" s="15" t="s">
        <v>45</v>
      </c>
      <c r="C29" s="15" t="s">
        <v>6</v>
      </c>
      <c r="D29" s="17">
        <v>1.1476423231651662</v>
      </c>
      <c r="E29" s="15" t="s">
        <v>51</v>
      </c>
      <c r="F29" s="15" t="s">
        <v>52</v>
      </c>
      <c r="G29" s="17">
        <v>0.14764232316516623</v>
      </c>
    </row>
    <row r="30" spans="1:7" ht="15.75" thickBot="1" x14ac:dyDescent="0.3">
      <c r="B30" s="13" t="s">
        <v>47</v>
      </c>
      <c r="C30" s="13" t="s">
        <v>9</v>
      </c>
      <c r="D30" s="18">
        <v>1.4394241687204672</v>
      </c>
      <c r="E30" s="13" t="s">
        <v>53</v>
      </c>
      <c r="F30" s="13" t="s">
        <v>52</v>
      </c>
      <c r="G30" s="18">
        <v>0.43942416872046719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31B5-FB37-4A0D-B97B-2FDC3C47E1E9}">
  <dimension ref="A1:E14"/>
  <sheetViews>
    <sheetView showGridLines="0" workbookViewId="0"/>
  </sheetViews>
  <sheetFormatPr defaultRowHeight="15" x14ac:dyDescent="0.25"/>
  <cols>
    <col min="1" max="1" width="2.28515625" customWidth="1"/>
    <col min="2" max="2" width="9.140625" bestFit="1" customWidth="1"/>
    <col min="3" max="3" width="12.85546875" bestFit="1" customWidth="1"/>
    <col min="4" max="4" width="12" bestFit="1" customWidth="1"/>
    <col min="5" max="5" width="12.7109375" bestFit="1" customWidth="1"/>
  </cols>
  <sheetData>
    <row r="1" spans="1:5" x14ac:dyDescent="0.25">
      <c r="A1" s="12" t="s">
        <v>54</v>
      </c>
    </row>
    <row r="2" spans="1:5" x14ac:dyDescent="0.25">
      <c r="A2" s="12" t="s">
        <v>21</v>
      </c>
    </row>
    <row r="3" spans="1:5" x14ac:dyDescent="0.25">
      <c r="A3" s="12" t="s">
        <v>22</v>
      </c>
    </row>
    <row r="6" spans="1:5" ht="15.75" thickBot="1" x14ac:dyDescent="0.3">
      <c r="A6" t="s">
        <v>37</v>
      </c>
    </row>
    <row r="7" spans="1:5" x14ac:dyDescent="0.25">
      <c r="B7" s="19"/>
      <c r="C7" s="19"/>
      <c r="D7" s="19" t="s">
        <v>55</v>
      </c>
      <c r="E7" s="19" t="s">
        <v>56</v>
      </c>
    </row>
    <row r="8" spans="1:5" ht="15.75" thickBot="1" x14ac:dyDescent="0.3">
      <c r="B8" s="20" t="s">
        <v>33</v>
      </c>
      <c r="C8" s="20" t="s">
        <v>34</v>
      </c>
      <c r="D8" s="20" t="s">
        <v>1</v>
      </c>
      <c r="E8" s="20" t="s">
        <v>57</v>
      </c>
    </row>
    <row r="9" spans="1:5" x14ac:dyDescent="0.25">
      <c r="B9" s="15" t="s">
        <v>45</v>
      </c>
      <c r="C9" s="15" t="s">
        <v>6</v>
      </c>
      <c r="D9" s="15">
        <v>1.1476423231651662</v>
      </c>
      <c r="E9" s="15">
        <v>0</v>
      </c>
    </row>
    <row r="10" spans="1:5" x14ac:dyDescent="0.25">
      <c r="B10" s="15" t="s">
        <v>47</v>
      </c>
      <c r="C10" s="15" t="s">
        <v>9</v>
      </c>
      <c r="D10" s="15">
        <v>1.4394241687204672</v>
      </c>
      <c r="E10" s="15">
        <v>0</v>
      </c>
    </row>
    <row r="11" spans="1:5" ht="15.75" thickBot="1" x14ac:dyDescent="0.3">
      <c r="B11" s="13" t="s">
        <v>48</v>
      </c>
      <c r="C11" s="13" t="s">
        <v>5</v>
      </c>
      <c r="D11" s="13">
        <v>1</v>
      </c>
      <c r="E11" s="13">
        <v>-0.195846312947483</v>
      </c>
    </row>
    <row r="13" spans="1:5" x14ac:dyDescent="0.25">
      <c r="A13" t="s">
        <v>39</v>
      </c>
    </row>
    <row r="14" spans="1:5" x14ac:dyDescent="0.25">
      <c r="B14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88E-744B-43DA-9043-AE2E4910358F}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6.5703125" bestFit="1" customWidth="1"/>
    <col min="3" max="3" width="8.28515625" bestFit="1" customWidth="1"/>
    <col min="4" max="4" width="6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2" t="s">
        <v>59</v>
      </c>
    </row>
    <row r="2" spans="1:10" x14ac:dyDescent="0.25">
      <c r="A2" s="12" t="s">
        <v>21</v>
      </c>
    </row>
    <row r="3" spans="1:10" x14ac:dyDescent="0.25">
      <c r="A3" s="12" t="s">
        <v>22</v>
      </c>
    </row>
    <row r="5" spans="1:10" ht="15.75" thickBot="1" x14ac:dyDescent="0.3"/>
    <row r="6" spans="1:10" x14ac:dyDescent="0.25">
      <c r="B6" s="19"/>
      <c r="C6" s="19" t="s">
        <v>60</v>
      </c>
      <c r="D6" s="19"/>
    </row>
    <row r="7" spans="1:10" ht="15.75" thickBot="1" x14ac:dyDescent="0.3">
      <c r="B7" s="20" t="s">
        <v>33</v>
      </c>
      <c r="C7" s="20" t="s">
        <v>34</v>
      </c>
      <c r="D7" s="20" t="s">
        <v>1</v>
      </c>
    </row>
    <row r="8" spans="1:10" ht="15.75" thickBot="1" x14ac:dyDescent="0.3">
      <c r="B8" s="13" t="s">
        <v>44</v>
      </c>
      <c r="C8" s="13" t="s">
        <v>10</v>
      </c>
      <c r="D8" s="16">
        <v>-0.19584631259433349</v>
      </c>
    </row>
    <row r="10" spans="1:10" ht="15.75" thickBot="1" x14ac:dyDescent="0.3"/>
    <row r="11" spans="1:10" x14ac:dyDescent="0.25">
      <c r="B11" s="19"/>
      <c r="C11" s="19" t="s">
        <v>61</v>
      </c>
      <c r="D11" s="19"/>
      <c r="F11" s="19" t="s">
        <v>62</v>
      </c>
      <c r="G11" s="19" t="s">
        <v>60</v>
      </c>
      <c r="I11" s="19" t="s">
        <v>65</v>
      </c>
      <c r="J11" s="19" t="s">
        <v>60</v>
      </c>
    </row>
    <row r="12" spans="1:10" ht="15.75" thickBot="1" x14ac:dyDescent="0.3">
      <c r="B12" s="20" t="s">
        <v>33</v>
      </c>
      <c r="C12" s="20" t="s">
        <v>34</v>
      </c>
      <c r="D12" s="20" t="s">
        <v>1</v>
      </c>
      <c r="F12" s="20" t="s">
        <v>63</v>
      </c>
      <c r="G12" s="20" t="s">
        <v>64</v>
      </c>
      <c r="I12" s="20" t="s">
        <v>63</v>
      </c>
      <c r="J12" s="20" t="s">
        <v>64</v>
      </c>
    </row>
    <row r="13" spans="1:10" x14ac:dyDescent="0.25">
      <c r="B13" s="15" t="s">
        <v>45</v>
      </c>
      <c r="C13" s="15" t="s">
        <v>6</v>
      </c>
      <c r="D13" s="17">
        <v>1.1476423231651662</v>
      </c>
      <c r="F13" s="17">
        <v>1</v>
      </c>
      <c r="G13" s="17">
        <v>-0.20914327840707164</v>
      </c>
      <c r="I13" s="15" t="s">
        <v>66</v>
      </c>
      <c r="J13" s="15" t="s">
        <v>66</v>
      </c>
    </row>
    <row r="14" spans="1:10" x14ac:dyDescent="0.25">
      <c r="B14" s="15" t="s">
        <v>47</v>
      </c>
      <c r="C14" s="15" t="s">
        <v>9</v>
      </c>
      <c r="D14" s="17">
        <v>1.4394241687204672</v>
      </c>
      <c r="F14" s="17">
        <v>1</v>
      </c>
      <c r="G14" s="17">
        <v>-0.17530132129358178</v>
      </c>
      <c r="I14" s="15" t="s">
        <v>66</v>
      </c>
      <c r="J14" s="15" t="s">
        <v>66</v>
      </c>
    </row>
    <row r="15" spans="1:10" ht="15.75" thickBot="1" x14ac:dyDescent="0.3">
      <c r="B15" s="13" t="s">
        <v>48</v>
      </c>
      <c r="C15" s="13" t="s">
        <v>5</v>
      </c>
      <c r="D15" s="18">
        <v>1</v>
      </c>
      <c r="F15" s="18">
        <v>1</v>
      </c>
      <c r="G15" s="18">
        <v>-0.19584631259433349</v>
      </c>
      <c r="I15" s="13" t="s">
        <v>66</v>
      </c>
      <c r="J15" s="13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0DE7-ECF0-4F1E-B267-2EACD9CC7324}">
  <dimension ref="A1:P21"/>
  <sheetViews>
    <sheetView tabSelected="1" zoomScaleNormal="100"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14.28515625" bestFit="1" customWidth="1"/>
    <col min="3" max="3" width="6" bestFit="1" customWidth="1"/>
    <col min="4" max="4" width="3" bestFit="1" customWidth="1"/>
    <col min="5" max="5" width="12.85546875" style="2" bestFit="1" customWidth="1"/>
    <col min="6" max="6" width="14.140625" style="2" customWidth="1"/>
    <col min="7" max="7" width="14.28515625" style="1" bestFit="1" customWidth="1"/>
    <col min="8" max="8" width="10.5703125" style="1" bestFit="1" customWidth="1"/>
    <col min="9" max="9" width="14.28515625" style="1" bestFit="1" customWidth="1"/>
    <col min="10" max="10" width="14.28515625" bestFit="1" customWidth="1"/>
    <col min="11" max="11" width="14.28515625" style="1" bestFit="1" customWidth="1"/>
    <col min="12" max="12" width="14.28515625" style="1" customWidth="1"/>
    <col min="13" max="13" width="13.28515625" bestFit="1" customWidth="1"/>
    <col min="14" max="14" width="18" bestFit="1" customWidth="1"/>
    <col min="15" max="15" width="16" bestFit="1" customWidth="1"/>
    <col min="16" max="16" width="15.140625" bestFit="1" customWidth="1"/>
  </cols>
  <sheetData>
    <row r="1" spans="1:16" x14ac:dyDescent="0.25">
      <c r="A1" t="s">
        <v>72</v>
      </c>
      <c r="B1" s="24">
        <v>2</v>
      </c>
      <c r="D1" t="s">
        <v>0</v>
      </c>
      <c r="E1" s="2" t="s">
        <v>69</v>
      </c>
      <c r="F1" s="2" t="s">
        <v>70</v>
      </c>
      <c r="G1" s="1" t="s">
        <v>1</v>
      </c>
      <c r="H1" s="1" t="s">
        <v>8</v>
      </c>
      <c r="I1" s="1" t="s">
        <v>3</v>
      </c>
      <c r="J1" s="1" t="s">
        <v>2</v>
      </c>
      <c r="K1" s="1" t="s">
        <v>7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17</v>
      </c>
    </row>
    <row r="2" spans="1:16" x14ac:dyDescent="0.25">
      <c r="A2" t="s">
        <v>71</v>
      </c>
      <c r="B2" s="24">
        <v>2.1164999999999998</v>
      </c>
      <c r="D2">
        <v>0</v>
      </c>
      <c r="E2" s="2">
        <f t="shared" ref="E2:E12" si="0">(1-$B$6)^(D2+1)</f>
        <v>0.47</v>
      </c>
      <c r="F2" s="2">
        <f t="shared" ref="F2:F12" si="1">$B$6^(D2+1)</f>
        <v>0.53</v>
      </c>
      <c r="G2" s="1">
        <f>B1</f>
        <v>2</v>
      </c>
      <c r="H2" s="1">
        <f>$B$2</f>
        <v>2.1164999999999998</v>
      </c>
      <c r="I2" s="1">
        <f>G2</f>
        <v>2</v>
      </c>
      <c r="J2" s="1">
        <f t="shared" ref="J2:J12" si="2">G2*$B$7</f>
        <v>3.64</v>
      </c>
      <c r="K2" s="3">
        <f t="shared" ref="K2:K12" si="3">J2-I2</f>
        <v>1.6400000000000001</v>
      </c>
      <c r="L2" s="3">
        <f>IF(K2&lt;0,K2,0)</f>
        <v>0</v>
      </c>
      <c r="M2">
        <f>IF(K2&gt;=0,K2,0)</f>
        <v>1.6400000000000001</v>
      </c>
      <c r="N2" s="3">
        <f t="shared" ref="N2:N12" si="4">K2*E2</f>
        <v>0.77080000000000004</v>
      </c>
      <c r="O2" s="7">
        <f>L2*E2</f>
        <v>0</v>
      </c>
      <c r="P2">
        <f>M2*F2</f>
        <v>0.86920000000000008</v>
      </c>
    </row>
    <row r="3" spans="1:16" x14ac:dyDescent="0.25">
      <c r="A3" t="s">
        <v>73</v>
      </c>
      <c r="B3" s="24">
        <v>1.2022999999999999</v>
      </c>
      <c r="D3">
        <v>1</v>
      </c>
      <c r="E3" s="2">
        <f t="shared" si="0"/>
        <v>0.22089999999999999</v>
      </c>
      <c r="F3" s="2">
        <f t="shared" si="1"/>
        <v>0.28090000000000004</v>
      </c>
      <c r="G3" s="3">
        <f>G2*H2</f>
        <v>4.2329999999999997</v>
      </c>
      <c r="H3" s="3">
        <f t="shared" ref="H3:H12" si="5">H2*$B$3</f>
        <v>2.5446679499999996</v>
      </c>
      <c r="I3" s="3">
        <f t="shared" ref="I3:I12" si="6">G3+I2</f>
        <v>6.2329999999999997</v>
      </c>
      <c r="J3" s="3">
        <f t="shared" si="2"/>
        <v>7.7040599999999992</v>
      </c>
      <c r="K3" s="3">
        <f t="shared" si="3"/>
        <v>1.4710599999999996</v>
      </c>
      <c r="L3" s="3">
        <f t="shared" ref="L3:L12" si="7">IF(K3&lt;0,K3,0)</f>
        <v>0</v>
      </c>
      <c r="M3">
        <f t="shared" ref="M3:M12" si="8">IF(K3&gt;=0,K3,0)</f>
        <v>1.4710599999999996</v>
      </c>
      <c r="N3" s="3">
        <f t="shared" si="4"/>
        <v>0.32495715399999991</v>
      </c>
      <c r="O3" s="7">
        <f t="shared" ref="O3:O12" si="9">L3*E3</f>
        <v>0</v>
      </c>
      <c r="P3">
        <f t="shared" ref="P3:P12" si="10">M3*F3</f>
        <v>0.41322075399999997</v>
      </c>
    </row>
    <row r="4" spans="1:16" x14ac:dyDescent="0.25">
      <c r="D4">
        <v>2</v>
      </c>
      <c r="E4" s="2">
        <f t="shared" si="0"/>
        <v>0.10382299999999998</v>
      </c>
      <c r="F4" s="2">
        <f t="shared" si="1"/>
        <v>0.14887700000000004</v>
      </c>
      <c r="G4" s="3">
        <f t="shared" ref="G4:G12" si="11">G3*H3</f>
        <v>10.771579432349997</v>
      </c>
      <c r="H4" s="3">
        <f t="shared" si="5"/>
        <v>3.0594542762849994</v>
      </c>
      <c r="I4" s="3">
        <f t="shared" si="6"/>
        <v>17.004579432349995</v>
      </c>
      <c r="J4" s="3">
        <f t="shared" si="2"/>
        <v>19.604274566876995</v>
      </c>
      <c r="K4" s="3">
        <f t="shared" si="3"/>
        <v>2.5996951345269999</v>
      </c>
      <c r="L4" s="3">
        <f t="shared" si="7"/>
        <v>0</v>
      </c>
      <c r="M4">
        <f t="shared" si="8"/>
        <v>2.5996951345269999</v>
      </c>
      <c r="N4" s="3">
        <f t="shared" si="4"/>
        <v>0.26990814795199669</v>
      </c>
      <c r="O4" s="8">
        <f t="shared" si="9"/>
        <v>0</v>
      </c>
      <c r="P4">
        <f t="shared" si="10"/>
        <v>0.38703481254297628</v>
      </c>
    </row>
    <row r="5" spans="1:16" x14ac:dyDescent="0.25">
      <c r="A5" t="s">
        <v>4</v>
      </c>
      <c r="B5" s="25">
        <v>250</v>
      </c>
      <c r="D5" s="24">
        <v>3</v>
      </c>
      <c r="E5" s="28">
        <f t="shared" si="0"/>
        <v>4.8796809999999996E-2</v>
      </c>
      <c r="F5" s="28">
        <f t="shared" si="1"/>
        <v>7.890481000000002E-2</v>
      </c>
      <c r="G5" s="29">
        <f t="shared" si="11"/>
        <v>32.955154756646742</v>
      </c>
      <c r="H5" s="3">
        <f t="shared" si="5"/>
        <v>3.6783818763774545</v>
      </c>
      <c r="I5" s="3">
        <f t="shared" si="6"/>
        <v>49.959734188996734</v>
      </c>
      <c r="J5" s="3">
        <f t="shared" si="2"/>
        <v>59.978381657097074</v>
      </c>
      <c r="K5" s="3">
        <f t="shared" si="3"/>
        <v>10.01864746810034</v>
      </c>
      <c r="L5" s="3">
        <f t="shared" si="7"/>
        <v>0</v>
      </c>
      <c r="M5">
        <f t="shared" si="8"/>
        <v>10.01864746810034</v>
      </c>
      <c r="N5" s="3">
        <f t="shared" si="4"/>
        <v>0.48887803695787335</v>
      </c>
      <c r="O5" s="7">
        <f t="shared" si="9"/>
        <v>0</v>
      </c>
      <c r="P5">
        <f t="shared" si="10"/>
        <v>0.79051947492743857</v>
      </c>
    </row>
    <row r="6" spans="1:16" x14ac:dyDescent="0.25">
      <c r="A6" t="s">
        <v>68</v>
      </c>
      <c r="B6">
        <v>0.53</v>
      </c>
      <c r="D6">
        <v>4</v>
      </c>
      <c r="E6" s="2">
        <f t="shared" si="0"/>
        <v>2.2934500699999995E-2</v>
      </c>
      <c r="F6" s="2">
        <f t="shared" si="1"/>
        <v>4.1819549300000015E-2</v>
      </c>
      <c r="G6" s="3">
        <f t="shared" si="11"/>
        <v>121.22164399006364</v>
      </c>
      <c r="H6" s="3">
        <f t="shared" si="5"/>
        <v>4.4225185299686132</v>
      </c>
      <c r="I6" s="3">
        <f t="shared" si="6"/>
        <v>171.18137817906037</v>
      </c>
      <c r="J6" s="3">
        <f t="shared" si="2"/>
        <v>220.62339206191584</v>
      </c>
      <c r="K6" s="3">
        <f t="shared" si="3"/>
        <v>49.442013882855463</v>
      </c>
      <c r="L6" s="3">
        <f t="shared" si="7"/>
        <v>0</v>
      </c>
      <c r="M6">
        <f t="shared" si="8"/>
        <v>49.442013882855463</v>
      </c>
      <c r="N6" s="3">
        <f t="shared" si="4"/>
        <v>1.1339279020057582</v>
      </c>
      <c r="O6" s="7">
        <f t="shared" si="9"/>
        <v>0</v>
      </c>
      <c r="P6">
        <f t="shared" si="10"/>
        <v>2.0676427370653592</v>
      </c>
    </row>
    <row r="7" spans="1:16" x14ac:dyDescent="0.25">
      <c r="A7" t="s">
        <v>2</v>
      </c>
      <c r="B7">
        <v>1.82</v>
      </c>
      <c r="D7">
        <v>5</v>
      </c>
      <c r="E7" s="2">
        <f t="shared" si="0"/>
        <v>1.0779215328999999E-2</v>
      </c>
      <c r="F7" s="2">
        <f t="shared" si="1"/>
        <v>2.2164361129000009E-2</v>
      </c>
      <c r="G7" s="3">
        <f t="shared" si="11"/>
        <v>536.10496677931485</v>
      </c>
      <c r="H7" s="3">
        <f t="shared" si="5"/>
        <v>5.3171940285812633</v>
      </c>
      <c r="I7" s="3">
        <f>G7+I6</f>
        <v>707.28634495837525</v>
      </c>
      <c r="J7" s="3">
        <f t="shared" si="2"/>
        <v>975.71103953835302</v>
      </c>
      <c r="K7" s="3">
        <f t="shared" si="3"/>
        <v>268.42469457997777</v>
      </c>
      <c r="L7" s="3">
        <f t="shared" si="7"/>
        <v>0</v>
      </c>
      <c r="M7">
        <f t="shared" si="8"/>
        <v>268.42469457997777</v>
      </c>
      <c r="N7" s="3">
        <f t="shared" si="4"/>
        <v>2.8934075824986394</v>
      </c>
      <c r="O7" s="7">
        <f t="shared" si="9"/>
        <v>0</v>
      </c>
      <c r="P7">
        <f t="shared" si="10"/>
        <v>5.9494618666121584</v>
      </c>
    </row>
    <row r="8" spans="1:16" x14ac:dyDescent="0.25">
      <c r="D8">
        <v>6</v>
      </c>
      <c r="E8" s="2">
        <f t="shared" si="0"/>
        <v>5.0662312046299987E-3</v>
      </c>
      <c r="F8" s="2">
        <f t="shared" si="1"/>
        <v>1.1747111398370006E-2</v>
      </c>
      <c r="G8" s="3">
        <f t="shared" si="11"/>
        <v>2850.5741280517295</v>
      </c>
      <c r="H8" s="3">
        <f t="shared" si="5"/>
        <v>6.3928623805632521</v>
      </c>
      <c r="I8" s="3">
        <f t="shared" si="6"/>
        <v>3557.8604730101047</v>
      </c>
      <c r="J8" s="3">
        <f t="shared" si="2"/>
        <v>5188.0449130541483</v>
      </c>
      <c r="K8" s="3">
        <f t="shared" si="3"/>
        <v>1630.1844400440436</v>
      </c>
      <c r="L8" s="3">
        <f t="shared" si="7"/>
        <v>0</v>
      </c>
      <c r="M8">
        <f t="shared" si="8"/>
        <v>1630.1844400440436</v>
      </c>
      <c r="N8" s="3">
        <f t="shared" si="4"/>
        <v>8.2588912794534153</v>
      </c>
      <c r="O8" s="7">
        <f t="shared" si="9"/>
        <v>0</v>
      </c>
      <c r="P8">
        <f t="shared" si="10"/>
        <v>19.149958217086812</v>
      </c>
    </row>
    <row r="9" spans="1:16" x14ac:dyDescent="0.25">
      <c r="A9" t="s">
        <v>14</v>
      </c>
      <c r="B9" s="4">
        <f>_xlfn.XLOOKUP($B$5,I:I,D:D,,-1)</f>
        <v>4</v>
      </c>
      <c r="D9">
        <v>7</v>
      </c>
      <c r="E9" s="2">
        <f t="shared" si="0"/>
        <v>2.3811286661760997E-3</v>
      </c>
      <c r="F9" s="2">
        <f t="shared" si="1"/>
        <v>6.2259690411361028E-3</v>
      </c>
      <c r="G9" s="3">
        <f t="shared" si="11"/>
        <v>18223.328106228797</v>
      </c>
      <c r="H9" s="3">
        <f t="shared" si="5"/>
        <v>7.6861384401511978</v>
      </c>
      <c r="I9" s="3">
        <f t="shared" si="6"/>
        <v>21781.1885792389</v>
      </c>
      <c r="J9" s="3">
        <f t="shared" si="2"/>
        <v>33166.457153336414</v>
      </c>
      <c r="K9" s="3">
        <f t="shared" si="3"/>
        <v>11385.268574097514</v>
      </c>
      <c r="L9" s="3">
        <f t="shared" si="7"/>
        <v>0</v>
      </c>
      <c r="M9">
        <f t="shared" si="8"/>
        <v>11385.268574097514</v>
      </c>
      <c r="N9" s="3">
        <f t="shared" si="4"/>
        <v>27.109789373897478</v>
      </c>
      <c r="O9" s="7">
        <f t="shared" si="9"/>
        <v>0</v>
      </c>
      <c r="P9">
        <f t="shared" si="10"/>
        <v>70.884329667350897</v>
      </c>
    </row>
    <row r="10" spans="1:16" x14ac:dyDescent="0.25">
      <c r="A10" s="5" t="s">
        <v>11</v>
      </c>
      <c r="B10" s="6">
        <f>_xlfn.XLOOKUP($B$5,I:I,E:E,,-1)</f>
        <v>2.2934500699999995E-2</v>
      </c>
      <c r="D10">
        <v>8</v>
      </c>
      <c r="E10" s="2">
        <f t="shared" si="0"/>
        <v>1.1191304731027667E-3</v>
      </c>
      <c r="F10" s="2">
        <f t="shared" si="1"/>
        <v>3.2997635918021345E-3</v>
      </c>
      <c r="G10" s="1">
        <f t="shared" si="11"/>
        <v>140067.0226647729</v>
      </c>
      <c r="H10" s="1">
        <f t="shared" si="5"/>
        <v>9.2410442465937841</v>
      </c>
      <c r="I10" s="1">
        <f t="shared" si="6"/>
        <v>161848.21124401179</v>
      </c>
      <c r="J10" s="1">
        <f t="shared" si="2"/>
        <v>254921.98124988668</v>
      </c>
      <c r="K10" s="3">
        <f t="shared" si="3"/>
        <v>93073.770005874889</v>
      </c>
      <c r="L10" s="3">
        <f t="shared" si="7"/>
        <v>0</v>
      </c>
      <c r="M10">
        <f t="shared" si="8"/>
        <v>93073.770005874889</v>
      </c>
      <c r="N10" s="3">
        <f t="shared" si="4"/>
        <v>104.16169226013285</v>
      </c>
      <c r="O10" s="7">
        <f t="shared" si="9"/>
        <v>0</v>
      </c>
      <c r="P10">
        <f t="shared" si="10"/>
        <v>307.12143761715151</v>
      </c>
    </row>
    <row r="11" spans="1:16" x14ac:dyDescent="0.25">
      <c r="A11" t="s">
        <v>74</v>
      </c>
      <c r="B11" s="26">
        <f>B9-1</f>
        <v>3</v>
      </c>
      <c r="D11">
        <v>9</v>
      </c>
      <c r="E11" s="2">
        <f t="shared" si="0"/>
        <v>5.2599132235830038E-4</v>
      </c>
      <c r="F11" s="2">
        <f t="shared" si="1"/>
        <v>1.7488747036551314E-3</v>
      </c>
      <c r="G11" s="1">
        <f t="shared" si="11"/>
        <v>1294365.5539338207</v>
      </c>
      <c r="H11" s="1">
        <f t="shared" si="5"/>
        <v>11.110507497679706</v>
      </c>
      <c r="I11" s="1">
        <f t="shared" si="6"/>
        <v>1456213.7651778325</v>
      </c>
      <c r="J11" s="1">
        <f t="shared" si="2"/>
        <v>2355745.3081595539</v>
      </c>
      <c r="K11" s="3">
        <f t="shared" si="3"/>
        <v>899531.54298172146</v>
      </c>
      <c r="L11" s="3">
        <f t="shared" si="7"/>
        <v>0</v>
      </c>
      <c r="M11">
        <f t="shared" si="8"/>
        <v>899531.54298172146</v>
      </c>
      <c r="N11" s="3">
        <f t="shared" si="4"/>
        <v>473.14578579595798</v>
      </c>
      <c r="O11" s="7">
        <f t="shared" si="9"/>
        <v>0</v>
      </c>
      <c r="P11">
        <f t="shared" si="10"/>
        <v>1573.1679606606012</v>
      </c>
    </row>
    <row r="12" spans="1:16" x14ac:dyDescent="0.25">
      <c r="A12" t="s">
        <v>19</v>
      </c>
      <c r="B12" s="9">
        <f>ROUNDDOWN( B5/_xlfn.XLOOKUP($B$11,D:D,I:I,,-1),0)</f>
        <v>5</v>
      </c>
      <c r="D12">
        <v>10</v>
      </c>
      <c r="E12" s="2">
        <f t="shared" si="0"/>
        <v>2.4721592150840117E-4</v>
      </c>
      <c r="F12" s="2">
        <f t="shared" si="1"/>
        <v>9.269035929372198E-4</v>
      </c>
      <c r="G12" s="1">
        <f t="shared" si="11"/>
        <v>14381058.191720061</v>
      </c>
      <c r="H12" s="1">
        <f t="shared" si="5"/>
        <v>13.35816316446031</v>
      </c>
      <c r="I12" s="1">
        <f t="shared" si="6"/>
        <v>15837271.956897894</v>
      </c>
      <c r="J12" s="1">
        <f t="shared" si="2"/>
        <v>26173525.90893051</v>
      </c>
      <c r="K12" s="3">
        <f t="shared" si="3"/>
        <v>10336253.952032616</v>
      </c>
      <c r="L12" s="3">
        <f t="shared" si="7"/>
        <v>0</v>
      </c>
      <c r="M12">
        <f t="shared" si="8"/>
        <v>10336253.952032616</v>
      </c>
      <c r="N12" s="3">
        <f t="shared" si="4"/>
        <v>2555.2865456965965</v>
      </c>
      <c r="O12" s="7">
        <f t="shared" si="9"/>
        <v>0</v>
      </c>
      <c r="P12">
        <f t="shared" si="10"/>
        <v>9580.7109256505701</v>
      </c>
    </row>
    <row r="13" spans="1:16" x14ac:dyDescent="0.25">
      <c r="A13" s="5" t="s">
        <v>18</v>
      </c>
      <c r="B13" s="11">
        <f>_xlfn.XLOOKUP($B$11,D:D,E:E,,-1)^B12</f>
        <v>2.7666687119623348E-7</v>
      </c>
      <c r="C13" s="1"/>
      <c r="J13" s="1"/>
      <c r="K13" s="3"/>
      <c r="L13" s="3"/>
      <c r="N13" s="3"/>
      <c r="O13" s="7"/>
    </row>
    <row r="14" spans="1:16" x14ac:dyDescent="0.25">
      <c r="A14" s="5" t="s">
        <v>75</v>
      </c>
      <c r="B14" s="11">
        <f>1/7151980</f>
        <v>1.3982142008227091E-7</v>
      </c>
      <c r="J14" s="1"/>
      <c r="K14" s="3"/>
      <c r="L14" s="3"/>
      <c r="N14" s="3"/>
      <c r="O14" s="7"/>
    </row>
    <row r="15" spans="1:16" x14ac:dyDescent="0.25">
      <c r="J15" s="1"/>
      <c r="K15" s="3"/>
      <c r="L15" s="3"/>
      <c r="N15" s="3"/>
      <c r="O15" s="7"/>
    </row>
    <row r="16" spans="1:16" x14ac:dyDescent="0.25">
      <c r="J16" s="1"/>
      <c r="K16" s="3"/>
      <c r="L16" s="3"/>
      <c r="N16" s="3"/>
      <c r="O16" s="7"/>
    </row>
    <row r="17" spans="1:15" ht="17.25" x14ac:dyDescent="0.4">
      <c r="A17" s="22" t="s">
        <v>67</v>
      </c>
      <c r="B17" s="23">
        <f>_xlfn.XLOOKUP(B11,D:D,E:E)*_xlfn.XLOOKUP(B11,D:D,I:I)*-1</f>
        <v>-2.4378756568709776</v>
      </c>
      <c r="C17" s="21"/>
      <c r="J17" s="1"/>
      <c r="K17" s="10"/>
      <c r="L17" s="3"/>
      <c r="N17" s="3"/>
      <c r="O17" s="7"/>
    </row>
    <row r="18" spans="1:15" x14ac:dyDescent="0.25">
      <c r="A18" t="s">
        <v>12</v>
      </c>
      <c r="B18" s="1">
        <f>SUMIFS(O:O,D:D,"&lt;="&amp;$B$11)</f>
        <v>0</v>
      </c>
      <c r="E18" s="27"/>
      <c r="J18" s="1"/>
      <c r="K18" s="3"/>
      <c r="L18" s="3"/>
      <c r="N18" s="3"/>
      <c r="O18" s="7"/>
    </row>
    <row r="19" spans="1:15" x14ac:dyDescent="0.25">
      <c r="A19" t="s">
        <v>13</v>
      </c>
      <c r="B19" s="1">
        <f>SUMIFS(P:P,D:D,"&lt;="&amp;$B$11)</f>
        <v>2.4599750414704151</v>
      </c>
      <c r="J19" s="1"/>
      <c r="K19" s="3"/>
      <c r="L19" s="3"/>
      <c r="N19" s="3"/>
      <c r="O19" s="7"/>
    </row>
    <row r="20" spans="1:15" x14ac:dyDescent="0.25">
      <c r="A20" t="s">
        <v>10</v>
      </c>
      <c r="B20" s="1">
        <f>SUM(B17:B19)</f>
        <v>2.2099384599437499E-2</v>
      </c>
      <c r="J20" s="1"/>
      <c r="K20" s="3"/>
      <c r="L20" s="3"/>
      <c r="N20" s="3"/>
      <c r="O20" s="7"/>
    </row>
    <row r="21" spans="1:15" x14ac:dyDescent="0.25">
      <c r="J21" s="1"/>
      <c r="K21" s="3"/>
      <c r="L21" s="3"/>
      <c r="N21" s="3"/>
      <c r="O21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Respostas 1</vt:lpstr>
      <vt:lpstr>Relatório de Sensibilidade 1</vt:lpstr>
      <vt:lpstr>Relatório de Limites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Alexandre</dc:creator>
  <cp:lastModifiedBy>Hugo Alexandre</cp:lastModifiedBy>
  <dcterms:created xsi:type="dcterms:W3CDTF">2022-11-01T14:47:19Z</dcterms:created>
  <dcterms:modified xsi:type="dcterms:W3CDTF">2022-11-21T12:37:44Z</dcterms:modified>
</cp:coreProperties>
</file>