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activeX/activeX5.xml" ContentType="application/vnd.ms-office.activeX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0" windowWidth="20490" windowHeight="7155" tabRatio="765"/>
  </bookViews>
  <sheets>
    <sheet name="Введение" sheetId="1" r:id="rId1"/>
    <sheet name="Интегралы" sheetId="2" r:id="rId2"/>
    <sheet name="Метод Дихотомии" sheetId="3" r:id="rId3"/>
    <sheet name="Метод Касательных" sheetId="4" r:id="rId4"/>
    <sheet name="Метод Хорд" sheetId="5" r:id="rId5"/>
    <sheet name="Комбинированный" sheetId="6" r:id="rId6"/>
    <sheet name="Метод Итераций" sheetId="7" r:id="rId7"/>
    <sheet name="Канонический полином" sheetId="8" r:id="rId8"/>
    <sheet name="Полином Лагранжа" sheetId="9" r:id="rId9"/>
    <sheet name="Полином Ньютона" sheetId="12" r:id="rId10"/>
    <sheet name="Аппроксимация" sheetId="13" r:id="rId11"/>
    <sheet name="Диффуры" sheetId="14" r:id="rId12"/>
    <sheet name="Черновичок" sheetId="11" r:id="rId13"/>
  </sheets>
  <functionGroups builtInGroupCount="18"/>
  <calcPr calcId="152511"/>
</workbook>
</file>

<file path=xl/calcChain.xml><?xml version="1.0" encoding="utf-8"?>
<calcChain xmlns="http://schemas.openxmlformats.org/spreadsheetml/2006/main">
  <c r="G29" i="11" l="1" a="1"/>
  <c r="G29" i="11" s="1"/>
  <c r="I26" i="11"/>
  <c r="H26" i="11"/>
  <c r="F26" i="11"/>
  <c r="G26" i="11"/>
  <c r="G31" i="11" l="1"/>
  <c r="G30" i="11"/>
  <c r="G22" i="11" l="1" a="1"/>
  <c r="G22" i="11" s="1"/>
  <c r="N28" i="11"/>
  <c r="L28" i="11"/>
  <c r="N27" i="11"/>
  <c r="L27" i="11"/>
  <c r="N26" i="11"/>
  <c r="L26" i="11"/>
  <c r="N25" i="11"/>
  <c r="L25" i="11"/>
  <c r="N24" i="11"/>
  <c r="L24" i="11"/>
  <c r="N23" i="11"/>
  <c r="L23" i="11"/>
  <c r="N22" i="11"/>
  <c r="L22" i="11"/>
  <c r="N21" i="11"/>
  <c r="L21" i="11"/>
  <c r="N20" i="11"/>
  <c r="L20" i="11"/>
  <c r="N19" i="11"/>
  <c r="L19" i="11"/>
  <c r="N18" i="11"/>
  <c r="L18" i="11"/>
  <c r="G23" i="11" l="1"/>
  <c r="J22" i="14" l="1"/>
  <c r="I21" i="14"/>
  <c r="H21" i="14"/>
  <c r="F18" i="14"/>
  <c r="E17" i="14"/>
  <c r="C16" i="14"/>
  <c r="I4" i="14"/>
  <c r="I7" i="14"/>
  <c r="I8" i="14"/>
  <c r="I11" i="14"/>
  <c r="F3" i="14"/>
  <c r="A15" i="14" s="1"/>
  <c r="E12" i="14"/>
  <c r="C12" i="14"/>
  <c r="C2" i="14"/>
  <c r="E2" i="14"/>
  <c r="E4" i="14"/>
  <c r="E5" i="14"/>
  <c r="I5" i="14" s="1"/>
  <c r="E6" i="14"/>
  <c r="I6" i="14" s="1"/>
  <c r="E7" i="14"/>
  <c r="E8" i="14"/>
  <c r="E9" i="14"/>
  <c r="I9" i="14" s="1"/>
  <c r="E10" i="14"/>
  <c r="I10" i="14" s="1"/>
  <c r="E11" i="14"/>
  <c r="E3" i="14"/>
  <c r="I3" i="14" s="1"/>
  <c r="F11" i="14"/>
  <c r="I23" i="14" s="1"/>
  <c r="G11" i="14"/>
  <c r="J23" i="14" s="1"/>
  <c r="C11" i="14"/>
  <c r="H11" i="14" s="1"/>
  <c r="K23" i="14" s="1"/>
  <c r="G10" i="14"/>
  <c r="I22" i="14" s="1"/>
  <c r="C10" i="14"/>
  <c r="H10" i="14" s="1"/>
  <c r="F9" i="14"/>
  <c r="G21" i="14" s="1"/>
  <c r="G9" i="14"/>
  <c r="C9" i="14"/>
  <c r="H9" i="14" s="1"/>
  <c r="G8" i="14"/>
  <c r="G20" i="14" s="1"/>
  <c r="C8" i="14"/>
  <c r="F8" i="14" s="1"/>
  <c r="F20" i="14" s="1"/>
  <c r="G7" i="14"/>
  <c r="F19" i="14" s="1"/>
  <c r="C7" i="14"/>
  <c r="H7" i="14" s="1"/>
  <c r="G19" i="14" s="1"/>
  <c r="F6" i="14"/>
  <c r="D18" i="14" s="1"/>
  <c r="G6" i="14"/>
  <c r="E18" i="14" s="1"/>
  <c r="C6" i="14"/>
  <c r="H6" i="14" s="1"/>
  <c r="F5" i="14"/>
  <c r="C17" i="14" s="1"/>
  <c r="G5" i="14"/>
  <c r="D17" i="14" s="1"/>
  <c r="C5" i="14"/>
  <c r="H5" i="14" s="1"/>
  <c r="G4" i="14"/>
  <c r="C4" i="14"/>
  <c r="F4" i="14" s="1"/>
  <c r="B16" i="14" s="1"/>
  <c r="G3" i="14"/>
  <c r="B15" i="14" s="1"/>
  <c r="C3" i="14"/>
  <c r="H3" i="14" s="1"/>
  <c r="C15" i="14" s="1"/>
  <c r="F7" i="14" l="1"/>
  <c r="E19" i="14" s="1"/>
  <c r="F10" i="14"/>
  <c r="H22" i="14" s="1"/>
  <c r="H4" i="14"/>
  <c r="D16" i="14" s="1"/>
  <c r="M14" i="14" s="1" a="1"/>
  <c r="H8" i="14"/>
  <c r="H20" i="14" s="1"/>
  <c r="M17" i="14" l="1"/>
  <c r="M16" i="14"/>
  <c r="M22" i="14"/>
  <c r="M23" i="14"/>
  <c r="M24" i="14"/>
  <c r="M19" i="14"/>
  <c r="M14" i="14"/>
  <c r="M20" i="14"/>
  <c r="M15" i="14"/>
  <c r="M21" i="14"/>
  <c r="M18" i="14"/>
  <c r="I13" i="13"/>
  <c r="J13" i="13" s="1"/>
  <c r="I3" i="13"/>
  <c r="J3" i="13" s="1"/>
  <c r="I4" i="13"/>
  <c r="J4" i="13" s="1"/>
  <c r="I5" i="13"/>
  <c r="J5" i="13" s="1"/>
  <c r="I6" i="13"/>
  <c r="J6" i="13" s="1"/>
  <c r="I7" i="13"/>
  <c r="J7" i="13" s="1"/>
  <c r="I8" i="13"/>
  <c r="J8" i="13" s="1"/>
  <c r="I9" i="13"/>
  <c r="J9" i="13" s="1"/>
  <c r="I10" i="13"/>
  <c r="J10" i="13" s="1"/>
  <c r="I11" i="13"/>
  <c r="J11" i="13" s="1"/>
  <c r="I12" i="13"/>
  <c r="J12" i="13" s="1"/>
  <c r="I2" i="13"/>
  <c r="J2" i="13" s="1"/>
  <c r="J14" i="13" l="1"/>
  <c r="D26" i="13" s="1"/>
  <c r="I14" i="13"/>
  <c r="D27" i="13" s="1"/>
  <c r="E23" i="13"/>
  <c r="B14" i="13"/>
  <c r="C14" i="13"/>
  <c r="D18" i="13" s="1"/>
  <c r="B17" i="13" l="1"/>
  <c r="A27" i="13"/>
  <c r="B26" i="13"/>
  <c r="B23" i="13"/>
  <c r="A18" i="13"/>
  <c r="C22" i="13"/>
  <c r="G3" i="13" l="1"/>
  <c r="H3" i="13"/>
  <c r="G4" i="13"/>
  <c r="H4" i="13"/>
  <c r="G5" i="13"/>
  <c r="H5" i="13"/>
  <c r="G6" i="13"/>
  <c r="H6" i="13"/>
  <c r="G7" i="13"/>
  <c r="H7" i="13"/>
  <c r="G8" i="13"/>
  <c r="H8" i="13"/>
  <c r="G9" i="13"/>
  <c r="H9" i="13"/>
  <c r="G10" i="13"/>
  <c r="H10" i="13"/>
  <c r="G11" i="13"/>
  <c r="H11" i="13"/>
  <c r="G12" i="13"/>
  <c r="H12" i="13"/>
  <c r="G13" i="13"/>
  <c r="H13" i="13"/>
  <c r="H2" i="13"/>
  <c r="G2" i="13"/>
  <c r="G14" i="13" s="1"/>
  <c r="F3" i="13"/>
  <c r="F4" i="13"/>
  <c r="F5" i="13"/>
  <c r="F6" i="13"/>
  <c r="F7" i="13"/>
  <c r="F8" i="13"/>
  <c r="F9" i="13"/>
  <c r="F10" i="13"/>
  <c r="F11" i="13"/>
  <c r="F12" i="13"/>
  <c r="F13" i="13"/>
  <c r="F2" i="13"/>
  <c r="F14" i="13" s="1"/>
  <c r="A21" i="13" s="1"/>
  <c r="E3" i="13"/>
  <c r="E4" i="13"/>
  <c r="E5" i="13"/>
  <c r="E6" i="13"/>
  <c r="E7" i="13"/>
  <c r="E8" i="13"/>
  <c r="E9" i="13"/>
  <c r="E10" i="13"/>
  <c r="E11" i="13"/>
  <c r="E12" i="13"/>
  <c r="E13" i="13"/>
  <c r="E2" i="13"/>
  <c r="E14" i="13" s="1"/>
  <c r="D3" i="13"/>
  <c r="D4" i="13"/>
  <c r="D5" i="13"/>
  <c r="D6" i="13"/>
  <c r="D7" i="13"/>
  <c r="D8" i="13"/>
  <c r="D9" i="13"/>
  <c r="D10" i="13"/>
  <c r="D11" i="13"/>
  <c r="D12" i="13"/>
  <c r="D13" i="13"/>
  <c r="D2" i="13"/>
  <c r="D14" i="13" s="1"/>
  <c r="E26" i="8"/>
  <c r="E36" i="8"/>
  <c r="E23" i="8"/>
  <c r="E29" i="8"/>
  <c r="E34" i="8"/>
  <c r="E28" i="8"/>
  <c r="E31" i="8"/>
  <c r="E18" i="8"/>
  <c r="E38" i="8"/>
  <c r="E19" i="8"/>
  <c r="E25" i="8"/>
  <c r="E30" i="8"/>
  <c r="E15" i="8"/>
  <c r="E17" i="8"/>
  <c r="E14" i="8"/>
  <c r="E39" i="8"/>
  <c r="E24" i="8"/>
  <c r="E27" i="8"/>
  <c r="E20" i="8"/>
  <c r="E16" i="8"/>
  <c r="E33" i="8"/>
  <c r="E35" i="8"/>
  <c r="E32" i="8"/>
  <c r="E37" i="8"/>
  <c r="E21" i="8"/>
  <c r="E22" i="8"/>
  <c r="E13" i="8"/>
  <c r="C21" i="13" l="1"/>
  <c r="A26" i="13"/>
  <c r="F26" i="13" s="1" a="1"/>
  <c r="B22" i="13"/>
  <c r="A17" i="13"/>
  <c r="F17" i="13" s="1" a="1"/>
  <c r="A23" i="13"/>
  <c r="H14" i="13"/>
  <c r="E21" i="13" s="1"/>
  <c r="A22" i="13"/>
  <c r="G21" i="13" s="1" a="1"/>
  <c r="B21" i="13"/>
  <c r="D17" i="13"/>
  <c r="E22" i="13"/>
  <c r="K1" i="7"/>
  <c r="B1" i="7"/>
  <c r="N5" i="5" a="1"/>
  <c r="N5" i="4" a="1"/>
  <c r="E5" i="5" a="1"/>
  <c r="B17" i="3" a="1"/>
  <c r="E5" i="4" a="1"/>
  <c r="N8" i="7" a="1"/>
  <c r="E8" i="7" a="1"/>
  <c r="G23" i="13" l="1"/>
  <c r="G22" i="13"/>
  <c r="G21" i="13"/>
  <c r="F17" i="13"/>
  <c r="F18" i="13"/>
  <c r="F26" i="13"/>
  <c r="H26" i="13" s="1"/>
  <c r="F27" i="13"/>
  <c r="H27" i="13" s="1"/>
  <c r="N8" i="7"/>
  <c r="N9" i="7"/>
  <c r="E8" i="7"/>
  <c r="E9" i="7"/>
  <c r="N5" i="5"/>
  <c r="N6" i="5"/>
  <c r="E5" i="5"/>
  <c r="E6" i="5"/>
  <c r="B17" i="3"/>
  <c r="B18" i="3"/>
  <c r="N5" i="4"/>
  <c r="N6" i="4"/>
  <c r="E5" i="4"/>
  <c r="E6" i="4"/>
  <c r="K2" i="12"/>
  <c r="J2" i="12"/>
  <c r="D6" i="12"/>
  <c r="D4" i="12"/>
  <c r="E3" i="12" s="1"/>
  <c r="D5" i="12"/>
  <c r="E4" i="12" s="1"/>
  <c r="F3" i="12" s="1"/>
  <c r="D3" i="12"/>
  <c r="E2" i="12" s="1"/>
  <c r="L2" i="12" s="1"/>
  <c r="D2" i="12"/>
  <c r="D29" i="9"/>
  <c r="E29" i="9"/>
  <c r="J29" i="9" s="1"/>
  <c r="F29" i="9"/>
  <c r="G29" i="9"/>
  <c r="H29" i="9"/>
  <c r="I29" i="9"/>
  <c r="D30" i="9"/>
  <c r="J30" i="9" s="1"/>
  <c r="E30" i="9"/>
  <c r="F30" i="9"/>
  <c r="G30" i="9"/>
  <c r="H30" i="9"/>
  <c r="I30" i="9"/>
  <c r="D31" i="9"/>
  <c r="J31" i="9" s="1"/>
  <c r="E31" i="9"/>
  <c r="F31" i="9"/>
  <c r="G31" i="9"/>
  <c r="H31" i="9"/>
  <c r="I31" i="9"/>
  <c r="D32" i="9"/>
  <c r="J32" i="9" s="1"/>
  <c r="E32" i="9"/>
  <c r="F32" i="9"/>
  <c r="G32" i="9"/>
  <c r="H32" i="9"/>
  <c r="I32" i="9"/>
  <c r="D33" i="9"/>
  <c r="E33" i="9"/>
  <c r="J33" i="9" s="1"/>
  <c r="F33" i="9"/>
  <c r="G33" i="9"/>
  <c r="H33" i="9"/>
  <c r="I33" i="9"/>
  <c r="D34" i="9"/>
  <c r="J34" i="9" s="1"/>
  <c r="E34" i="9"/>
  <c r="F34" i="9"/>
  <c r="G34" i="9"/>
  <c r="H34" i="9"/>
  <c r="I34" i="9"/>
  <c r="D35" i="9"/>
  <c r="J35" i="9" s="1"/>
  <c r="E35" i="9"/>
  <c r="F35" i="9"/>
  <c r="G35" i="9"/>
  <c r="H35" i="9"/>
  <c r="I35" i="9"/>
  <c r="D36" i="9"/>
  <c r="J36" i="9" s="1"/>
  <c r="E36" i="9"/>
  <c r="F36" i="9"/>
  <c r="G36" i="9"/>
  <c r="H36" i="9"/>
  <c r="I36" i="9"/>
  <c r="D37" i="9"/>
  <c r="E37" i="9"/>
  <c r="J37" i="9" s="1"/>
  <c r="F37" i="9"/>
  <c r="G37" i="9"/>
  <c r="H37" i="9"/>
  <c r="I37" i="9"/>
  <c r="D18" i="9"/>
  <c r="J18" i="9" s="1"/>
  <c r="E18" i="9"/>
  <c r="F18" i="9"/>
  <c r="G18" i="9"/>
  <c r="H18" i="9"/>
  <c r="I18" i="9"/>
  <c r="D19" i="9"/>
  <c r="J19" i="9" s="1"/>
  <c r="E19" i="9"/>
  <c r="F19" i="9"/>
  <c r="G19" i="9"/>
  <c r="H19" i="9"/>
  <c r="I19" i="9"/>
  <c r="D20" i="9"/>
  <c r="J20" i="9" s="1"/>
  <c r="E20" i="9"/>
  <c r="F20" i="9"/>
  <c r="G20" i="9"/>
  <c r="H20" i="9"/>
  <c r="I20" i="9"/>
  <c r="D21" i="9"/>
  <c r="E21" i="9"/>
  <c r="J21" i="9" s="1"/>
  <c r="F21" i="9"/>
  <c r="G21" i="9"/>
  <c r="H21" i="9"/>
  <c r="I21" i="9"/>
  <c r="D22" i="9"/>
  <c r="J22" i="9" s="1"/>
  <c r="E22" i="9"/>
  <c r="F22" i="9"/>
  <c r="G22" i="9"/>
  <c r="H22" i="9"/>
  <c r="I22" i="9"/>
  <c r="D23" i="9"/>
  <c r="J23" i="9" s="1"/>
  <c r="E23" i="9"/>
  <c r="F23" i="9"/>
  <c r="G23" i="9"/>
  <c r="H23" i="9"/>
  <c r="I23" i="9"/>
  <c r="D24" i="9"/>
  <c r="J24" i="9" s="1"/>
  <c r="E24" i="9"/>
  <c r="F24" i="9"/>
  <c r="G24" i="9"/>
  <c r="H24" i="9"/>
  <c r="I24" i="9"/>
  <c r="D25" i="9"/>
  <c r="E25" i="9"/>
  <c r="J25" i="9" s="1"/>
  <c r="F25" i="9"/>
  <c r="G25" i="9"/>
  <c r="H25" i="9"/>
  <c r="I25" i="9"/>
  <c r="D26" i="9"/>
  <c r="J26" i="9" s="1"/>
  <c r="E26" i="9"/>
  <c r="F26" i="9"/>
  <c r="G26" i="9"/>
  <c r="H26" i="9"/>
  <c r="I26" i="9"/>
  <c r="D27" i="9"/>
  <c r="J27" i="9" s="1"/>
  <c r="E27" i="9"/>
  <c r="F27" i="9"/>
  <c r="G27" i="9"/>
  <c r="H27" i="9"/>
  <c r="I27" i="9"/>
  <c r="D28" i="9"/>
  <c r="J28" i="9" s="1"/>
  <c r="E28" i="9"/>
  <c r="F28" i="9"/>
  <c r="G28" i="9"/>
  <c r="H28" i="9"/>
  <c r="I28" i="9"/>
  <c r="D12" i="9"/>
  <c r="J12" i="9" s="1"/>
  <c r="E12" i="9"/>
  <c r="F12" i="9"/>
  <c r="G12" i="9"/>
  <c r="H12" i="9"/>
  <c r="I12" i="9"/>
  <c r="D13" i="9"/>
  <c r="J13" i="9" s="1"/>
  <c r="E13" i="9"/>
  <c r="F13" i="9"/>
  <c r="G13" i="9"/>
  <c r="H13" i="9"/>
  <c r="I13" i="9"/>
  <c r="D14" i="9"/>
  <c r="E14" i="9"/>
  <c r="F14" i="9"/>
  <c r="J14" i="9" s="1"/>
  <c r="G14" i="9"/>
  <c r="H14" i="9"/>
  <c r="I14" i="9"/>
  <c r="D15" i="9"/>
  <c r="J15" i="9" s="1"/>
  <c r="E15" i="9"/>
  <c r="F15" i="9"/>
  <c r="G15" i="9"/>
  <c r="H15" i="9"/>
  <c r="I15" i="9"/>
  <c r="D16" i="9"/>
  <c r="J16" i="9" s="1"/>
  <c r="E16" i="9"/>
  <c r="F16" i="9"/>
  <c r="G16" i="9"/>
  <c r="H16" i="9"/>
  <c r="I16" i="9"/>
  <c r="D17" i="9"/>
  <c r="J17" i="9" s="1"/>
  <c r="E17" i="9"/>
  <c r="F17" i="9"/>
  <c r="G17" i="9"/>
  <c r="H17" i="9"/>
  <c r="I17" i="9"/>
  <c r="I11" i="9"/>
  <c r="H11" i="9"/>
  <c r="G11" i="9"/>
  <c r="J11" i="9" s="1"/>
  <c r="F11" i="9"/>
  <c r="E11" i="9"/>
  <c r="D11" i="9"/>
  <c r="D3" i="9"/>
  <c r="E3" i="9"/>
  <c r="F3" i="9"/>
  <c r="G3" i="9"/>
  <c r="J3" i="9" s="1"/>
  <c r="H3" i="9"/>
  <c r="I3" i="9"/>
  <c r="D4" i="9"/>
  <c r="J4" i="9" s="1"/>
  <c r="E4" i="9"/>
  <c r="F4" i="9"/>
  <c r="G4" i="9"/>
  <c r="H4" i="9"/>
  <c r="I4" i="9"/>
  <c r="D5" i="9"/>
  <c r="J5" i="9" s="1"/>
  <c r="E5" i="9"/>
  <c r="F5" i="9"/>
  <c r="G5" i="9"/>
  <c r="H5" i="9"/>
  <c r="I5" i="9"/>
  <c r="D6" i="9"/>
  <c r="J6" i="9" s="1"/>
  <c r="E6" i="9"/>
  <c r="F6" i="9"/>
  <c r="G6" i="9"/>
  <c r="H6" i="9"/>
  <c r="I6" i="9"/>
  <c r="D7" i="9"/>
  <c r="E7" i="9"/>
  <c r="F7" i="9"/>
  <c r="G7" i="9"/>
  <c r="J7" i="9" s="1"/>
  <c r="H7" i="9"/>
  <c r="I7" i="9"/>
  <c r="I2" i="9"/>
  <c r="H2" i="9"/>
  <c r="G2" i="9"/>
  <c r="F2" i="9"/>
  <c r="E2" i="9"/>
  <c r="D2" i="9"/>
  <c r="J2" i="9" s="1"/>
  <c r="K15" i="9"/>
  <c r="K36" i="9"/>
  <c r="D24" i="12"/>
  <c r="K19" i="9"/>
  <c r="D31" i="12"/>
  <c r="D35" i="12"/>
  <c r="K21" i="9"/>
  <c r="K32" i="9"/>
  <c r="K34" i="9"/>
  <c r="N8" i="11"/>
  <c r="D29" i="12"/>
  <c r="D27" i="12"/>
  <c r="D17" i="12"/>
  <c r="K30" i="9"/>
  <c r="K18" i="9"/>
  <c r="D34" i="12"/>
  <c r="K33" i="9"/>
  <c r="D38" i="12"/>
  <c r="K14" i="9"/>
  <c r="K12" i="9"/>
  <c r="K24" i="9"/>
  <c r="D19" i="12"/>
  <c r="K35" i="9"/>
  <c r="D14" i="12"/>
  <c r="K22" i="9"/>
  <c r="B1" i="6"/>
  <c r="D13" i="12"/>
  <c r="O8" i="11"/>
  <c r="D30" i="12"/>
  <c r="D16" i="12"/>
  <c r="K31" i="9"/>
  <c r="D12" i="12"/>
  <c r="K27" i="9"/>
  <c r="K20" i="9"/>
  <c r="D37" i="12"/>
  <c r="D18" i="12"/>
  <c r="D15" i="12"/>
  <c r="D28" i="12"/>
  <c r="K11" i="9"/>
  <c r="K28" i="9"/>
  <c r="K16" i="9"/>
  <c r="K25" i="9"/>
  <c r="N7" i="11"/>
  <c r="D36" i="12"/>
  <c r="D33" i="12"/>
  <c r="D25" i="12"/>
  <c r="D26" i="12"/>
  <c r="D20" i="12"/>
  <c r="D22" i="12"/>
  <c r="K37" i="9"/>
  <c r="K23" i="9"/>
  <c r="K26" i="9"/>
  <c r="D21" i="12"/>
  <c r="K17" i="9"/>
  <c r="K13" i="9"/>
  <c r="D23" i="12"/>
  <c r="K29" i="9"/>
  <c r="O7" i="11"/>
  <c r="D32" i="12"/>
  <c r="F2" i="12" l="1"/>
  <c r="O7" i="13"/>
  <c r="P7" i="13" s="1"/>
  <c r="O12" i="13"/>
  <c r="P12" i="13" s="1"/>
  <c r="O13" i="13"/>
  <c r="P13" i="13" s="1"/>
  <c r="O6" i="13"/>
  <c r="P6" i="13" s="1"/>
  <c r="O11" i="13"/>
  <c r="P11" i="13" s="1"/>
  <c r="O10" i="13"/>
  <c r="P10" i="13" s="1"/>
  <c r="O4" i="13"/>
  <c r="P4" i="13" s="1"/>
  <c r="O5" i="13"/>
  <c r="P5" i="13" s="1"/>
  <c r="O3" i="13"/>
  <c r="P3" i="13" s="1"/>
  <c r="O9" i="13"/>
  <c r="P9" i="13" s="1"/>
  <c r="O2" i="13"/>
  <c r="P2" i="13" s="1"/>
  <c r="O8" i="13"/>
  <c r="P8" i="13" s="1"/>
  <c r="E5" i="12"/>
  <c r="F4" i="12" s="1"/>
  <c r="G3" i="12" s="1"/>
  <c r="Q3" i="13"/>
  <c r="R3" i="13" s="1"/>
  <c r="Q12" i="13"/>
  <c r="R12" i="13" s="1"/>
  <c r="Q2" i="13"/>
  <c r="R2" i="13" s="1"/>
  <c r="Q9" i="13"/>
  <c r="R9" i="13" s="1"/>
  <c r="Q8" i="13"/>
  <c r="R8" i="13" s="1"/>
  <c r="Q4" i="13"/>
  <c r="R4" i="13" s="1"/>
  <c r="Q7" i="13"/>
  <c r="R7" i="13" s="1"/>
  <c r="Q5" i="13"/>
  <c r="R5" i="13" s="1"/>
  <c r="Q6" i="13"/>
  <c r="R6" i="13" s="1"/>
  <c r="Q11" i="13"/>
  <c r="R11" i="13" s="1"/>
  <c r="Q10" i="13"/>
  <c r="R10" i="13" s="1"/>
  <c r="Q13" i="13"/>
  <c r="R13" i="13" s="1"/>
  <c r="S4" i="13"/>
  <c r="T4" i="13" s="1"/>
  <c r="S8" i="13"/>
  <c r="T8" i="13" s="1"/>
  <c r="S12" i="13"/>
  <c r="T12" i="13" s="1"/>
  <c r="S5" i="13"/>
  <c r="T5" i="13" s="1"/>
  <c r="S9" i="13"/>
  <c r="T9" i="13" s="1"/>
  <c r="S13" i="13"/>
  <c r="T13" i="13" s="1"/>
  <c r="S3" i="13"/>
  <c r="T3" i="13" s="1"/>
  <c r="S11" i="13"/>
  <c r="T11" i="13" s="1"/>
  <c r="S6" i="13"/>
  <c r="T6" i="13" s="1"/>
  <c r="S10" i="13"/>
  <c r="T10" i="13" s="1"/>
  <c r="S2" i="13"/>
  <c r="T2" i="13" s="1"/>
  <c r="S7" i="13"/>
  <c r="T7" i="13" s="1"/>
  <c r="I3" i="8"/>
  <c r="J3" i="8"/>
  <c r="K3" i="8"/>
  <c r="L3" i="8"/>
  <c r="I4" i="8"/>
  <c r="J4" i="8"/>
  <c r="K4" i="8"/>
  <c r="L4" i="8"/>
  <c r="I5" i="8"/>
  <c r="J5" i="8"/>
  <c r="K5" i="8"/>
  <c r="L5" i="8"/>
  <c r="I6" i="8"/>
  <c r="J6" i="8"/>
  <c r="K6" i="8"/>
  <c r="L6" i="8"/>
  <c r="I7" i="8"/>
  <c r="J7" i="8"/>
  <c r="K7" i="8"/>
  <c r="L7" i="8"/>
  <c r="L2" i="8"/>
  <c r="K2" i="8"/>
  <c r="J2" i="8"/>
  <c r="I2" i="8"/>
  <c r="H3" i="8"/>
  <c r="H4" i="8"/>
  <c r="H5" i="8"/>
  <c r="H6" i="8"/>
  <c r="H7" i="8"/>
  <c r="H2" i="8"/>
  <c r="O2" i="8" l="1" a="1"/>
  <c r="O2" i="8" s="1"/>
  <c r="T14" i="13"/>
  <c r="R14" i="13"/>
  <c r="G2" i="12"/>
  <c r="M2" i="12"/>
  <c r="P14" i="13"/>
  <c r="O7" i="8" l="1"/>
  <c r="H2" i="12"/>
  <c r="O2" i="12" s="1"/>
  <c r="N2" i="12"/>
  <c r="C29" i="12" s="1"/>
  <c r="O6" i="8"/>
  <c r="O5" i="8"/>
  <c r="C38" i="12"/>
  <c r="C30" i="12"/>
  <c r="C16" i="12"/>
  <c r="C13" i="12"/>
  <c r="I3" i="12"/>
  <c r="C32" i="12"/>
  <c r="C17" i="12"/>
  <c r="C37" i="12"/>
  <c r="C23" i="12"/>
  <c r="C34" i="12"/>
  <c r="C15" i="12"/>
  <c r="C28" i="12"/>
  <c r="I2" i="12"/>
  <c r="C31" i="12"/>
  <c r="C12" i="12"/>
  <c r="C19" i="12"/>
  <c r="C36" i="12"/>
  <c r="C26" i="12"/>
  <c r="C22" i="12"/>
  <c r="C24" i="12"/>
  <c r="C14" i="12"/>
  <c r="C27" i="12"/>
  <c r="C20" i="12"/>
  <c r="C33" i="12"/>
  <c r="I5" i="12"/>
  <c r="I7" i="12"/>
  <c r="C35" i="12"/>
  <c r="I4" i="12"/>
  <c r="C18" i="12"/>
  <c r="C21" i="12"/>
  <c r="O4" i="8"/>
  <c r="O3" i="8"/>
  <c r="C13" i="8"/>
  <c r="C38" i="8"/>
  <c r="C37" i="8"/>
  <c r="C19" i="8"/>
  <c r="C23" i="8"/>
  <c r="C27" i="8"/>
  <c r="C31" i="8"/>
  <c r="C14" i="8"/>
  <c r="C34" i="8"/>
  <c r="C16" i="8"/>
  <c r="C20" i="8"/>
  <c r="C24" i="8"/>
  <c r="C28" i="8"/>
  <c r="C32" i="8"/>
  <c r="C35" i="8"/>
  <c r="C17" i="8"/>
  <c r="C21" i="8"/>
  <c r="C25" i="8"/>
  <c r="C29" i="8"/>
  <c r="C33" i="8"/>
  <c r="C36" i="8"/>
  <c r="C18" i="8"/>
  <c r="C26" i="8"/>
  <c r="C15" i="8"/>
  <c r="C39" i="8"/>
  <c r="C22" i="8"/>
  <c r="C30" i="8"/>
  <c r="D5" i="8"/>
  <c r="D4" i="8"/>
  <c r="D2" i="8"/>
  <c r="D7" i="8"/>
  <c r="D6" i="8"/>
  <c r="D3" i="8"/>
  <c r="C25" i="12" l="1"/>
  <c r="I6" i="12"/>
  <c r="U2" i="3"/>
  <c r="G1" i="11"/>
  <c r="C1" i="11"/>
  <c r="K1" i="5"/>
  <c r="M1" i="5"/>
  <c r="E1" i="11"/>
  <c r="F1" i="11"/>
  <c r="J3" i="5"/>
  <c r="K10" i="11"/>
  <c r="D1" i="11"/>
  <c r="J9" i="11"/>
  <c r="K9" i="11"/>
  <c r="J8" i="11"/>
  <c r="I1" i="11"/>
  <c r="J1" i="11"/>
  <c r="K1" i="11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2" i="3"/>
  <c r="B2" i="11"/>
  <c r="A2" i="11"/>
  <c r="R22" i="11" l="1"/>
  <c r="O24" i="11"/>
  <c r="P25" i="11"/>
  <c r="Q25" i="11"/>
  <c r="P26" i="11"/>
  <c r="P24" i="11"/>
  <c r="P22" i="11"/>
  <c r="P20" i="11"/>
  <c r="O26" i="11"/>
  <c r="O22" i="11"/>
  <c r="O20" i="11"/>
  <c r="P27" i="11"/>
  <c r="P23" i="11"/>
  <c r="P21" i="11"/>
  <c r="P19" i="11"/>
  <c r="R20" i="11"/>
  <c r="O19" i="11"/>
  <c r="O27" i="11"/>
  <c r="R25" i="11"/>
  <c r="Q24" i="11"/>
  <c r="Q23" i="11"/>
  <c r="Q26" i="11"/>
  <c r="O21" i="11"/>
  <c r="R19" i="11"/>
  <c r="R24" i="11"/>
  <c r="O23" i="11"/>
  <c r="R21" i="11"/>
  <c r="Q20" i="11"/>
  <c r="Q19" i="11"/>
  <c r="Q27" i="11"/>
  <c r="R26" i="11"/>
  <c r="O25" i="11"/>
  <c r="R23" i="11"/>
  <c r="Q22" i="11"/>
  <c r="Q21" i="11"/>
  <c r="R27" i="11"/>
  <c r="C2" i="11"/>
  <c r="G2" i="11"/>
  <c r="M1" i="4"/>
  <c r="J3" i="4" s="1"/>
  <c r="D2" i="11"/>
  <c r="J2" i="11"/>
  <c r="P2" i="7"/>
  <c r="I2" i="11"/>
  <c r="P3" i="7"/>
  <c r="G2" i="7"/>
  <c r="L1" i="6"/>
  <c r="F2" i="11"/>
  <c r="G3" i="7"/>
  <c r="E2" i="11"/>
  <c r="K2" i="11" l="1"/>
  <c r="A3" i="6"/>
  <c r="D1" i="6"/>
  <c r="K3" i="6"/>
  <c r="N1" i="6"/>
  <c r="A4" i="7"/>
  <c r="J4" i="7"/>
  <c r="D1" i="4"/>
  <c r="A3" i="4" s="1"/>
  <c r="B1" i="4"/>
  <c r="O1" i="5"/>
  <c r="F1" i="5"/>
  <c r="D1" i="5"/>
  <c r="B1" i="5"/>
  <c r="A3" i="5" s="1"/>
  <c r="O1" i="4"/>
  <c r="K1" i="4"/>
  <c r="F1" i="4"/>
  <c r="J5" i="7"/>
  <c r="A5" i="7"/>
  <c r="J4" i="5"/>
  <c r="A3" i="11"/>
  <c r="A4" i="5"/>
  <c r="P9" i="6" a="1"/>
  <c r="A4" i="6"/>
  <c r="F9" i="6" a="1"/>
  <c r="B3" i="11"/>
  <c r="K4" i="6"/>
  <c r="F10" i="6" l="1"/>
  <c r="F9" i="6"/>
  <c r="C3" i="11"/>
  <c r="G3" i="11"/>
  <c r="B5" i="7"/>
  <c r="K5" i="7"/>
  <c r="P9" i="6"/>
  <c r="P10" i="6"/>
  <c r="M3" i="6"/>
  <c r="P1" i="6"/>
  <c r="F1" i="6"/>
  <c r="C3" i="6"/>
  <c r="A4" i="4"/>
  <c r="D3" i="11"/>
  <c r="E3" i="11"/>
  <c r="J5" i="5"/>
  <c r="K5" i="6"/>
  <c r="J3" i="11"/>
  <c r="J6" i="7"/>
  <c r="A5" i="6"/>
  <c r="J4" i="4"/>
  <c r="I3" i="11"/>
  <c r="A6" i="7"/>
  <c r="A5" i="5"/>
  <c r="F3" i="11"/>
  <c r="E3" i="6" l="1"/>
  <c r="K3" i="11"/>
  <c r="B4" i="5"/>
  <c r="K6" i="7"/>
  <c r="B6" i="7"/>
  <c r="Q3" i="6"/>
  <c r="O3" i="6"/>
  <c r="G3" i="6"/>
  <c r="K5" i="5"/>
  <c r="K4" i="4"/>
  <c r="B4" i="4"/>
  <c r="K4" i="5"/>
  <c r="A6" i="5"/>
  <c r="J5" i="4"/>
  <c r="A7" i="7"/>
  <c r="M4" i="6"/>
  <c r="C4" i="6"/>
  <c r="J6" i="5"/>
  <c r="J7" i="7"/>
  <c r="A4" i="11"/>
  <c r="A6" i="6"/>
  <c r="B4" i="11"/>
  <c r="A5" i="4"/>
  <c r="G4" i="11" l="1"/>
  <c r="C4" i="11"/>
  <c r="B5" i="5"/>
  <c r="B7" i="7"/>
  <c r="K7" i="7"/>
  <c r="G4" i="6"/>
  <c r="E4" i="6"/>
  <c r="Q4" i="6"/>
  <c r="O4" i="6"/>
  <c r="K6" i="5"/>
  <c r="K5" i="4"/>
  <c r="B5" i="4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N2" i="3"/>
  <c r="C2" i="3"/>
  <c r="J6" i="4"/>
  <c r="Q2" i="3"/>
  <c r="F2" i="3"/>
  <c r="A7" i="6"/>
  <c r="P2" i="3"/>
  <c r="M5" i="6"/>
  <c r="D4" i="11"/>
  <c r="A7" i="5"/>
  <c r="A6" i="4"/>
  <c r="A8" i="7"/>
  <c r="E4" i="11"/>
  <c r="F4" i="11"/>
  <c r="J8" i="7"/>
  <c r="D2" i="3"/>
  <c r="C5" i="6"/>
  <c r="E2" i="3"/>
  <c r="O2" i="3"/>
  <c r="B6" i="5" l="1"/>
  <c r="B3" i="3"/>
  <c r="A3" i="3"/>
  <c r="O5" i="6"/>
  <c r="Q5" i="6"/>
  <c r="K8" i="7"/>
  <c r="G5" i="6"/>
  <c r="E5" i="6"/>
  <c r="B8" i="7"/>
  <c r="K6" i="4"/>
  <c r="B6" i="4"/>
  <c r="M3" i="3"/>
  <c r="L3" i="3"/>
  <c r="A5" i="11"/>
  <c r="A9" i="7"/>
  <c r="E3" i="3"/>
  <c r="B5" i="11"/>
  <c r="D3" i="3"/>
  <c r="A7" i="4"/>
  <c r="O3" i="3"/>
  <c r="C6" i="6"/>
  <c r="A8" i="5"/>
  <c r="P3" i="3"/>
  <c r="G5" i="11" l="1"/>
  <c r="C5" i="11"/>
  <c r="B7" i="5"/>
  <c r="B9" i="7"/>
  <c r="E6" i="6"/>
  <c r="G6" i="6"/>
  <c r="B7" i="4"/>
  <c r="N3" i="3"/>
  <c r="R3" i="3"/>
  <c r="C3" i="3"/>
  <c r="G3" i="3"/>
  <c r="C7" i="6"/>
  <c r="E5" i="11"/>
  <c r="Q3" i="3"/>
  <c r="A10" i="7"/>
  <c r="F5" i="11"/>
  <c r="F3" i="3"/>
  <c r="D5" i="11"/>
  <c r="B10" i="7" l="1"/>
  <c r="B8" i="5"/>
  <c r="G7" i="6"/>
  <c r="E7" i="6"/>
  <c r="L4" i="3"/>
  <c r="M4" i="3"/>
  <c r="A4" i="3"/>
  <c r="B4" i="3"/>
  <c r="A11" i="7"/>
  <c r="D4" i="3"/>
  <c r="E4" i="3"/>
  <c r="B6" i="11"/>
  <c r="O4" i="3"/>
  <c r="A6" i="11"/>
  <c r="P4" i="3"/>
  <c r="B11" i="7" l="1"/>
  <c r="G6" i="11"/>
  <c r="C6" i="11"/>
  <c r="R4" i="3"/>
  <c r="N4" i="3"/>
  <c r="G4" i="3"/>
  <c r="C4" i="3"/>
  <c r="A12" i="7"/>
  <c r="D6" i="11"/>
  <c r="E6" i="11"/>
  <c r="Q4" i="3"/>
  <c r="F4" i="3"/>
  <c r="F6" i="11"/>
  <c r="B12" i="7" l="1"/>
  <c r="M5" i="3"/>
  <c r="L5" i="3"/>
  <c r="B5" i="3"/>
  <c r="A5" i="3"/>
  <c r="E5" i="3"/>
  <c r="B7" i="11"/>
  <c r="P5" i="3"/>
  <c r="A7" i="11"/>
  <c r="D5" i="3"/>
  <c r="O5" i="3"/>
  <c r="G7" i="11" l="1"/>
  <c r="C7" i="11"/>
  <c r="R5" i="3"/>
  <c r="N5" i="3"/>
  <c r="G5" i="3"/>
  <c r="C5" i="3"/>
  <c r="Q5" i="3"/>
  <c r="D7" i="11"/>
  <c r="F5" i="3"/>
  <c r="E7" i="11"/>
  <c r="F7" i="11"/>
  <c r="L6" i="3" l="1"/>
  <c r="M6" i="3"/>
  <c r="A6" i="3"/>
  <c r="B6" i="3"/>
  <c r="O6" i="3"/>
  <c r="A8" i="11"/>
  <c r="E6" i="3"/>
  <c r="B8" i="11"/>
  <c r="D6" i="3"/>
  <c r="P6" i="3"/>
  <c r="C8" i="11" l="1"/>
  <c r="G8" i="11"/>
  <c r="R6" i="3"/>
  <c r="N6" i="3"/>
  <c r="G6" i="3"/>
  <c r="C6" i="3"/>
  <c r="D8" i="11"/>
  <c r="Q6" i="3"/>
  <c r="F8" i="11"/>
  <c r="F6" i="3"/>
  <c r="E8" i="11"/>
  <c r="M7" i="3" l="1"/>
  <c r="L7" i="3"/>
  <c r="B7" i="3"/>
  <c r="A7" i="3"/>
  <c r="A9" i="11"/>
  <c r="P7" i="3"/>
  <c r="O7" i="3"/>
  <c r="E7" i="3"/>
  <c r="D9" i="11"/>
  <c r="B9" i="11"/>
  <c r="D7" i="3"/>
  <c r="G9" i="11" l="1"/>
  <c r="C9" i="11"/>
  <c r="R7" i="3"/>
  <c r="N7" i="3"/>
  <c r="G7" i="3"/>
  <c r="C7" i="3"/>
  <c r="F7" i="3"/>
  <c r="E9" i="11"/>
  <c r="F9" i="11"/>
  <c r="Q7" i="3"/>
  <c r="M8" i="3" l="1"/>
  <c r="L8" i="3"/>
  <c r="B8" i="3"/>
  <c r="A8" i="3"/>
  <c r="A10" i="11"/>
  <c r="D8" i="3"/>
  <c r="D10" i="11"/>
  <c r="B10" i="11"/>
  <c r="P8" i="3"/>
  <c r="O8" i="3"/>
  <c r="E8" i="3"/>
  <c r="G10" i="11" l="1"/>
  <c r="C10" i="11"/>
  <c r="R8" i="3"/>
  <c r="N8" i="3"/>
  <c r="G8" i="3"/>
  <c r="C8" i="3"/>
  <c r="E10" i="11"/>
  <c r="Q8" i="3"/>
  <c r="F8" i="3"/>
  <c r="F10" i="11"/>
  <c r="L9" i="3" l="1"/>
  <c r="M9" i="3"/>
  <c r="B9" i="3"/>
  <c r="A9" i="3"/>
  <c r="A11" i="11"/>
  <c r="E9" i="3"/>
  <c r="O9" i="3"/>
  <c r="B11" i="11"/>
  <c r="P9" i="3"/>
  <c r="D9" i="3"/>
  <c r="D11" i="11"/>
  <c r="G11" i="11" l="1"/>
  <c r="C11" i="11"/>
  <c r="R9" i="3"/>
  <c r="N9" i="3"/>
  <c r="G9" i="3"/>
  <c r="C9" i="3"/>
  <c r="F11" i="11"/>
  <c r="F9" i="3"/>
  <c r="Q9" i="3"/>
  <c r="E11" i="11"/>
  <c r="A10" i="3" l="1"/>
  <c r="B10" i="3"/>
  <c r="A12" i="11"/>
  <c r="B12" i="11"/>
  <c r="D10" i="3"/>
  <c r="E10" i="3"/>
  <c r="G12" i="11" l="1"/>
  <c r="C12" i="11"/>
  <c r="C10" i="3"/>
  <c r="G10" i="3"/>
  <c r="E12" i="11"/>
  <c r="F10" i="3"/>
  <c r="D12" i="11"/>
  <c r="F12" i="11"/>
  <c r="B11" i="3" l="1"/>
  <c r="A11" i="3"/>
  <c r="B13" i="11"/>
  <c r="E11" i="3"/>
  <c r="A13" i="11"/>
  <c r="D11" i="3"/>
  <c r="G13" i="11" l="1"/>
  <c r="C13" i="11"/>
  <c r="G11" i="3"/>
  <c r="C11" i="3"/>
  <c r="D13" i="11"/>
  <c r="E13" i="11"/>
  <c r="F13" i="11"/>
  <c r="F11" i="3"/>
  <c r="B12" i="3" l="1"/>
  <c r="A12" i="3"/>
  <c r="D12" i="3"/>
  <c r="E12" i="3"/>
  <c r="C12" i="3" l="1"/>
  <c r="G12" i="3"/>
  <c r="F12" i="3"/>
  <c r="L40" i="2" l="1"/>
  <c r="L44" i="2"/>
  <c r="L48" i="2"/>
  <c r="L32" i="2"/>
  <c r="L36" i="2"/>
  <c r="R26" i="2"/>
  <c r="L37" i="2" s="1"/>
  <c r="H26" i="2"/>
  <c r="B32" i="2" s="1"/>
  <c r="C45" i="2"/>
  <c r="C36" i="2"/>
  <c r="C28" i="2"/>
  <c r="C38" i="2"/>
  <c r="C41" i="2"/>
  <c r="C46" i="2"/>
  <c r="M28" i="2"/>
  <c r="R32" i="2"/>
  <c r="H32" i="2"/>
  <c r="R31" i="2"/>
  <c r="H33" i="2"/>
  <c r="M29" i="2"/>
  <c r="M48" i="2"/>
  <c r="M36" i="2"/>
  <c r="M40" i="2"/>
  <c r="C34" i="2"/>
  <c r="M42" i="2"/>
  <c r="M39" i="2"/>
  <c r="M47" i="2"/>
  <c r="C43" i="2"/>
  <c r="M45" i="2"/>
  <c r="R33" i="2"/>
  <c r="C30" i="2"/>
  <c r="M43" i="2"/>
  <c r="C48" i="2"/>
  <c r="C37" i="2"/>
  <c r="M41" i="2"/>
  <c r="C44" i="2"/>
  <c r="M33" i="2"/>
  <c r="M37" i="2"/>
  <c r="M44" i="2"/>
  <c r="C31" i="2"/>
  <c r="M31" i="2"/>
  <c r="M46" i="2"/>
  <c r="M34" i="2"/>
  <c r="C40" i="2"/>
  <c r="M30" i="2"/>
  <c r="C29" i="2"/>
  <c r="M38" i="2"/>
  <c r="M35" i="2"/>
  <c r="C32" i="2"/>
  <c r="H31" i="2"/>
  <c r="M32" i="2"/>
  <c r="C35" i="2"/>
  <c r="C47" i="2"/>
  <c r="C39" i="2"/>
  <c r="C33" i="2"/>
  <c r="C42" i="2"/>
  <c r="R34" i="2"/>
  <c r="H34" i="2"/>
  <c r="B43" i="2" l="1"/>
  <c r="B35" i="2"/>
  <c r="B31" i="2"/>
  <c r="B46" i="2"/>
  <c r="B38" i="2"/>
  <c r="B30" i="2"/>
  <c r="L31" i="2"/>
  <c r="L43" i="2"/>
  <c r="B28" i="2"/>
  <c r="B45" i="2"/>
  <c r="B41" i="2"/>
  <c r="B37" i="2"/>
  <c r="B33" i="2"/>
  <c r="B29" i="2"/>
  <c r="L34" i="2"/>
  <c r="L30" i="2"/>
  <c r="L46" i="2"/>
  <c r="L42" i="2"/>
  <c r="L38" i="2"/>
  <c r="B47" i="2"/>
  <c r="B39" i="2"/>
  <c r="B42" i="2"/>
  <c r="B34" i="2"/>
  <c r="L35" i="2"/>
  <c r="L47" i="2"/>
  <c r="L39" i="2"/>
  <c r="B48" i="2"/>
  <c r="B44" i="2"/>
  <c r="B40" i="2"/>
  <c r="B36" i="2"/>
  <c r="L28" i="2"/>
  <c r="L33" i="2"/>
  <c r="L29" i="2"/>
  <c r="L45" i="2"/>
  <c r="L41" i="2"/>
  <c r="N38" i="2"/>
  <c r="N42" i="2"/>
  <c r="N46" i="2"/>
  <c r="N29" i="2"/>
  <c r="Q32" i="2"/>
  <c r="N34" i="2"/>
  <c r="N40" i="2"/>
  <c r="N44" i="2"/>
  <c r="N48" i="2"/>
  <c r="N30" i="2"/>
  <c r="N32" i="2"/>
  <c r="N33" i="2"/>
  <c r="N37" i="2"/>
  <c r="N41" i="2"/>
  <c r="N45" i="2"/>
  <c r="Q33" i="2"/>
  <c r="N28" i="2"/>
  <c r="Q31" i="2"/>
  <c r="N36" i="2"/>
  <c r="N31" i="2"/>
  <c r="N35" i="2"/>
  <c r="N39" i="2"/>
  <c r="N43" i="2"/>
  <c r="N47" i="2"/>
  <c r="D38" i="2"/>
  <c r="D42" i="2"/>
  <c r="D46" i="2"/>
  <c r="G32" i="2"/>
  <c r="D29" i="2"/>
  <c r="D33" i="2"/>
  <c r="D37" i="2"/>
  <c r="D41" i="2"/>
  <c r="D45" i="2"/>
  <c r="D30" i="2"/>
  <c r="D32" i="2"/>
  <c r="D34" i="2"/>
  <c r="D36" i="2"/>
  <c r="D40" i="2"/>
  <c r="D44" i="2"/>
  <c r="D48" i="2"/>
  <c r="D31" i="2"/>
  <c r="D35" i="2"/>
  <c r="D39" i="2"/>
  <c r="D43" i="2"/>
  <c r="D47" i="2"/>
  <c r="L15" i="2"/>
  <c r="L19" i="2"/>
  <c r="L20" i="2"/>
  <c r="L11" i="2"/>
  <c r="L12" i="2"/>
  <c r="L5" i="2"/>
  <c r="L6" i="2"/>
  <c r="L4" i="2"/>
  <c r="L3" i="2"/>
  <c r="R1" i="2"/>
  <c r="L21" i="2" s="1"/>
  <c r="M19" i="2"/>
  <c r="M11" i="2"/>
  <c r="R9" i="2"/>
  <c r="R8" i="2"/>
  <c r="M5" i="2"/>
  <c r="M21" i="2"/>
  <c r="M7" i="2"/>
  <c r="M10" i="2"/>
  <c r="M6" i="2"/>
  <c r="M20" i="2"/>
  <c r="M12" i="2"/>
  <c r="M17" i="2"/>
  <c r="M18" i="2"/>
  <c r="R7" i="2"/>
  <c r="M22" i="2"/>
  <c r="M4" i="2"/>
  <c r="M13" i="2"/>
  <c r="M8" i="2"/>
  <c r="M9" i="2"/>
  <c r="M23" i="2"/>
  <c r="R6" i="2"/>
  <c r="M15" i="2"/>
  <c r="M3" i="2"/>
  <c r="M14" i="2"/>
  <c r="M16" i="2"/>
  <c r="L8" i="2" l="1"/>
  <c r="L14" i="2"/>
  <c r="L10" i="2"/>
  <c r="L18" i="2"/>
  <c r="L23" i="2"/>
  <c r="L7" i="2"/>
  <c r="L13" i="2"/>
  <c r="L9" i="2"/>
  <c r="L17" i="2"/>
  <c r="L22" i="2"/>
  <c r="L16" i="2"/>
  <c r="Q34" i="2"/>
  <c r="N5" i="2"/>
  <c r="N13" i="2"/>
  <c r="N4" i="2"/>
  <c r="N8" i="2"/>
  <c r="N12" i="2"/>
  <c r="N16" i="2"/>
  <c r="N20" i="2"/>
  <c r="N10" i="2"/>
  <c r="N14" i="2"/>
  <c r="N18" i="2"/>
  <c r="N22" i="2"/>
  <c r="N7" i="2"/>
  <c r="N17" i="2"/>
  <c r="N21" i="2"/>
  <c r="Q8" i="2"/>
  <c r="N3" i="2"/>
  <c r="N9" i="2"/>
  <c r="N11" i="2"/>
  <c r="N15" i="2"/>
  <c r="N19" i="2"/>
  <c r="N23" i="2"/>
  <c r="N6" i="2"/>
  <c r="Q7" i="2"/>
  <c r="Q6" i="2"/>
  <c r="B10" i="2"/>
  <c r="B14" i="2"/>
  <c r="B18" i="2"/>
  <c r="B22" i="2"/>
  <c r="B6" i="2"/>
  <c r="H1" i="2"/>
  <c r="B7" i="2" s="1"/>
  <c r="C7" i="2"/>
  <c r="C20" i="2"/>
  <c r="C6" i="2"/>
  <c r="C10" i="2"/>
  <c r="C8" i="2"/>
  <c r="C21" i="2"/>
  <c r="C9" i="2"/>
  <c r="C19" i="2"/>
  <c r="C16" i="2"/>
  <c r="C11" i="2"/>
  <c r="C13" i="2"/>
  <c r="C5" i="2"/>
  <c r="C12" i="2"/>
  <c r="C14" i="2"/>
  <c r="H6" i="2"/>
  <c r="C3" i="2"/>
  <c r="C22" i="2"/>
  <c r="C15" i="2"/>
  <c r="H7" i="2"/>
  <c r="C4" i="2"/>
  <c r="C23" i="2"/>
  <c r="C18" i="2"/>
  <c r="H9" i="2"/>
  <c r="H8" i="2"/>
  <c r="C17" i="2"/>
  <c r="B5" i="2" l="1"/>
  <c r="B21" i="2"/>
  <c r="B17" i="2"/>
  <c r="B13" i="2"/>
  <c r="B9" i="2"/>
  <c r="B4" i="2"/>
  <c r="B20" i="2"/>
  <c r="B16" i="2"/>
  <c r="B12" i="2"/>
  <c r="B8" i="2"/>
  <c r="B3" i="2"/>
  <c r="B23" i="2"/>
  <c r="B19" i="2"/>
  <c r="B15" i="2"/>
  <c r="B11" i="2"/>
  <c r="Q9" i="2"/>
  <c r="D3" i="2"/>
  <c r="G8" i="2"/>
  <c r="G6" i="2"/>
  <c r="D19" i="2"/>
  <c r="D15" i="2"/>
  <c r="D11" i="2"/>
  <c r="D7" i="2"/>
  <c r="D18" i="2"/>
  <c r="D14" i="2"/>
  <c r="D10" i="2"/>
  <c r="D6" i="2"/>
  <c r="D21" i="2"/>
  <c r="D17" i="2"/>
  <c r="D13" i="2"/>
  <c r="D9" i="2"/>
  <c r="D5" i="2"/>
  <c r="D20" i="2"/>
  <c r="D16" i="2"/>
  <c r="D12" i="2"/>
  <c r="D8" i="2"/>
  <c r="D4" i="2"/>
  <c r="G7" i="2"/>
  <c r="D23" i="2"/>
  <c r="D22" i="2"/>
  <c r="G9" i="2" l="1"/>
  <c r="G31" i="2" l="1"/>
  <c r="D28" i="2"/>
  <c r="G34" i="2" s="1"/>
  <c r="G33" i="2"/>
  <c r="M17" i="3" a="1"/>
  <c r="M18" i="3" l="1"/>
  <c r="M17" i="3"/>
</calcChain>
</file>

<file path=xl/sharedStrings.xml><?xml version="1.0" encoding="utf-8"?>
<sst xmlns="http://schemas.openxmlformats.org/spreadsheetml/2006/main" count="231" uniqueCount="88">
  <si>
    <t xml:space="preserve">a = </t>
  </si>
  <si>
    <t>b =</t>
  </si>
  <si>
    <t>n =</t>
  </si>
  <si>
    <t>h =</t>
  </si>
  <si>
    <t>№ точки</t>
  </si>
  <si>
    <t>Xi</t>
  </si>
  <si>
    <t>f(Xi)</t>
  </si>
  <si>
    <t>Симпсон</t>
  </si>
  <si>
    <t>S левая</t>
  </si>
  <si>
    <t>S правая</t>
  </si>
  <si>
    <t>S средняя</t>
  </si>
  <si>
    <t>S Симпсон</t>
  </si>
  <si>
    <t>VBA</t>
  </si>
  <si>
    <t>a</t>
  </si>
  <si>
    <t>b</t>
  </si>
  <si>
    <t>c</t>
  </si>
  <si>
    <t>f(a)</t>
  </si>
  <si>
    <t>f(b)</t>
  </si>
  <si>
    <t>f©</t>
  </si>
  <si>
    <t>e</t>
  </si>
  <si>
    <t>n</t>
  </si>
  <si>
    <t>x</t>
  </si>
  <si>
    <t>y</t>
  </si>
  <si>
    <t>bn</t>
  </si>
  <si>
    <t>an</t>
  </si>
  <si>
    <t>cn</t>
  </si>
  <si>
    <t>Xn</t>
  </si>
  <si>
    <t xml:space="preserve">a </t>
  </si>
  <si>
    <t>f'(b) =</t>
  </si>
  <si>
    <t>f'(a) =</t>
  </si>
  <si>
    <t>m</t>
  </si>
  <si>
    <t>№</t>
  </si>
  <si>
    <t>Матрица X</t>
  </si>
  <si>
    <t>Матрица С</t>
  </si>
  <si>
    <t>П5</t>
  </si>
  <si>
    <t>П5(Xn)</t>
  </si>
  <si>
    <t>П0</t>
  </si>
  <si>
    <t>П1</t>
  </si>
  <si>
    <t>П2</t>
  </si>
  <si>
    <t>П3</t>
  </si>
  <si>
    <t>П4</t>
  </si>
  <si>
    <t>L5</t>
  </si>
  <si>
    <t>L5(Xn)</t>
  </si>
  <si>
    <t>dy1</t>
  </si>
  <si>
    <t>dy2</t>
  </si>
  <si>
    <t>dy3</t>
  </si>
  <si>
    <t>dy4</t>
  </si>
  <si>
    <t>dy5</t>
  </si>
  <si>
    <t>A</t>
  </si>
  <si>
    <t>B</t>
  </si>
  <si>
    <t>C</t>
  </si>
  <si>
    <t>D</t>
  </si>
  <si>
    <t>E</t>
  </si>
  <si>
    <t>F</t>
  </si>
  <si>
    <t>N5</t>
  </si>
  <si>
    <t>N5(Xn)</t>
  </si>
  <si>
    <t>x^2</t>
  </si>
  <si>
    <t>x^3</t>
  </si>
  <si>
    <t>x^4</t>
  </si>
  <si>
    <t>yx</t>
  </si>
  <si>
    <t>yx^2</t>
  </si>
  <si>
    <t>Сумм</t>
  </si>
  <si>
    <t>М Прямой</t>
  </si>
  <si>
    <t>М Параболы</t>
  </si>
  <si>
    <t>b1</t>
  </si>
  <si>
    <t>b2</t>
  </si>
  <si>
    <t>c1</t>
  </si>
  <si>
    <t>c2</t>
  </si>
  <si>
    <t>b3</t>
  </si>
  <si>
    <t>c3</t>
  </si>
  <si>
    <t>y Параболы</t>
  </si>
  <si>
    <t>y Прямой</t>
  </si>
  <si>
    <t>N^2</t>
  </si>
  <si>
    <t>y Собст.</t>
  </si>
  <si>
    <t>М Собст</t>
  </si>
  <si>
    <t>Y =ln(y)</t>
  </si>
  <si>
    <t>A=ln(a)</t>
  </si>
  <si>
    <t>B=-b</t>
  </si>
  <si>
    <t>Y=A+Bx</t>
  </si>
  <si>
    <t>Y=ln(y)</t>
  </si>
  <si>
    <t>Yx</t>
  </si>
  <si>
    <t>ln(y)=ln(a)-bx</t>
  </si>
  <si>
    <t>h=</t>
  </si>
  <si>
    <t>X</t>
  </si>
  <si>
    <t>p(x)</t>
  </si>
  <si>
    <t>q(x)</t>
  </si>
  <si>
    <t>r(x)</t>
  </si>
  <si>
    <t>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</si>
</sst>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1"/>
      <name val="Calibri"/>
      <family val="2"/>
      <scheme val="minor"/>
    </font>
    <font>
      <sz val="11"/>
      <color theme="6" tint="0.7999816888943144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1" fillId="0" borderId="0" xfId="0" applyFont="1" applyAlignment="1">
      <alignment horizontal="left" vertical="center" indent="1"/>
    </xf>
    <xf numFmtId="0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2" fillId="2" borderId="4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4" borderId="13" xfId="0" applyFill="1" applyBorder="1"/>
    <xf numFmtId="0" fontId="0" fillId="4" borderId="14" xfId="0" applyFill="1" applyBorder="1"/>
    <xf numFmtId="0" fontId="0" fillId="0" borderId="6" xfId="0" applyBorder="1"/>
    <xf numFmtId="0" fontId="0" fillId="0" borderId="7" xfId="0" applyBorder="1"/>
    <xf numFmtId="0" fontId="2" fillId="2" borderId="1" xfId="0" applyFont="1" applyFill="1" applyBorder="1"/>
    <xf numFmtId="0" fontId="0" fillId="0" borderId="5" xfId="0" applyBorder="1"/>
    <xf numFmtId="0" fontId="4" fillId="0" borderId="0" xfId="0" applyFont="1"/>
    <xf numFmtId="0" fontId="2" fillId="2" borderId="13" xfId="0" applyFont="1" applyFill="1" applyBorder="1"/>
    <xf numFmtId="0" fontId="2" fillId="2" borderId="15" xfId="0" applyFont="1" applyFill="1" applyBorder="1"/>
    <xf numFmtId="0" fontId="0" fillId="0" borderId="1" xfId="0" applyBorder="1"/>
    <xf numFmtId="0" fontId="2" fillId="5" borderId="4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0" borderId="1" xfId="0" applyFont="1" applyBorder="1"/>
    <xf numFmtId="0" fontId="2" fillId="6" borderId="7" xfId="0" applyFont="1" applyFill="1" applyBorder="1"/>
    <xf numFmtId="0" fontId="0" fillId="0" borderId="8" xfId="0" applyFill="1" applyBorder="1"/>
    <xf numFmtId="0" fontId="0" fillId="0" borderId="0" xfId="0" applyFill="1" applyBorder="1"/>
    <xf numFmtId="0" fontId="2" fillId="0" borderId="0" xfId="0" applyFont="1" applyFill="1" applyBorder="1"/>
    <xf numFmtId="0" fontId="5" fillId="0" borderId="0" xfId="0" applyFont="1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2" fillId="6" borderId="12" xfId="0" applyFont="1" applyFill="1" applyBorder="1"/>
    <xf numFmtId="0" fontId="0" fillId="0" borderId="0" xfId="0" applyFill="1"/>
    <xf numFmtId="0" fontId="0" fillId="7" borderId="2" xfId="0" applyFill="1" applyBorder="1"/>
    <xf numFmtId="0" fontId="0" fillId="7" borderId="3" xfId="0" applyFill="1" applyBorder="1"/>
    <xf numFmtId="0" fontId="0" fillId="7" borderId="6" xfId="0" applyFill="1" applyBorder="1"/>
    <xf numFmtId="0" fontId="0" fillId="7" borderId="0" xfId="0" applyFill="1" applyBorder="1"/>
    <xf numFmtId="0" fontId="0" fillId="0" borderId="11" xfId="0" applyBorder="1" applyAlignment="1"/>
    <xf numFmtId="0" fontId="0" fillId="0" borderId="0" xfId="0" applyBorder="1" applyAlignme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2" fillId="7" borderId="0" xfId="0" applyFont="1" applyFill="1"/>
    <xf numFmtId="0" fontId="2" fillId="7" borderId="16" xfId="0" applyFont="1" applyFill="1" applyBorder="1"/>
    <xf numFmtId="0" fontId="5" fillId="0" borderId="0" xfId="0" applyFont="1" applyBorder="1" applyAlignment="1">
      <alignment horizontal="center" vertical="center"/>
    </xf>
    <xf numFmtId="0" fontId="0" fillId="0" borderId="16" xfId="0" applyBorder="1"/>
    <xf numFmtId="0" fontId="2" fillId="2" borderId="14" xfId="0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2" fillId="8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6" borderId="1" xfId="0" applyFont="1" applyFill="1" applyBorder="1"/>
    <xf numFmtId="0" fontId="2" fillId="0" borderId="15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" fillId="0" borderId="2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0" borderId="1" xfId="0" applyFont="1" applyFill="1" applyBorder="1"/>
    <xf numFmtId="0" fontId="2" fillId="9" borderId="1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8" borderId="13" xfId="0" applyFill="1" applyBorder="1"/>
    <xf numFmtId="0" fontId="0" fillId="8" borderId="1" xfId="0" applyFill="1" applyBorder="1"/>
    <xf numFmtId="0" fontId="0" fillId="8" borderId="10" xfId="0" applyFill="1" applyBorder="1"/>
    <xf numFmtId="0" fontId="0" fillId="8" borderId="15" xfId="0" applyFill="1" applyBorder="1"/>
    <xf numFmtId="0" fontId="2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6" borderId="14" xfId="0" applyFont="1" applyFill="1" applyBorder="1"/>
    <xf numFmtId="0" fontId="2" fillId="6" borderId="15" xfId="0" applyFont="1" applyFill="1" applyBorder="1"/>
    <xf numFmtId="0" fontId="2" fillId="2" borderId="13" xfId="0" applyFont="1" applyFill="1" applyBorder="1" applyAlignment="1">
      <alignment horizontal="center"/>
    </xf>
    <xf numFmtId="0" fontId="0" fillId="13" borderId="5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14" borderId="5" xfId="0" applyFill="1" applyBorder="1"/>
    <xf numFmtId="0" fontId="0" fillId="14" borderId="11" xfId="0" applyFill="1" applyBorder="1"/>
    <xf numFmtId="0" fontId="0" fillId="14" borderId="8" xfId="0" applyFill="1" applyBorder="1"/>
    <xf numFmtId="0" fontId="0" fillId="14" borderId="7" xfId="0" applyFill="1" applyBorder="1"/>
    <xf numFmtId="0" fontId="0" fillId="14" borderId="12" xfId="0" applyFill="1" applyBorder="1"/>
    <xf numFmtId="0" fontId="0" fillId="14" borderId="10" xfId="0" applyFill="1" applyBorder="1"/>
    <xf numFmtId="0" fontId="0" fillId="14" borderId="2" xfId="0" applyFill="1" applyBorder="1"/>
    <xf numFmtId="0" fontId="0" fillId="14" borderId="4" xfId="0" applyFill="1" applyBorder="1"/>
    <xf numFmtId="0" fontId="2" fillId="7" borderId="2" xfId="0" applyFont="1" applyFill="1" applyBorder="1"/>
    <xf numFmtId="0" fontId="2" fillId="7" borderId="3" xfId="0" applyFont="1" applyFill="1" applyBorder="1"/>
    <xf numFmtId="0" fontId="2" fillId="7" borderId="4" xfId="0" applyFont="1" applyFill="1" applyBorder="1"/>
    <xf numFmtId="0" fontId="2" fillId="2" borderId="13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9" borderId="13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9" borderId="13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9" borderId="15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11" borderId="13" xfId="0" applyFont="1" applyFill="1" applyBorder="1" applyAlignment="1">
      <alignment horizontal="center"/>
    </xf>
    <xf numFmtId="0" fontId="2" fillId="11" borderId="15" xfId="0" applyFont="1" applyFill="1" applyBorder="1" applyAlignment="1">
      <alignment horizontal="center"/>
    </xf>
    <xf numFmtId="0" fontId="2" fillId="11" borderId="14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997311311695797E-2"/>
          <c:y val="0.11430894308943092"/>
          <c:w val="0.87897829844440178"/>
          <c:h val="0.64645925356891365"/>
        </c:manualLayout>
      </c:layout>
      <c:lineChart>
        <c:grouping val="standard"/>
        <c:varyColors val="0"/>
        <c:ser>
          <c:idx val="0"/>
          <c:order val="0"/>
          <c:tx>
            <c:strRef>
              <c:f>Интегралы!$C$2</c:f>
              <c:strCache>
                <c:ptCount val="1"/>
                <c:pt idx="0">
                  <c:v>f(Xi)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Интегралы!$B$3:$B$23</c:f>
              <c:numCache>
                <c:formatCode>General</c:formatCode>
                <c:ptCount val="21"/>
                <c:pt idx="0">
                  <c:v>1.2</c:v>
                </c:pt>
                <c:pt idx="1">
                  <c:v>1.26</c:v>
                </c:pt>
                <c:pt idx="2">
                  <c:v>1.3199999999999998</c:v>
                </c:pt>
                <c:pt idx="3">
                  <c:v>1.38</c:v>
                </c:pt>
                <c:pt idx="4">
                  <c:v>1.44</c:v>
                </c:pt>
                <c:pt idx="5">
                  <c:v>1.5</c:v>
                </c:pt>
                <c:pt idx="6">
                  <c:v>1.56</c:v>
                </c:pt>
                <c:pt idx="7">
                  <c:v>1.6199999999999999</c:v>
                </c:pt>
                <c:pt idx="8">
                  <c:v>1.68</c:v>
                </c:pt>
                <c:pt idx="9">
                  <c:v>1.74</c:v>
                </c:pt>
                <c:pt idx="10">
                  <c:v>1.7999999999999998</c:v>
                </c:pt>
                <c:pt idx="11">
                  <c:v>1.8599999999999999</c:v>
                </c:pt>
                <c:pt idx="12">
                  <c:v>1.92</c:v>
                </c:pt>
                <c:pt idx="13">
                  <c:v>1.98</c:v>
                </c:pt>
                <c:pt idx="14">
                  <c:v>2.04</c:v>
                </c:pt>
                <c:pt idx="15">
                  <c:v>2.0999999999999996</c:v>
                </c:pt>
                <c:pt idx="16">
                  <c:v>2.16</c:v>
                </c:pt>
                <c:pt idx="17">
                  <c:v>2.2199999999999998</c:v>
                </c:pt>
                <c:pt idx="18">
                  <c:v>2.2800000000000002</c:v>
                </c:pt>
                <c:pt idx="19">
                  <c:v>2.34</c:v>
                </c:pt>
                <c:pt idx="20">
                  <c:v>2.4</c:v>
                </c:pt>
              </c:numCache>
            </c:numRef>
          </c:cat>
          <c:val>
            <c:numRef>
              <c:f>Интегралы!$C$3:$C$23</c:f>
              <c:numCache>
                <c:formatCode>General</c:formatCode>
                <c:ptCount val="21"/>
                <c:pt idx="0">
                  <c:v>1.0638297872340425</c:v>
                </c:pt>
                <c:pt idx="1">
                  <c:v>0.91945568223611607</c:v>
                </c:pt>
                <c:pt idx="2">
                  <c:v>0.80489375402446905</c:v>
                </c:pt>
                <c:pt idx="3">
                  <c:v>0.71204784961549439</c:v>
                </c:pt>
                <c:pt idx="4">
                  <c:v>0.63548551093035088</c:v>
                </c:pt>
                <c:pt idx="5">
                  <c:v>0.5714285714285714</c:v>
                </c:pt>
                <c:pt idx="6">
                  <c:v>0.5171700455109639</c:v>
                </c:pt>
                <c:pt idx="7">
                  <c:v>0.47072114479382421</c:v>
                </c:pt>
                <c:pt idx="8">
                  <c:v>0.43058904581467455</c:v>
                </c:pt>
                <c:pt idx="9">
                  <c:v>0.39563222028802025</c:v>
                </c:pt>
                <c:pt idx="10">
                  <c:v>0.36496350364963515</c:v>
                </c:pt>
                <c:pt idx="11">
                  <c:v>0.33788349776996895</c:v>
                </c:pt>
                <c:pt idx="12">
                  <c:v>0.31383379362289732</c:v>
                </c:pt>
                <c:pt idx="13">
                  <c:v>0.29236346626125598</c:v>
                </c:pt>
                <c:pt idx="14">
                  <c:v>0.27310465370329912</c:v>
                </c:pt>
                <c:pt idx="15">
                  <c:v>0.25575447570332493</c:v>
                </c:pt>
                <c:pt idx="16">
                  <c:v>0.24006145573266754</c:v>
                </c:pt>
                <c:pt idx="17">
                  <c:v>0.22581519284617474</c:v>
                </c:pt>
                <c:pt idx="18">
                  <c:v>0.21283841307679205</c:v>
                </c:pt>
                <c:pt idx="19">
                  <c:v>0.2009807862368358</c:v>
                </c:pt>
                <c:pt idx="20">
                  <c:v>0.19011406844106465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4DD-4D7D-82E2-FA579B360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69816"/>
        <c:axId val="305168248"/>
      </c:lineChart>
      <c:catAx>
        <c:axId val="30516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168248"/>
        <c:crosses val="autoZero"/>
        <c:auto val="1"/>
        <c:lblAlgn val="ctr"/>
        <c:lblOffset val="100"/>
        <c:noMultiLvlLbl val="0"/>
      </c:catAx>
      <c:valAx>
        <c:axId val="30516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16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713376232670654"/>
          <c:y val="0.13977371627502175"/>
          <c:w val="0.85457206883082171"/>
          <c:h val="0.62153601556985538"/>
        </c:manualLayout>
      </c:layout>
      <c:lineChart>
        <c:grouping val="standard"/>
        <c:varyColors val="0"/>
        <c:ser>
          <c:idx val="0"/>
          <c:order val="0"/>
          <c:tx>
            <c:strRef>
              <c:f>Интегралы!$M$2</c:f>
              <c:strCache>
                <c:ptCount val="1"/>
                <c:pt idx="0">
                  <c:v>f(Xi)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Интегралы!$L$3:$L$23</c:f>
              <c:numCache>
                <c:formatCode>General</c:formatCode>
                <c:ptCount val="21"/>
                <c:pt idx="0">
                  <c:v>0.4</c:v>
                </c:pt>
                <c:pt idx="1">
                  <c:v>0.44</c:v>
                </c:pt>
                <c:pt idx="2">
                  <c:v>0.48</c:v>
                </c:pt>
                <c:pt idx="3">
                  <c:v>0.52</c:v>
                </c:pt>
                <c:pt idx="4">
                  <c:v>0.56000000000000005</c:v>
                </c:pt>
                <c:pt idx="5">
                  <c:v>0.6</c:v>
                </c:pt>
                <c:pt idx="6">
                  <c:v>0.64</c:v>
                </c:pt>
                <c:pt idx="7">
                  <c:v>0.67999999999999994</c:v>
                </c:pt>
                <c:pt idx="8">
                  <c:v>0.72</c:v>
                </c:pt>
                <c:pt idx="9">
                  <c:v>0.76</c:v>
                </c:pt>
                <c:pt idx="10">
                  <c:v>0.79999999999999993</c:v>
                </c:pt>
                <c:pt idx="11">
                  <c:v>0.84</c:v>
                </c:pt>
                <c:pt idx="12">
                  <c:v>0.87999999999999989</c:v>
                </c:pt>
                <c:pt idx="13">
                  <c:v>0.91999999999999993</c:v>
                </c:pt>
                <c:pt idx="14">
                  <c:v>0.96</c:v>
                </c:pt>
                <c:pt idx="15">
                  <c:v>0.99999999999999989</c:v>
                </c:pt>
                <c:pt idx="16">
                  <c:v>1.04</c:v>
                </c:pt>
                <c:pt idx="17">
                  <c:v>1.08</c:v>
                </c:pt>
                <c:pt idx="18">
                  <c:v>1.1199999999999999</c:v>
                </c:pt>
                <c:pt idx="19">
                  <c:v>1.1599999999999999</c:v>
                </c:pt>
                <c:pt idx="20">
                  <c:v>1.1999999999999997</c:v>
                </c:pt>
              </c:numCache>
            </c:numRef>
          </c:cat>
          <c:val>
            <c:numRef>
              <c:f>Интегралы!$M$3:$M$23</c:f>
              <c:numCache>
                <c:formatCode>General</c:formatCode>
                <c:ptCount val="21"/>
                <c:pt idx="0">
                  <c:v>0.38377541416786881</c:v>
                </c:pt>
                <c:pt idx="1">
                  <c:v>0.37079986197539483</c:v>
                </c:pt>
                <c:pt idx="2">
                  <c:v>0.35765924305616298</c:v>
                </c:pt>
                <c:pt idx="3">
                  <c:v>0.34437269034827378</c:v>
                </c:pt>
                <c:pt idx="4">
                  <c:v>0.33095902773961566</c:v>
                </c:pt>
                <c:pt idx="5">
                  <c:v>0.3174367749652609</c:v>
                </c:pt>
                <c:pt idx="6">
                  <c:v>0.30382415071374719</c:v>
                </c:pt>
                <c:pt idx="7">
                  <c:v>0.29013907416079404</c:v>
                </c:pt>
                <c:pt idx="8">
                  <c:v>0.27639916512532908</c:v>
                </c:pt>
                <c:pt idx="9">
                  <c:v>0.26262174302206714</c:v>
                </c:pt>
                <c:pt idx="10">
                  <c:v>0.24882382476684484</c:v>
                </c:pt>
                <c:pt idx="11">
                  <c:v>0.23502212177510851</c:v>
                </c:pt>
                <c:pt idx="12">
                  <c:v>0.22123303618006263</c:v>
                </c:pt>
                <c:pt idx="13">
                  <c:v>0.20747265638474757</c:v>
                </c:pt>
                <c:pt idx="14">
                  <c:v>0.19375675205150564</c:v>
                </c:pt>
                <c:pt idx="15">
                  <c:v>0.18010076862271326</c:v>
                </c:pt>
                <c:pt idx="16">
                  <c:v>0.16651982145815078</c:v>
                </c:pt>
                <c:pt idx="17">
                  <c:v>0.1530286896667987</c:v>
                </c:pt>
                <c:pt idx="18">
                  <c:v>0.13964180970407444</c:v>
                </c:pt>
                <c:pt idx="19">
                  <c:v>0.12637326879945354</c:v>
                </c:pt>
                <c:pt idx="20">
                  <c:v>0.11323679827396059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605-437F-9D11-9B01EB96D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70208"/>
        <c:axId val="305169032"/>
      </c:lineChart>
      <c:catAx>
        <c:axId val="3051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169032"/>
        <c:crosses val="autoZero"/>
        <c:auto val="1"/>
        <c:lblAlgn val="ctr"/>
        <c:lblOffset val="100"/>
        <c:noMultiLvlLbl val="0"/>
      </c:catAx>
      <c:valAx>
        <c:axId val="30516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17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Интегралы!$C$27</c:f>
              <c:strCache>
                <c:ptCount val="1"/>
                <c:pt idx="0">
                  <c:v>f(Xi)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Интегралы!$B$28:$B$48</c:f>
              <c:numCache>
                <c:formatCode>General</c:formatCode>
                <c:ptCount val="21"/>
                <c:pt idx="0">
                  <c:v>0.5</c:v>
                </c:pt>
                <c:pt idx="1">
                  <c:v>0.56499999999999995</c:v>
                </c:pt>
                <c:pt idx="2">
                  <c:v>0.63</c:v>
                </c:pt>
                <c:pt idx="3">
                  <c:v>0.69500000000000006</c:v>
                </c:pt>
                <c:pt idx="4">
                  <c:v>0.76</c:v>
                </c:pt>
                <c:pt idx="5">
                  <c:v>0.82499999999999996</c:v>
                </c:pt>
                <c:pt idx="6">
                  <c:v>0.89</c:v>
                </c:pt>
                <c:pt idx="7">
                  <c:v>0.95500000000000007</c:v>
                </c:pt>
                <c:pt idx="8">
                  <c:v>1.02</c:v>
                </c:pt>
                <c:pt idx="9">
                  <c:v>1.085</c:v>
                </c:pt>
                <c:pt idx="10">
                  <c:v>1.1499999999999999</c:v>
                </c:pt>
                <c:pt idx="11">
                  <c:v>1.2150000000000001</c:v>
                </c:pt>
                <c:pt idx="12">
                  <c:v>1.28</c:v>
                </c:pt>
                <c:pt idx="13">
                  <c:v>1.345</c:v>
                </c:pt>
                <c:pt idx="14">
                  <c:v>1.4100000000000001</c:v>
                </c:pt>
                <c:pt idx="15">
                  <c:v>1.4750000000000001</c:v>
                </c:pt>
                <c:pt idx="16">
                  <c:v>1.54</c:v>
                </c:pt>
                <c:pt idx="17">
                  <c:v>1.605</c:v>
                </c:pt>
                <c:pt idx="18">
                  <c:v>1.67</c:v>
                </c:pt>
                <c:pt idx="19">
                  <c:v>1.7350000000000001</c:v>
                </c:pt>
                <c:pt idx="20">
                  <c:v>1.8</c:v>
                </c:pt>
              </c:numCache>
            </c:numRef>
          </c:cat>
          <c:val>
            <c:numRef>
              <c:f>Интегралы!$C$28:$C$48</c:f>
              <c:numCache>
                <c:formatCode>General</c:formatCode>
                <c:ptCount val="21"/>
                <c:pt idx="0">
                  <c:v>0.38311257830282991</c:v>
                </c:pt>
                <c:pt idx="1">
                  <c:v>0.34438567104491713</c:v>
                </c:pt>
                <c:pt idx="2">
                  <c:v>0.30195166822334885</c:v>
                </c:pt>
                <c:pt idx="3">
                  <c:v>0.25556201260927042</c:v>
                </c:pt>
                <c:pt idx="4">
                  <c:v>0.20506918186874157</c:v>
                </c:pt>
                <c:pt idx="5">
                  <c:v>0.15046878930771673</c:v>
                </c:pt>
                <c:pt idx="6">
                  <c:v>9.1944860327832639E-2</c:v>
                </c:pt>
                <c:pt idx="7">
                  <c:v>2.9916813120412208E-2</c:v>
                </c:pt>
                <c:pt idx="8">
                  <c:v>-3.4914230711482037E-2</c:v>
                </c:pt>
                <c:pt idx="9">
                  <c:v>-0.10152322161190504</c:v>
                </c:pt>
                <c:pt idx="10">
                  <c:v>-0.16852759163919637</c:v>
                </c:pt>
                <c:pt idx="11">
                  <c:v>-0.23416798336309924</c:v>
                </c:pt>
                <c:pt idx="12">
                  <c:v>-0.29630999596301688</c:v>
                </c:pt>
                <c:pt idx="13">
                  <c:v>-0.35247435475692701</c:v>
                </c:pt>
                <c:pt idx="14">
                  <c:v>-0.39990308419666837</c:v>
                </c:pt>
                <c:pt idx="15">
                  <c:v>-0.43566863037389675</c:v>
                </c:pt>
                <c:pt idx="16">
                  <c:v>-0.45683114007975162</c:v>
                </c:pt>
                <c:pt idx="17">
                  <c:v>-0.46064597221407982</c:v>
                </c:pt>
                <c:pt idx="18">
                  <c:v>-0.44481876811655224</c:v>
                </c:pt>
                <c:pt idx="19">
                  <c:v>-0.40779894589064902</c:v>
                </c:pt>
                <c:pt idx="20">
                  <c:v>-0.34909443301495574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C1-45D8-A0BC-532AE69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71776"/>
        <c:axId val="305164328"/>
      </c:lineChart>
      <c:catAx>
        <c:axId val="30517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164328"/>
        <c:crosses val="autoZero"/>
        <c:auto val="1"/>
        <c:lblAlgn val="ctr"/>
        <c:lblOffset val="100"/>
        <c:noMultiLvlLbl val="0"/>
      </c:catAx>
      <c:valAx>
        <c:axId val="30516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17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Интегралы!$M$27</c:f>
              <c:strCache>
                <c:ptCount val="1"/>
                <c:pt idx="0">
                  <c:v>f(Xi)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Интегралы!$L$28:$L$48</c:f>
              <c:numCache>
                <c:formatCode>General</c:formatCode>
                <c:ptCount val="21"/>
                <c:pt idx="0">
                  <c:v>1.3</c:v>
                </c:pt>
                <c:pt idx="1">
                  <c:v>1.3149999999999999</c:v>
                </c:pt>
                <c:pt idx="2">
                  <c:v>1.33</c:v>
                </c:pt>
                <c:pt idx="3">
                  <c:v>1.345</c:v>
                </c:pt>
                <c:pt idx="4">
                  <c:v>1.36</c:v>
                </c:pt>
                <c:pt idx="5">
                  <c:v>1.375</c:v>
                </c:pt>
                <c:pt idx="6">
                  <c:v>1.3900000000000001</c:v>
                </c:pt>
                <c:pt idx="7">
                  <c:v>1.405</c:v>
                </c:pt>
                <c:pt idx="8">
                  <c:v>1.4200000000000002</c:v>
                </c:pt>
                <c:pt idx="9">
                  <c:v>1.4350000000000001</c:v>
                </c:pt>
                <c:pt idx="10">
                  <c:v>1.4500000000000002</c:v>
                </c:pt>
                <c:pt idx="11">
                  <c:v>1.4650000000000001</c:v>
                </c:pt>
                <c:pt idx="12">
                  <c:v>1.48</c:v>
                </c:pt>
                <c:pt idx="13">
                  <c:v>1.4950000000000001</c:v>
                </c:pt>
                <c:pt idx="14">
                  <c:v>1.51</c:v>
                </c:pt>
                <c:pt idx="15">
                  <c:v>1.5250000000000001</c:v>
                </c:pt>
                <c:pt idx="16">
                  <c:v>1.54</c:v>
                </c:pt>
                <c:pt idx="17">
                  <c:v>1.5550000000000002</c:v>
                </c:pt>
                <c:pt idx="18">
                  <c:v>1.57</c:v>
                </c:pt>
                <c:pt idx="19">
                  <c:v>1.585</c:v>
                </c:pt>
                <c:pt idx="20">
                  <c:v>1.6</c:v>
                </c:pt>
              </c:numCache>
            </c:numRef>
          </c:cat>
          <c:val>
            <c:numRef>
              <c:f>Интегралы!$M$28:$M$48</c:f>
              <c:numCache>
                <c:formatCode>General</c:formatCode>
                <c:ptCount val="21"/>
                <c:pt idx="0">
                  <c:v>0.59836085624455271</c:v>
                </c:pt>
                <c:pt idx="1">
                  <c:v>0.59644215362867714</c:v>
                </c:pt>
                <c:pt idx="2">
                  <c:v>0.59460047392050619</c:v>
                </c:pt>
                <c:pt idx="3">
                  <c:v>0.59283224165566695</c:v>
                </c:pt>
                <c:pt idx="4">
                  <c:v>0.59113413731765552</c:v>
                </c:pt>
                <c:pt idx="5">
                  <c:v>0.58950307267494773</c:v>
                </c:pt>
                <c:pt idx="6">
                  <c:v>0.58793616906318646</c:v>
                </c:pt>
                <c:pt idx="7">
                  <c:v>0.58643073819637526</c:v>
                </c:pt>
                <c:pt idx="8">
                  <c:v>0.58498426515847946</c:v>
                </c:pt>
                <c:pt idx="9">
                  <c:v>0.58359439328201401</c:v>
                </c:pt>
                <c:pt idx="10">
                  <c:v>0.58225891066556801</c:v>
                </c:pt>
                <c:pt idx="11">
                  <c:v>0.58097573811969838</c:v>
                </c:pt>
                <c:pt idx="12">
                  <c:v>0.5797429183617292</c:v>
                </c:pt>
                <c:pt idx="13">
                  <c:v>0.57855860630594491</c:v>
                </c:pt>
                <c:pt idx="14">
                  <c:v>0.57742106031737439</c:v>
                </c:pt>
                <c:pt idx="15">
                  <c:v>0.57632863431562531</c:v>
                </c:pt>
                <c:pt idx="16">
                  <c:v>0.57527977063063873</c:v>
                </c:pt>
                <c:pt idx="17">
                  <c:v>0.57427299352528383</c:v>
                </c:pt>
                <c:pt idx="18">
                  <c:v>0.57330690331080736</c:v>
                </c:pt>
                <c:pt idx="19">
                  <c:v>0.57238017099062055</c:v>
                </c:pt>
                <c:pt idx="20">
                  <c:v>0.57149153337599568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7E-488A-BDFA-FC4BB48F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7931928"/>
        <c:axId val="307929184"/>
      </c:lineChart>
      <c:catAx>
        <c:axId val="307931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29184"/>
        <c:crosses val="autoZero"/>
        <c:auto val="1"/>
        <c:lblAlgn val="ctr"/>
        <c:lblOffset val="100"/>
        <c:noMultiLvlLbl val="0"/>
      </c:catAx>
      <c:valAx>
        <c:axId val="3079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3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'Канонический полином'!$B$2:$B$7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'Канонический полином'!$C$2:$C$7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-4</c:v>
                </c:pt>
                <c:pt idx="4">
                  <c:v>3</c:v>
                </c:pt>
                <c:pt idx="5">
                  <c:v>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69E-4D12-9437-4D5C6EDAF3B8}"/>
            </c:ext>
          </c:extLst>
        </c:ser>
        <c:ser>
          <c:idx val="1"/>
          <c:order val="1"/>
          <c:xVal>
            <c:numRef>
              <c:f>'Канонический полином'!$A$13:$A$38</c:f>
              <c:numCache>
                <c:formatCode>General</c:formatCode>
                <c:ptCount val="26"/>
                <c:pt idx="0">
                  <c:v>-3</c:v>
                </c:pt>
                <c:pt idx="1">
                  <c:v>-2.8</c:v>
                </c:pt>
                <c:pt idx="2">
                  <c:v>-2.6</c:v>
                </c:pt>
                <c:pt idx="3">
                  <c:v>-2.4</c:v>
                </c:pt>
                <c:pt idx="4">
                  <c:v>-2.2000000000000002</c:v>
                </c:pt>
                <c:pt idx="5">
                  <c:v>-2</c:v>
                </c:pt>
                <c:pt idx="6">
                  <c:v>-1.8</c:v>
                </c:pt>
                <c:pt idx="7">
                  <c:v>-1.6</c:v>
                </c:pt>
                <c:pt idx="8">
                  <c:v>-1.4</c:v>
                </c:pt>
                <c:pt idx="9">
                  <c:v>-1.2</c:v>
                </c:pt>
                <c:pt idx="10">
                  <c:v>-1</c:v>
                </c:pt>
                <c:pt idx="11">
                  <c:v>-0.8</c:v>
                </c:pt>
                <c:pt idx="12">
                  <c:v>-0.6</c:v>
                </c:pt>
                <c:pt idx="13">
                  <c:v>-0.4</c:v>
                </c:pt>
                <c:pt idx="14">
                  <c:v>-0.2</c:v>
                </c:pt>
                <c:pt idx="15">
                  <c:v>0</c:v>
                </c:pt>
                <c:pt idx="16">
                  <c:v>0.2</c:v>
                </c:pt>
                <c:pt idx="17">
                  <c:v>0.4</c:v>
                </c:pt>
                <c:pt idx="18">
                  <c:v>0.6</c:v>
                </c:pt>
                <c:pt idx="19">
                  <c:v>0.8</c:v>
                </c:pt>
                <c:pt idx="20">
                  <c:v>1</c:v>
                </c:pt>
                <c:pt idx="21">
                  <c:v>1.2</c:v>
                </c:pt>
                <c:pt idx="22">
                  <c:v>1.4</c:v>
                </c:pt>
                <c:pt idx="23">
                  <c:v>1.6</c:v>
                </c:pt>
                <c:pt idx="24">
                  <c:v>1.8</c:v>
                </c:pt>
                <c:pt idx="25">
                  <c:v>2</c:v>
                </c:pt>
              </c:numCache>
            </c:numRef>
          </c:xVal>
          <c:yVal>
            <c:numRef>
              <c:f>'Канонический полином'!$C$13:$C$38</c:f>
              <c:numCache>
                <c:formatCode>General</c:formatCode>
                <c:ptCount val="26"/>
                <c:pt idx="0">
                  <c:v>-4.4408920985006262E-15</c:v>
                </c:pt>
                <c:pt idx="1">
                  <c:v>0.15699199999998914</c:v>
                </c:pt>
                <c:pt idx="2">
                  <c:v>0.67334399999999128</c:v>
                </c:pt>
                <c:pt idx="3">
                  <c:v>1.2722559999999881</c:v>
                </c:pt>
                <c:pt idx="4">
                  <c:v>1.7566079999999946</c:v>
                </c:pt>
                <c:pt idx="5">
                  <c:v>1.9999999999999964</c:v>
                </c:pt>
                <c:pt idx="6">
                  <c:v>1.9377919999999955</c:v>
                </c:pt>
                <c:pt idx="7">
                  <c:v>1.5581439999999969</c:v>
                </c:pt>
                <c:pt idx="8">
                  <c:v>0.89305599999999785</c:v>
                </c:pt>
                <c:pt idx="9">
                  <c:v>9.4079999999987507E-3</c:v>
                </c:pt>
                <c:pt idx="10">
                  <c:v>-1</c:v>
                </c:pt>
                <c:pt idx="11">
                  <c:v>-2.0254079999999997</c:v>
                </c:pt>
                <c:pt idx="12">
                  <c:v>-2.9490560000000001</c:v>
                </c:pt>
                <c:pt idx="13">
                  <c:v>-3.6541439999999996</c:v>
                </c:pt>
                <c:pt idx="14">
                  <c:v>-4.033792</c:v>
                </c:pt>
                <c:pt idx="15">
                  <c:v>-4</c:v>
                </c:pt>
                <c:pt idx="16">
                  <c:v>-3.4926079999999997</c:v>
                </c:pt>
                <c:pt idx="17">
                  <c:v>-2.4882559999999998</c:v>
                </c:pt>
                <c:pt idx="18">
                  <c:v>-1.009344</c:v>
                </c:pt>
                <c:pt idx="19">
                  <c:v>0.86700800000000111</c:v>
                </c:pt>
                <c:pt idx="20">
                  <c:v>3.0000000000000009</c:v>
                </c:pt>
                <c:pt idx="21">
                  <c:v>5.1761920000000003</c:v>
                </c:pt>
                <c:pt idx="22">
                  <c:v>7.1005440000000011</c:v>
                </c:pt>
                <c:pt idx="23">
                  <c:v>8.387456000000002</c:v>
                </c:pt>
                <c:pt idx="24">
                  <c:v>8.5518080000000012</c:v>
                </c:pt>
                <c:pt idx="25">
                  <c:v>7.0000000000000036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69E-4D12-9437-4D5C6EDAF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30752"/>
        <c:axId val="307930360"/>
      </c:scatterChart>
      <c:valAx>
        <c:axId val="30793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7930360"/>
        <c:crosses val="autoZero"/>
        <c:crossBetween val="midCat"/>
      </c:valAx>
      <c:valAx>
        <c:axId val="307930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793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884523710154604E-2"/>
          <c:y val="3.3523805501455659E-2"/>
          <c:w val="0.93418732552423878"/>
          <c:h val="0.932952388997088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'Полином Лагранжа'!$C$1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'Полином Лагранжа'!$B$2:$B$7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'Полином Лагранжа'!$C$2:$C$7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-4</c:v>
                </c:pt>
                <c:pt idx="4">
                  <c:v>3</c:v>
                </c:pt>
                <c:pt idx="5">
                  <c:v>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264-4BA0-AD96-8E8789DBDC9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'Полином Лагранжа'!$A$11:$A$36</c:f>
              <c:numCache>
                <c:formatCode>General</c:formatCode>
                <c:ptCount val="26"/>
                <c:pt idx="0">
                  <c:v>-3</c:v>
                </c:pt>
                <c:pt idx="1">
                  <c:v>-2.8</c:v>
                </c:pt>
                <c:pt idx="2">
                  <c:v>-2.6</c:v>
                </c:pt>
                <c:pt idx="3">
                  <c:v>-2.4</c:v>
                </c:pt>
                <c:pt idx="4">
                  <c:v>-2.2000000000000002</c:v>
                </c:pt>
                <c:pt idx="5">
                  <c:v>-2</c:v>
                </c:pt>
                <c:pt idx="6">
                  <c:v>-1.8</c:v>
                </c:pt>
                <c:pt idx="7">
                  <c:v>-1.6</c:v>
                </c:pt>
                <c:pt idx="8">
                  <c:v>-1.4</c:v>
                </c:pt>
                <c:pt idx="9">
                  <c:v>-1.2</c:v>
                </c:pt>
                <c:pt idx="10">
                  <c:v>-1</c:v>
                </c:pt>
                <c:pt idx="11">
                  <c:v>-0.8</c:v>
                </c:pt>
                <c:pt idx="12">
                  <c:v>-0.6</c:v>
                </c:pt>
                <c:pt idx="13">
                  <c:v>-0.4</c:v>
                </c:pt>
                <c:pt idx="14">
                  <c:v>-0.2</c:v>
                </c:pt>
                <c:pt idx="15">
                  <c:v>0</c:v>
                </c:pt>
                <c:pt idx="16">
                  <c:v>0.2</c:v>
                </c:pt>
                <c:pt idx="17">
                  <c:v>0.4</c:v>
                </c:pt>
                <c:pt idx="18">
                  <c:v>0.6</c:v>
                </c:pt>
                <c:pt idx="19">
                  <c:v>0.8</c:v>
                </c:pt>
                <c:pt idx="20">
                  <c:v>1</c:v>
                </c:pt>
                <c:pt idx="21">
                  <c:v>1.2</c:v>
                </c:pt>
                <c:pt idx="22">
                  <c:v>1.4</c:v>
                </c:pt>
                <c:pt idx="23">
                  <c:v>1.6</c:v>
                </c:pt>
                <c:pt idx="24">
                  <c:v>1.8</c:v>
                </c:pt>
                <c:pt idx="25">
                  <c:v>2</c:v>
                </c:pt>
              </c:numCache>
            </c:numRef>
          </c:xVal>
          <c:yVal>
            <c:numRef>
              <c:f>'Полином Лагранжа'!$J$11:$J$36</c:f>
              <c:numCache>
                <c:formatCode>General</c:formatCode>
                <c:ptCount val="26"/>
                <c:pt idx="0">
                  <c:v>0</c:v>
                </c:pt>
                <c:pt idx="1">
                  <c:v>0.15699200000000063</c:v>
                </c:pt>
                <c:pt idx="2">
                  <c:v>0.67334399999999961</c:v>
                </c:pt>
                <c:pt idx="3">
                  <c:v>1.2722560000000005</c:v>
                </c:pt>
                <c:pt idx="4">
                  <c:v>1.7566079999999997</c:v>
                </c:pt>
                <c:pt idx="5">
                  <c:v>2</c:v>
                </c:pt>
                <c:pt idx="6">
                  <c:v>1.937792</c:v>
                </c:pt>
                <c:pt idx="7">
                  <c:v>1.5581440000000002</c:v>
                </c:pt>
                <c:pt idx="8">
                  <c:v>0.89305599999999963</c:v>
                </c:pt>
                <c:pt idx="9">
                  <c:v>9.4079999999997846E-3</c:v>
                </c:pt>
                <c:pt idx="10">
                  <c:v>-1</c:v>
                </c:pt>
                <c:pt idx="11">
                  <c:v>-2.0254079999999997</c:v>
                </c:pt>
                <c:pt idx="12">
                  <c:v>-2.9490559999999997</c:v>
                </c:pt>
                <c:pt idx="13">
                  <c:v>-3.6541440000000005</c:v>
                </c:pt>
                <c:pt idx="14">
                  <c:v>-4.0337920000000009</c:v>
                </c:pt>
                <c:pt idx="15">
                  <c:v>-4</c:v>
                </c:pt>
                <c:pt idx="16">
                  <c:v>-3.4926080000000006</c:v>
                </c:pt>
                <c:pt idx="17">
                  <c:v>-2.4882559999999998</c:v>
                </c:pt>
                <c:pt idx="18">
                  <c:v>-1.0093440000000002</c:v>
                </c:pt>
                <c:pt idx="19">
                  <c:v>0.86700800000000056</c:v>
                </c:pt>
                <c:pt idx="20">
                  <c:v>3</c:v>
                </c:pt>
                <c:pt idx="21">
                  <c:v>5.1761920000000003</c:v>
                </c:pt>
                <c:pt idx="22">
                  <c:v>7.1005440000000011</c:v>
                </c:pt>
                <c:pt idx="23">
                  <c:v>8.3874560000000002</c:v>
                </c:pt>
                <c:pt idx="24">
                  <c:v>8.5518079999999976</c:v>
                </c:pt>
                <c:pt idx="25">
                  <c:v>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264-4BA0-AD96-8E8789DBD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31536"/>
        <c:axId val="210279144"/>
      </c:scatterChart>
      <c:valAx>
        <c:axId val="30793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279144"/>
        <c:crosses val="autoZero"/>
        <c:crossBetween val="midCat"/>
      </c:valAx>
      <c:valAx>
        <c:axId val="21027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3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'Полином Ньютона'!$C$1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'Полином Ньютона'!$B$2:$B$7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'Полином Ньютона'!$C$2:$C$7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-4</c:v>
                </c:pt>
                <c:pt idx="4">
                  <c:v>3</c:v>
                </c:pt>
                <c:pt idx="5">
                  <c:v>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E9D-48C5-95C2-BBF864CBE48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'Полином Ньютона'!$A$12:$A$37</c:f>
              <c:numCache>
                <c:formatCode>General</c:formatCode>
                <c:ptCount val="26"/>
                <c:pt idx="0">
                  <c:v>-3</c:v>
                </c:pt>
                <c:pt idx="1">
                  <c:v>-2.8</c:v>
                </c:pt>
                <c:pt idx="2">
                  <c:v>-2.6</c:v>
                </c:pt>
                <c:pt idx="3">
                  <c:v>-2.4</c:v>
                </c:pt>
                <c:pt idx="4">
                  <c:v>-2.2000000000000002</c:v>
                </c:pt>
                <c:pt idx="5">
                  <c:v>-2</c:v>
                </c:pt>
                <c:pt idx="6">
                  <c:v>-1.8</c:v>
                </c:pt>
                <c:pt idx="7">
                  <c:v>-1.6</c:v>
                </c:pt>
                <c:pt idx="8">
                  <c:v>-1.4</c:v>
                </c:pt>
                <c:pt idx="9">
                  <c:v>-1.2</c:v>
                </c:pt>
                <c:pt idx="10">
                  <c:v>-1</c:v>
                </c:pt>
                <c:pt idx="11">
                  <c:v>-0.8</c:v>
                </c:pt>
                <c:pt idx="12">
                  <c:v>-0.6</c:v>
                </c:pt>
                <c:pt idx="13">
                  <c:v>-0.4</c:v>
                </c:pt>
                <c:pt idx="14">
                  <c:v>-0.2</c:v>
                </c:pt>
                <c:pt idx="15">
                  <c:v>0</c:v>
                </c:pt>
                <c:pt idx="16">
                  <c:v>0.2</c:v>
                </c:pt>
                <c:pt idx="17">
                  <c:v>0.4</c:v>
                </c:pt>
                <c:pt idx="18">
                  <c:v>0.6</c:v>
                </c:pt>
                <c:pt idx="19">
                  <c:v>0.8</c:v>
                </c:pt>
                <c:pt idx="20">
                  <c:v>1</c:v>
                </c:pt>
                <c:pt idx="21">
                  <c:v>1.2</c:v>
                </c:pt>
                <c:pt idx="22">
                  <c:v>1.4</c:v>
                </c:pt>
                <c:pt idx="23">
                  <c:v>1.6</c:v>
                </c:pt>
                <c:pt idx="24">
                  <c:v>1.8</c:v>
                </c:pt>
                <c:pt idx="25">
                  <c:v>2</c:v>
                </c:pt>
              </c:numCache>
            </c:numRef>
          </c:xVal>
          <c:yVal>
            <c:numRef>
              <c:f>'Полином Ньютона'!$C$12:$C$37</c:f>
              <c:numCache>
                <c:formatCode>General</c:formatCode>
                <c:ptCount val="26"/>
                <c:pt idx="0">
                  <c:v>0</c:v>
                </c:pt>
                <c:pt idx="1">
                  <c:v>0.15699200000000024</c:v>
                </c:pt>
                <c:pt idx="2">
                  <c:v>0.67334399999999994</c:v>
                </c:pt>
                <c:pt idx="3">
                  <c:v>1.2722560000000003</c:v>
                </c:pt>
                <c:pt idx="4">
                  <c:v>1.7566079999999997</c:v>
                </c:pt>
                <c:pt idx="5">
                  <c:v>2</c:v>
                </c:pt>
                <c:pt idx="6">
                  <c:v>1.9377920000000002</c:v>
                </c:pt>
                <c:pt idx="7">
                  <c:v>1.5581440000000002</c:v>
                </c:pt>
                <c:pt idx="8">
                  <c:v>0.89305599999999985</c:v>
                </c:pt>
                <c:pt idx="9">
                  <c:v>9.4079999999999997E-3</c:v>
                </c:pt>
                <c:pt idx="10">
                  <c:v>-1</c:v>
                </c:pt>
                <c:pt idx="11">
                  <c:v>-2.0254079999999992</c:v>
                </c:pt>
                <c:pt idx="12">
                  <c:v>-2.9490559999999988</c:v>
                </c:pt>
                <c:pt idx="13">
                  <c:v>-3.6541440000000005</c:v>
                </c:pt>
                <c:pt idx="14">
                  <c:v>-4.033792</c:v>
                </c:pt>
                <c:pt idx="15">
                  <c:v>-4</c:v>
                </c:pt>
                <c:pt idx="16">
                  <c:v>-3.4926079999999988</c:v>
                </c:pt>
                <c:pt idx="17">
                  <c:v>-2.4882559999999985</c:v>
                </c:pt>
                <c:pt idx="18">
                  <c:v>-1.009344</c:v>
                </c:pt>
                <c:pt idx="19">
                  <c:v>0.86700799999999689</c:v>
                </c:pt>
                <c:pt idx="20">
                  <c:v>3</c:v>
                </c:pt>
                <c:pt idx="21">
                  <c:v>5.1761920000000075</c:v>
                </c:pt>
                <c:pt idx="22">
                  <c:v>7.1005440000000011</c:v>
                </c:pt>
                <c:pt idx="23">
                  <c:v>8.3874559999999878</c:v>
                </c:pt>
                <c:pt idx="24">
                  <c:v>8.5518080000000047</c:v>
                </c:pt>
                <c:pt idx="25">
                  <c:v>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E9D-48C5-95C2-BBF864CBE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83456"/>
        <c:axId val="210283848"/>
      </c:scatterChart>
      <c:valAx>
        <c:axId val="210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283848"/>
        <c:crosses val="autoZero"/>
        <c:crossBetween val="midCat"/>
      </c:valAx>
      <c:valAx>
        <c:axId val="21028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chart" Target="../charts/chart1.xml"/><Relationship Id="rId7" Type="http://schemas.openxmlformats.org/officeDocument/2006/relationships/chart" Target="../charts/chart3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8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8.jp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8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8.jp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8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0</xdr:colOff>
          <xdr:row>7</xdr:row>
          <xdr:rowOff>180975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9</xdr:row>
      <xdr:rowOff>97310</xdr:rowOff>
    </xdr:from>
    <xdr:to>
      <xdr:col>7</xdr:col>
      <xdr:colOff>314326</xdr:colOff>
      <xdr:row>12</xdr:row>
      <xdr:rowOff>142876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1825" y="1897535"/>
          <a:ext cx="1457326" cy="617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466726</xdr:colOff>
      <xdr:row>9</xdr:row>
      <xdr:rowOff>38100</xdr:rowOff>
    </xdr:from>
    <xdr:to>
      <xdr:col>17</xdr:col>
      <xdr:colOff>131886</xdr:colOff>
      <xdr:row>12</xdr:row>
      <xdr:rowOff>142875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8351" y="1838325"/>
          <a:ext cx="88436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38101</xdr:colOff>
      <xdr:row>12</xdr:row>
      <xdr:rowOff>189546</xdr:rowOff>
    </xdr:from>
    <xdr:to>
      <xdr:col>9</xdr:col>
      <xdr:colOff>409576</xdr:colOff>
      <xdr:row>23</xdr:row>
      <xdr:rowOff>173881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9525</xdr:colOff>
      <xdr:row>13</xdr:row>
      <xdr:rowOff>6666</xdr:rowOff>
    </xdr:from>
    <xdr:to>
      <xdr:col>19</xdr:col>
      <xdr:colOff>412025</xdr:colOff>
      <xdr:row>23</xdr:row>
      <xdr:rowOff>171450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371475</xdr:colOff>
      <xdr:row>34</xdr:row>
      <xdr:rowOff>104775</xdr:rowOff>
    </xdr:from>
    <xdr:to>
      <xdr:col>8</xdr:col>
      <xdr:colOff>333375</xdr:colOff>
      <xdr:row>38</xdr:row>
      <xdr:rowOff>209550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9875" y="6762750"/>
          <a:ext cx="244792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9525</xdr:colOff>
      <xdr:row>34</xdr:row>
      <xdr:rowOff>180975</xdr:rowOff>
    </xdr:from>
    <xdr:to>
      <xdr:col>18</xdr:col>
      <xdr:colOff>76200</xdr:colOff>
      <xdr:row>39</xdr:row>
      <xdr:rowOff>47625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6838950"/>
          <a:ext cx="18954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47625</xdr:colOff>
      <xdr:row>38</xdr:row>
      <xdr:rowOff>228600</xdr:rowOff>
    </xdr:from>
    <xdr:to>
      <xdr:col>9</xdr:col>
      <xdr:colOff>547685</xdr:colOff>
      <xdr:row>50</xdr:row>
      <xdr:rowOff>42861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190500</xdr:colOff>
      <xdr:row>39</xdr:row>
      <xdr:rowOff>66675</xdr:rowOff>
    </xdr:from>
    <xdr:to>
      <xdr:col>20</xdr:col>
      <xdr:colOff>33337</xdr:colOff>
      <xdr:row>50</xdr:row>
      <xdr:rowOff>61912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19050</xdr:rowOff>
        </xdr:from>
        <xdr:to>
          <xdr:col>9</xdr:col>
          <xdr:colOff>600075</xdr:colOff>
          <xdr:row>13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70140</xdr:colOff>
      <xdr:row>13</xdr:row>
      <xdr:rowOff>19050</xdr:rowOff>
    </xdr:from>
    <xdr:to>
      <xdr:col>2</xdr:col>
      <xdr:colOff>371476</xdr:colOff>
      <xdr:row>14</xdr:row>
      <xdr:rowOff>95250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40" y="2514600"/>
          <a:ext cx="1520536" cy="276225"/>
        </a:xfrm>
        <a:prstGeom prst="rect">
          <a:avLst/>
        </a:prstGeom>
      </xdr:spPr>
    </xdr:pic>
    <xdr:clientData/>
  </xdr:twoCellAnchor>
  <xdr:twoCellAnchor editAs="oneCell">
    <xdr:from>
      <xdr:col>11</xdr:col>
      <xdr:colOff>180975</xdr:colOff>
      <xdr:row>9</xdr:row>
      <xdr:rowOff>104775</xdr:rowOff>
    </xdr:from>
    <xdr:to>
      <xdr:col>13</xdr:col>
      <xdr:colOff>352425</xdr:colOff>
      <xdr:row>10</xdr:row>
      <xdr:rowOff>183056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1838325"/>
          <a:ext cx="1390650" cy="2687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11</xdr:row>
          <xdr:rowOff>0</xdr:rowOff>
        </xdr:from>
        <xdr:to>
          <xdr:col>13</xdr:col>
          <xdr:colOff>57150</xdr:colOff>
          <xdr:row>15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409575</xdr:colOff>
      <xdr:row>1</xdr:row>
      <xdr:rowOff>104775</xdr:rowOff>
    </xdr:from>
    <xdr:to>
      <xdr:col>6</xdr:col>
      <xdr:colOff>104775</xdr:colOff>
      <xdr:row>3</xdr:row>
      <xdr:rowOff>64543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5" y="304800"/>
          <a:ext cx="2133600" cy="350293"/>
        </a:xfrm>
        <a:prstGeom prst="rect">
          <a:avLst/>
        </a:prstGeom>
      </xdr:spPr>
    </xdr:pic>
    <xdr:clientData/>
  </xdr:twoCellAnchor>
  <xdr:twoCellAnchor editAs="oneCell">
    <xdr:from>
      <xdr:col>11</xdr:col>
      <xdr:colOff>333375</xdr:colOff>
      <xdr:row>1</xdr:row>
      <xdr:rowOff>50667</xdr:rowOff>
    </xdr:from>
    <xdr:to>
      <xdr:col>15</xdr:col>
      <xdr:colOff>47625</xdr:colOff>
      <xdr:row>3</xdr:row>
      <xdr:rowOff>76200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250692"/>
          <a:ext cx="2152650" cy="4160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28574</xdr:colOff>
      <xdr:row>2</xdr:row>
      <xdr:rowOff>0</xdr:rowOff>
    </xdr:from>
    <xdr:to>
      <xdr:col>7</xdr:col>
      <xdr:colOff>549851</xdr:colOff>
      <xdr:row>3</xdr:row>
      <xdr:rowOff>95250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74" y="400050"/>
          <a:ext cx="1740477" cy="285750"/>
        </a:xfrm>
        <a:prstGeom prst="rect">
          <a:avLst/>
        </a:prstGeom>
      </xdr:spPr>
    </xdr:pic>
    <xdr:clientData/>
  </xdr:twoCellAnchor>
  <xdr:twoCellAnchor editAs="oneCell">
    <xdr:from>
      <xdr:col>14</xdr:col>
      <xdr:colOff>333375</xdr:colOff>
      <xdr:row>2</xdr:row>
      <xdr:rowOff>19050</xdr:rowOff>
    </xdr:from>
    <xdr:to>
      <xdr:col>17</xdr:col>
      <xdr:colOff>327991</xdr:colOff>
      <xdr:row>3</xdr:row>
      <xdr:rowOff>180975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419100"/>
          <a:ext cx="1823416" cy="352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219074</xdr:colOff>
      <xdr:row>8</xdr:row>
      <xdr:rowOff>66674</xdr:rowOff>
    </xdr:from>
    <xdr:to>
      <xdr:col>3</xdr:col>
      <xdr:colOff>188767</xdr:colOff>
      <xdr:row>9</xdr:row>
      <xdr:rowOff>161924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4" y="1619249"/>
          <a:ext cx="1798493" cy="295275"/>
        </a:xfrm>
        <a:prstGeom prst="rect">
          <a:avLst/>
        </a:prstGeom>
      </xdr:spPr>
    </xdr:pic>
    <xdr:clientData/>
  </xdr:twoCellAnchor>
  <xdr:twoCellAnchor editAs="oneCell">
    <xdr:from>
      <xdr:col>10</xdr:col>
      <xdr:colOff>235725</xdr:colOff>
      <xdr:row>6</xdr:row>
      <xdr:rowOff>188100</xdr:rowOff>
    </xdr:from>
    <xdr:to>
      <xdr:col>13</xdr:col>
      <xdr:colOff>94914</xdr:colOff>
      <xdr:row>8</xdr:row>
      <xdr:rowOff>114300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1725" y="1359675"/>
          <a:ext cx="1687989" cy="3262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419099</xdr:colOff>
      <xdr:row>10</xdr:row>
      <xdr:rowOff>0</xdr:rowOff>
    </xdr:from>
    <xdr:to>
      <xdr:col>5</xdr:col>
      <xdr:colOff>562840</xdr:colOff>
      <xdr:row>11</xdr:row>
      <xdr:rowOff>133350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299" y="1952625"/>
          <a:ext cx="1972541" cy="323850"/>
        </a:xfrm>
        <a:prstGeom prst="rect">
          <a:avLst/>
        </a:prstGeom>
      </xdr:spPr>
    </xdr:pic>
    <xdr:clientData/>
  </xdr:twoCellAnchor>
  <xdr:twoCellAnchor editAs="oneCell">
    <xdr:from>
      <xdr:col>11</xdr:col>
      <xdr:colOff>178575</xdr:colOff>
      <xdr:row>9</xdr:row>
      <xdr:rowOff>121425</xdr:rowOff>
    </xdr:from>
    <xdr:to>
      <xdr:col>14</xdr:col>
      <xdr:colOff>101507</xdr:colOff>
      <xdr:row>11</xdr:row>
      <xdr:rowOff>78995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4175" y="1883550"/>
          <a:ext cx="1751732" cy="3385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0</xdr:rowOff>
        </xdr:from>
        <xdr:to>
          <xdr:col>6</xdr:col>
          <xdr:colOff>600075</xdr:colOff>
          <xdr:row>10</xdr:row>
          <xdr:rowOff>190500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10</xdr:row>
      <xdr:rowOff>142875</xdr:rowOff>
    </xdr:from>
    <xdr:to>
      <xdr:col>16</xdr:col>
      <xdr:colOff>38100</xdr:colOff>
      <xdr:row>25</xdr:row>
      <xdr:rowOff>9525</xdr:rowOff>
    </xdr:to>
    <xdr:graphicFrame macro="">
      <xdr:nvGraphicFramePr>
        <xdr:cNvPr id="15" name="Диаграмма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0</xdr:row>
      <xdr:rowOff>80962</xdr:rowOff>
    </xdr:from>
    <xdr:to>
      <xdr:col>20</xdr:col>
      <xdr:colOff>28575</xdr:colOff>
      <xdr:row>22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7</xdr:row>
      <xdr:rowOff>52387</xdr:rowOff>
    </xdr:from>
    <xdr:to>
      <xdr:col>13</xdr:col>
      <xdr:colOff>409574</xdr:colOff>
      <xdr:row>31</xdr:row>
      <xdr:rowOff>28575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</xdr:colOff>
      <xdr:row>1</xdr:row>
      <xdr:rowOff>9524</xdr:rowOff>
    </xdr:from>
    <xdr:to>
      <xdr:col>12</xdr:col>
      <xdr:colOff>581025</xdr:colOff>
      <xdr:row>3</xdr:row>
      <xdr:rowOff>133349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209549"/>
          <a:ext cx="1162050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10</xdr:row>
          <xdr:rowOff>9525</xdr:rowOff>
        </xdr:from>
        <xdr:to>
          <xdr:col>13</xdr:col>
          <xdr:colOff>0</xdr:colOff>
          <xdr:row>12</xdr:row>
          <xdr:rowOff>190500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200025</xdr:colOff>
      <xdr:row>2</xdr:row>
      <xdr:rowOff>104776</xdr:rowOff>
    </xdr:from>
    <xdr:to>
      <xdr:col>13</xdr:col>
      <xdr:colOff>514351</xdr:colOff>
      <xdr:row>4</xdr:row>
      <xdr:rowOff>117412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6025" y="495301"/>
          <a:ext cx="2143126" cy="393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9525</xdr:rowOff>
        </xdr:from>
        <xdr:to>
          <xdr:col>18</xdr:col>
          <xdr:colOff>0</xdr:colOff>
          <xdr:row>4</xdr:row>
          <xdr:rowOff>180975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3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C101:C112"/>
  <sheetViews>
    <sheetView tabSelected="1" workbookViewId="0">
      <selection activeCell="E14" sqref="E14"/>
    </sheetView>
  </sheetViews>
  <sheetFormatPr defaultRowHeight="15" x14ac:dyDescent="0.25"/>
  <sheetData>
    <row r="101" spans="3:3" x14ac:dyDescent="0.25">
      <c r="C101">
        <v>10</v>
      </c>
    </row>
    <row r="102" spans="3:3" x14ac:dyDescent="0.25">
      <c r="C102">
        <v>9.2200000000000006</v>
      </c>
    </row>
    <row r="103" spans="3:3" x14ac:dyDescent="0.25">
      <c r="C103">
        <v>8.5</v>
      </c>
    </row>
    <row r="104" spans="3:3" x14ac:dyDescent="0.25">
      <c r="C104">
        <v>6.12</v>
      </c>
    </row>
    <row r="105" spans="3:3" x14ac:dyDescent="0.25">
      <c r="C105">
        <v>4.3</v>
      </c>
    </row>
    <row r="106" spans="3:3" x14ac:dyDescent="0.25">
      <c r="C106">
        <v>3.4</v>
      </c>
    </row>
    <row r="107" spans="3:3" x14ac:dyDescent="0.25">
      <c r="C107">
        <v>3.33</v>
      </c>
    </row>
    <row r="108" spans="3:3" x14ac:dyDescent="0.25">
      <c r="C108">
        <v>2.5</v>
      </c>
    </row>
    <row r="109" spans="3:3" x14ac:dyDescent="0.25">
      <c r="C109">
        <v>2.2200000000000002</v>
      </c>
    </row>
    <row r="110" spans="3:3" x14ac:dyDescent="0.25">
      <c r="C110">
        <v>1.5</v>
      </c>
    </row>
    <row r="111" spans="3:3" x14ac:dyDescent="0.25">
      <c r="C111">
        <v>1.1100000000000001</v>
      </c>
    </row>
    <row r="112" spans="3:3" x14ac:dyDescent="0.25">
      <c r="C112">
        <v>0.1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7</xdr:row>
                <xdr:rowOff>180975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R48"/>
  <sheetViews>
    <sheetView topLeftCell="A7" workbookViewId="0">
      <selection activeCell="Q6" sqref="Q6"/>
    </sheetView>
  </sheetViews>
  <sheetFormatPr defaultRowHeight="15" x14ac:dyDescent="0.25"/>
  <cols>
    <col min="6" max="6" width="11.28515625" customWidth="1"/>
    <col min="16" max="16" width="10.85546875" customWidth="1"/>
  </cols>
  <sheetData>
    <row r="1" spans="1:18" ht="15.75" thickBot="1" x14ac:dyDescent="0.3">
      <c r="A1" s="3" t="s">
        <v>0</v>
      </c>
      <c r="B1" s="2">
        <v>1.2</v>
      </c>
      <c r="C1" s="3" t="s">
        <v>1</v>
      </c>
      <c r="D1" s="2">
        <v>2.4</v>
      </c>
      <c r="E1" s="3" t="s">
        <v>2</v>
      </c>
      <c r="F1" s="2">
        <v>20</v>
      </c>
      <c r="G1" s="3" t="s">
        <v>3</v>
      </c>
      <c r="H1" s="2">
        <f>ABS(D1-B1)/F1</f>
        <v>0.06</v>
      </c>
      <c r="K1" s="3" t="s">
        <v>0</v>
      </c>
      <c r="L1" s="2">
        <v>0.4</v>
      </c>
      <c r="M1" s="3" t="s">
        <v>1</v>
      </c>
      <c r="N1" s="2">
        <v>1.2</v>
      </c>
      <c r="O1" s="3" t="s">
        <v>2</v>
      </c>
      <c r="P1" s="2">
        <v>20</v>
      </c>
      <c r="Q1" s="3" t="s">
        <v>3</v>
      </c>
      <c r="R1" s="2">
        <f>ABS(N1-L1)/P1</f>
        <v>3.9999999999999994E-2</v>
      </c>
    </row>
    <row r="2" spans="1:18" ht="15.75" thickBot="1" x14ac:dyDescent="0.3">
      <c r="A2" s="3" t="s">
        <v>4</v>
      </c>
      <c r="B2" s="3" t="s">
        <v>5</v>
      </c>
      <c r="C2" s="3" t="s">
        <v>6</v>
      </c>
      <c r="D2" s="3" t="s">
        <v>7</v>
      </c>
      <c r="K2" s="3" t="s">
        <v>4</v>
      </c>
      <c r="L2" s="17" t="s">
        <v>5</v>
      </c>
      <c r="M2" s="17" t="s">
        <v>6</v>
      </c>
      <c r="N2" s="3" t="s">
        <v>7</v>
      </c>
    </row>
    <row r="3" spans="1:18" x14ac:dyDescent="0.25">
      <c r="A3" s="4">
        <v>0</v>
      </c>
      <c r="B3" s="7">
        <f>$B$1+A3*$H$1</f>
        <v>1.2</v>
      </c>
      <c r="C3" s="7">
        <f>integ_1(B3)</f>
        <v>1.0638297872340425</v>
      </c>
      <c r="D3" s="7">
        <f>C3</f>
        <v>1.0638297872340425</v>
      </c>
      <c r="K3" s="14">
        <v>0</v>
      </c>
      <c r="L3" s="7">
        <f t="shared" ref="L3:L23" si="0">$L$1+K3*$R$1</f>
        <v>0.4</v>
      </c>
      <c r="M3" s="11">
        <f>integ_2(L3)</f>
        <v>0.38377541416786881</v>
      </c>
      <c r="N3" s="11">
        <f>M3</f>
        <v>0.38377541416786881</v>
      </c>
    </row>
    <row r="4" spans="1:18" ht="15.75" thickBot="1" x14ac:dyDescent="0.3">
      <c r="A4" s="5">
        <v>1</v>
      </c>
      <c r="B4" s="8">
        <f t="shared" ref="B4:B23" si="1">$B$1+A4*$H$1</f>
        <v>1.26</v>
      </c>
      <c r="C4" s="8">
        <f t="shared" ref="C4:C23" si="2">integ_1(B4)</f>
        <v>0.91945568223611607</v>
      </c>
      <c r="D4" s="8">
        <f>4*C4</f>
        <v>3.6778227289444643</v>
      </c>
      <c r="K4" s="15">
        <v>1</v>
      </c>
      <c r="L4" s="8">
        <f t="shared" si="0"/>
        <v>0.44</v>
      </c>
      <c r="M4" s="12">
        <f>integ_2(L4)</f>
        <v>0.37079986197539483</v>
      </c>
      <c r="N4" s="12">
        <f>4*M4</f>
        <v>1.4831994479015793</v>
      </c>
    </row>
    <row r="5" spans="1:18" ht="15.75" thickBot="1" x14ac:dyDescent="0.3">
      <c r="A5" s="5">
        <v>2</v>
      </c>
      <c r="B5" s="8">
        <f t="shared" si="1"/>
        <v>1.3199999999999998</v>
      </c>
      <c r="C5" s="8">
        <f t="shared" si="2"/>
        <v>0.80489375402446905</v>
      </c>
      <c r="D5" s="8">
        <f>2*C5</f>
        <v>1.6097875080489381</v>
      </c>
      <c r="H5" s="3" t="s">
        <v>12</v>
      </c>
      <c r="K5" s="15">
        <v>2</v>
      </c>
      <c r="L5" s="8">
        <f t="shared" si="0"/>
        <v>0.48</v>
      </c>
      <c r="M5" s="12">
        <f t="shared" ref="M5:M23" si="3">integ_2(L5)</f>
        <v>0.35765924305616298</v>
      </c>
      <c r="N5" s="12">
        <f>2*M5</f>
        <v>0.71531848611232596</v>
      </c>
      <c r="R5" s="3" t="s">
        <v>12</v>
      </c>
    </row>
    <row r="6" spans="1:18" ht="15.75" thickBot="1" x14ac:dyDescent="0.3">
      <c r="A6" s="5">
        <v>3</v>
      </c>
      <c r="B6" s="8">
        <f t="shared" si="1"/>
        <v>1.38</v>
      </c>
      <c r="C6" s="8">
        <f t="shared" si="2"/>
        <v>0.71204784961549439</v>
      </c>
      <c r="D6" s="8">
        <f>4*C6</f>
        <v>2.8481913984619776</v>
      </c>
      <c r="F6" s="10" t="s">
        <v>8</v>
      </c>
      <c r="G6" s="7">
        <f>SUM(C3:C22)*H1</f>
        <v>0.55433117102876273</v>
      </c>
      <c r="H6" s="7">
        <f>sum_l1(B1,D1,F1)</f>
        <v>0.55433117102876273</v>
      </c>
      <c r="K6" s="15">
        <v>3</v>
      </c>
      <c r="L6" s="8">
        <f t="shared" si="0"/>
        <v>0.52</v>
      </c>
      <c r="M6" s="12">
        <f t="shared" si="3"/>
        <v>0.34437269034827378</v>
      </c>
      <c r="N6" s="12">
        <f>4*M6</f>
        <v>1.3774907613930951</v>
      </c>
      <c r="P6" s="10" t="s">
        <v>8</v>
      </c>
      <c r="Q6" s="7">
        <f>SUM(M3:M22)*R1</f>
        <v>0.20439839578735897</v>
      </c>
      <c r="R6" s="7">
        <f>sum_l2(L1,N1,P1)</f>
        <v>0.20439839578735897</v>
      </c>
    </row>
    <row r="7" spans="1:18" ht="15.75" thickBot="1" x14ac:dyDescent="0.3">
      <c r="A7" s="5">
        <v>4</v>
      </c>
      <c r="B7" s="8">
        <f t="shared" si="1"/>
        <v>1.44</v>
      </c>
      <c r="C7" s="8">
        <f t="shared" si="2"/>
        <v>0.63548551093035088</v>
      </c>
      <c r="D7" s="8">
        <f>2*C7</f>
        <v>1.2709710218607018</v>
      </c>
      <c r="F7" s="10" t="s">
        <v>9</v>
      </c>
      <c r="G7" s="8">
        <f>SUM(C4:C23)*H1</f>
        <v>0.50190822790118395</v>
      </c>
      <c r="H7" s="8">
        <f>sum_r1(B1,D1,F1)</f>
        <v>0.50190822790118395</v>
      </c>
      <c r="K7" s="15">
        <v>4</v>
      </c>
      <c r="L7" s="8">
        <f t="shared" si="0"/>
        <v>0.56000000000000005</v>
      </c>
      <c r="M7" s="12">
        <f t="shared" si="3"/>
        <v>0.33095902773961566</v>
      </c>
      <c r="N7" s="12">
        <f>2*M7</f>
        <v>0.66191805547923133</v>
      </c>
      <c r="P7" s="10" t="s">
        <v>9</v>
      </c>
      <c r="Q7" s="8">
        <f>SUM(M4:M23)*R1</f>
        <v>0.19357685115160259</v>
      </c>
      <c r="R7" s="8">
        <f>sum_r2(L1,N1,P1)</f>
        <v>0.19357685115160259</v>
      </c>
    </row>
    <row r="8" spans="1:18" ht="15.75" thickBot="1" x14ac:dyDescent="0.3">
      <c r="A8" s="5">
        <v>5</v>
      </c>
      <c r="B8" s="8">
        <f t="shared" si="1"/>
        <v>1.5</v>
      </c>
      <c r="C8" s="8">
        <f t="shared" si="2"/>
        <v>0.5714285714285714</v>
      </c>
      <c r="D8" s="8">
        <f>4*C8</f>
        <v>2.2857142857142856</v>
      </c>
      <c r="F8" s="10" t="s">
        <v>10</v>
      </c>
      <c r="G8" s="8">
        <f>(H1/2)*(C3+C23+2*SUM(C4:C22))</f>
        <v>0.52811969946497328</v>
      </c>
      <c r="H8" s="8">
        <f>sum_q1(B1,D1,F1)</f>
        <v>0.52811969946497328</v>
      </c>
      <c r="K8" s="15">
        <v>5</v>
      </c>
      <c r="L8" s="8">
        <f t="shared" si="0"/>
        <v>0.6</v>
      </c>
      <c r="M8" s="12">
        <f t="shared" si="3"/>
        <v>0.3174367749652609</v>
      </c>
      <c r="N8" s="12">
        <f>4*M8</f>
        <v>1.2697470998610436</v>
      </c>
      <c r="P8" s="10" t="s">
        <v>10</v>
      </c>
      <c r="Q8" s="8">
        <f>(R1/2)*(M3+M23+2*SUM(M4:M22))</f>
        <v>0.19898762346948076</v>
      </c>
      <c r="R8" s="8">
        <f>sum_q2(L1,N1,P1)</f>
        <v>0.19898762346948076</v>
      </c>
    </row>
    <row r="9" spans="1:18" ht="16.5" thickBot="1" x14ac:dyDescent="0.3">
      <c r="A9" s="5">
        <v>6</v>
      </c>
      <c r="B9" s="8">
        <f t="shared" si="1"/>
        <v>1.56</v>
      </c>
      <c r="C9" s="8">
        <f t="shared" si="2"/>
        <v>0.5171700455109639</v>
      </c>
      <c r="D9" s="8">
        <f>2*C9</f>
        <v>1.0343400910219278</v>
      </c>
      <c r="E9" s="1"/>
      <c r="F9" s="10" t="s">
        <v>11</v>
      </c>
      <c r="G9" s="9">
        <f>(H1/3)*SUM(D3:D23)</f>
        <v>0.52736311513049916</v>
      </c>
      <c r="H9" s="9">
        <f>sum_Simp1(B1,D1,F1)</f>
        <v>0.52736311513049916</v>
      </c>
      <c r="K9" s="15">
        <v>6</v>
      </c>
      <c r="L9" s="8">
        <f t="shared" si="0"/>
        <v>0.64</v>
      </c>
      <c r="M9" s="12">
        <f t="shared" si="3"/>
        <v>0.30382415071374719</v>
      </c>
      <c r="N9" s="12">
        <f>2*M9</f>
        <v>0.60764830142749438</v>
      </c>
      <c r="O9" s="1"/>
      <c r="P9" s="10" t="s">
        <v>11</v>
      </c>
      <c r="Q9" s="9">
        <f>(R1/3)*SUM(N3:N23)</f>
        <v>0.19898821963887017</v>
      </c>
      <c r="R9" s="9">
        <f>sum_Simp2(L1,N1,P1)</f>
        <v>0.19898821963887017</v>
      </c>
    </row>
    <row r="10" spans="1:18" x14ac:dyDescent="0.25">
      <c r="A10" s="5">
        <v>7</v>
      </c>
      <c r="B10" s="8">
        <f t="shared" si="1"/>
        <v>1.6199999999999999</v>
      </c>
      <c r="C10" s="8">
        <f t="shared" si="2"/>
        <v>0.47072114479382421</v>
      </c>
      <c r="D10" s="8">
        <f>4*C10</f>
        <v>1.8828845791752968</v>
      </c>
      <c r="K10" s="15">
        <v>7</v>
      </c>
      <c r="L10" s="8">
        <f t="shared" si="0"/>
        <v>0.67999999999999994</v>
      </c>
      <c r="M10" s="12">
        <f t="shared" si="3"/>
        <v>0.29013907416079404</v>
      </c>
      <c r="N10" s="12">
        <f>4*M10</f>
        <v>1.1605562966431762</v>
      </c>
    </row>
    <row r="11" spans="1:18" x14ac:dyDescent="0.25">
      <c r="A11" s="5">
        <v>8</v>
      </c>
      <c r="B11" s="8">
        <f t="shared" si="1"/>
        <v>1.68</v>
      </c>
      <c r="C11" s="8">
        <f t="shared" si="2"/>
        <v>0.43058904581467455</v>
      </c>
      <c r="D11" s="8">
        <f>2*C11</f>
        <v>0.86117809162934911</v>
      </c>
      <c r="K11" s="15">
        <v>8</v>
      </c>
      <c r="L11" s="8">
        <f t="shared" si="0"/>
        <v>0.72</v>
      </c>
      <c r="M11" s="12">
        <f t="shared" si="3"/>
        <v>0.27639916512532908</v>
      </c>
      <c r="N11" s="12">
        <f>2*M11</f>
        <v>0.55279833025065817</v>
      </c>
    </row>
    <row r="12" spans="1:18" x14ac:dyDescent="0.25">
      <c r="A12" s="5">
        <v>9</v>
      </c>
      <c r="B12" s="8">
        <f t="shared" si="1"/>
        <v>1.74</v>
      </c>
      <c r="C12" s="8">
        <f t="shared" si="2"/>
        <v>0.39563222028802025</v>
      </c>
      <c r="D12" s="8">
        <f>4*C12</f>
        <v>1.582528881152081</v>
      </c>
      <c r="K12" s="15">
        <v>9</v>
      </c>
      <c r="L12" s="8">
        <f t="shared" si="0"/>
        <v>0.76</v>
      </c>
      <c r="M12" s="12">
        <f t="shared" si="3"/>
        <v>0.26262174302206714</v>
      </c>
      <c r="N12" s="12">
        <f>4*M12</f>
        <v>1.0504869720882686</v>
      </c>
    </row>
    <row r="13" spans="1:18" x14ac:dyDescent="0.25">
      <c r="A13" s="5">
        <v>10</v>
      </c>
      <c r="B13" s="8">
        <f t="shared" si="1"/>
        <v>1.7999999999999998</v>
      </c>
      <c r="C13" s="8">
        <f t="shared" si="2"/>
        <v>0.36496350364963515</v>
      </c>
      <c r="D13" s="8">
        <f>2*C13</f>
        <v>0.72992700729927029</v>
      </c>
      <c r="K13" s="15">
        <v>10</v>
      </c>
      <c r="L13" s="8">
        <f t="shared" si="0"/>
        <v>0.79999999999999993</v>
      </c>
      <c r="M13" s="12">
        <f t="shared" si="3"/>
        <v>0.24882382476684484</v>
      </c>
      <c r="N13" s="12">
        <f>2*M13</f>
        <v>0.49764764953368967</v>
      </c>
    </row>
    <row r="14" spans="1:18" x14ac:dyDescent="0.25">
      <c r="A14" s="5">
        <v>11</v>
      </c>
      <c r="B14" s="8">
        <f t="shared" si="1"/>
        <v>1.8599999999999999</v>
      </c>
      <c r="C14" s="8">
        <f t="shared" si="2"/>
        <v>0.33788349776996895</v>
      </c>
      <c r="D14" s="8">
        <f>4*C14</f>
        <v>1.3515339910798758</v>
      </c>
      <c r="K14" s="15">
        <v>11</v>
      </c>
      <c r="L14" s="8">
        <f t="shared" si="0"/>
        <v>0.84</v>
      </c>
      <c r="M14" s="12">
        <f t="shared" si="3"/>
        <v>0.23502212177510851</v>
      </c>
      <c r="N14" s="12">
        <f>4*M14</f>
        <v>0.94008848710043402</v>
      </c>
    </row>
    <row r="15" spans="1:18" x14ac:dyDescent="0.25">
      <c r="A15" s="5">
        <v>12</v>
      </c>
      <c r="B15" s="8">
        <f t="shared" si="1"/>
        <v>1.92</v>
      </c>
      <c r="C15" s="8">
        <f t="shared" si="2"/>
        <v>0.31383379362289732</v>
      </c>
      <c r="D15" s="8">
        <f>2*C15</f>
        <v>0.62766758724579463</v>
      </c>
      <c r="K15" s="15">
        <v>12</v>
      </c>
      <c r="L15" s="8">
        <f t="shared" si="0"/>
        <v>0.87999999999999989</v>
      </c>
      <c r="M15" s="12">
        <f t="shared" si="3"/>
        <v>0.22123303618006263</v>
      </c>
      <c r="N15" s="12">
        <f>2*M15</f>
        <v>0.44246607236012525</v>
      </c>
    </row>
    <row r="16" spans="1:18" x14ac:dyDescent="0.25">
      <c r="A16" s="5">
        <v>13</v>
      </c>
      <c r="B16" s="8">
        <f t="shared" si="1"/>
        <v>1.98</v>
      </c>
      <c r="C16" s="8">
        <f t="shared" si="2"/>
        <v>0.29236346626125598</v>
      </c>
      <c r="D16" s="8">
        <f>4*C16</f>
        <v>1.1694538650450239</v>
      </c>
      <c r="K16" s="15">
        <v>13</v>
      </c>
      <c r="L16" s="8">
        <f t="shared" si="0"/>
        <v>0.91999999999999993</v>
      </c>
      <c r="M16" s="12">
        <f t="shared" si="3"/>
        <v>0.20747265638474757</v>
      </c>
      <c r="N16" s="12">
        <f>4*M16</f>
        <v>0.82989062553899029</v>
      </c>
    </row>
    <row r="17" spans="1:18" x14ac:dyDescent="0.25">
      <c r="A17" s="5">
        <v>14</v>
      </c>
      <c r="B17" s="8">
        <f t="shared" si="1"/>
        <v>2.04</v>
      </c>
      <c r="C17" s="8">
        <f t="shared" si="2"/>
        <v>0.27310465370329912</v>
      </c>
      <c r="D17" s="8">
        <f>2*C17</f>
        <v>0.54620930740659823</v>
      </c>
      <c r="K17" s="15">
        <v>14</v>
      </c>
      <c r="L17" s="8">
        <f t="shared" si="0"/>
        <v>0.96</v>
      </c>
      <c r="M17" s="12">
        <f t="shared" si="3"/>
        <v>0.19375675205150564</v>
      </c>
      <c r="N17" s="12">
        <f>2*M17</f>
        <v>0.38751350410301127</v>
      </c>
    </row>
    <row r="18" spans="1:18" x14ac:dyDescent="0.25">
      <c r="A18" s="5">
        <v>15</v>
      </c>
      <c r="B18" s="8">
        <f t="shared" si="1"/>
        <v>2.0999999999999996</v>
      </c>
      <c r="C18" s="8">
        <f t="shared" si="2"/>
        <v>0.25575447570332493</v>
      </c>
      <c r="D18" s="8">
        <f>4*C18</f>
        <v>1.0230179028132997</v>
      </c>
      <c r="K18" s="15">
        <v>15</v>
      </c>
      <c r="L18" s="8">
        <f t="shared" si="0"/>
        <v>0.99999999999999989</v>
      </c>
      <c r="M18" s="12">
        <f t="shared" si="3"/>
        <v>0.18010076862271326</v>
      </c>
      <c r="N18" s="12">
        <f>4*M18</f>
        <v>0.72040307449085306</v>
      </c>
    </row>
    <row r="19" spans="1:18" x14ac:dyDescent="0.25">
      <c r="A19" s="5">
        <v>16</v>
      </c>
      <c r="B19" s="8">
        <f t="shared" si="1"/>
        <v>2.16</v>
      </c>
      <c r="C19" s="8">
        <f t="shared" si="2"/>
        <v>0.24006145573266754</v>
      </c>
      <c r="D19" s="8">
        <f>2*C19</f>
        <v>0.48012291146533509</v>
      </c>
      <c r="K19" s="15">
        <v>16</v>
      </c>
      <c r="L19" s="8">
        <f t="shared" si="0"/>
        <v>1.04</v>
      </c>
      <c r="M19" s="12">
        <f t="shared" si="3"/>
        <v>0.16651982145815078</v>
      </c>
      <c r="N19" s="12">
        <f>2*M19</f>
        <v>0.33303964291630156</v>
      </c>
    </row>
    <row r="20" spans="1:18" x14ac:dyDescent="0.25">
      <c r="A20" s="5">
        <v>17</v>
      </c>
      <c r="B20" s="8">
        <f t="shared" si="1"/>
        <v>2.2199999999999998</v>
      </c>
      <c r="C20" s="8">
        <f t="shared" si="2"/>
        <v>0.22581519284617474</v>
      </c>
      <c r="D20" s="8">
        <f>4*C20</f>
        <v>0.90326077138469896</v>
      </c>
      <c r="K20" s="15">
        <v>17</v>
      </c>
      <c r="L20" s="8">
        <f t="shared" si="0"/>
        <v>1.08</v>
      </c>
      <c r="M20" s="12">
        <f t="shared" si="3"/>
        <v>0.1530286896667987</v>
      </c>
      <c r="N20" s="12">
        <f>4*M20</f>
        <v>0.61211475866719478</v>
      </c>
    </row>
    <row r="21" spans="1:18" x14ac:dyDescent="0.25">
      <c r="A21" s="5">
        <v>18</v>
      </c>
      <c r="B21" s="8">
        <f t="shared" si="1"/>
        <v>2.2800000000000002</v>
      </c>
      <c r="C21" s="8">
        <f t="shared" si="2"/>
        <v>0.21283841307679205</v>
      </c>
      <c r="D21" s="8">
        <f>2*C21</f>
        <v>0.4256768261535841</v>
      </c>
      <c r="K21" s="15">
        <v>18</v>
      </c>
      <c r="L21" s="8">
        <f t="shared" si="0"/>
        <v>1.1199999999999999</v>
      </c>
      <c r="M21" s="12">
        <f t="shared" si="3"/>
        <v>0.13964180970407444</v>
      </c>
      <c r="N21" s="12">
        <f>2*M21</f>
        <v>0.27928361940814889</v>
      </c>
    </row>
    <row r="22" spans="1:18" x14ac:dyDescent="0.25">
      <c r="A22" s="5">
        <v>19</v>
      </c>
      <c r="B22" s="8">
        <f t="shared" si="1"/>
        <v>2.34</v>
      </c>
      <c r="C22" s="8">
        <f>integ_1(B22)</f>
        <v>0.2009807862368358</v>
      </c>
      <c r="D22" s="8">
        <f>4*C22</f>
        <v>0.80392314494734318</v>
      </c>
      <c r="K22" s="15">
        <v>19</v>
      </c>
      <c r="L22" s="8">
        <f t="shared" si="0"/>
        <v>1.1599999999999999</v>
      </c>
      <c r="M22" s="12">
        <f t="shared" si="3"/>
        <v>0.12637326879945354</v>
      </c>
      <c r="N22" s="12">
        <f>4*M22</f>
        <v>0.50549307519781417</v>
      </c>
    </row>
    <row r="23" spans="1:18" ht="15.75" thickBot="1" x14ac:dyDescent="0.3">
      <c r="A23" s="6">
        <v>20</v>
      </c>
      <c r="B23" s="9">
        <f t="shared" si="1"/>
        <v>2.4</v>
      </c>
      <c r="C23" s="9">
        <f t="shared" si="2"/>
        <v>0.19011406844106465</v>
      </c>
      <c r="D23" s="9">
        <f>C23</f>
        <v>0.19011406844106465</v>
      </c>
      <c r="K23" s="16">
        <v>20</v>
      </c>
      <c r="L23" s="9">
        <f t="shared" si="0"/>
        <v>1.1999999999999997</v>
      </c>
      <c r="M23" s="13">
        <f t="shared" si="3"/>
        <v>0.11323679827396059</v>
      </c>
      <c r="N23" s="13">
        <f>M23</f>
        <v>0.11323679827396059</v>
      </c>
    </row>
    <row r="24" spans="1:18" ht="15.75" thickBot="1" x14ac:dyDescent="0.3"/>
    <row r="25" spans="1:18" s="25" customFormat="1" ht="15.75" thickBot="1" x14ac:dyDescent="0.3">
      <c r="A25" s="24"/>
    </row>
    <row r="26" spans="1:18" ht="15.75" thickBot="1" x14ac:dyDescent="0.3">
      <c r="A26" s="22" t="s">
        <v>0</v>
      </c>
      <c r="B26" s="23">
        <v>0.5</v>
      </c>
      <c r="C26" s="22" t="s">
        <v>1</v>
      </c>
      <c r="D26" s="23">
        <v>1.8</v>
      </c>
      <c r="E26" s="22" t="s">
        <v>2</v>
      </c>
      <c r="F26" s="23">
        <v>20</v>
      </c>
      <c r="G26" s="22" t="s">
        <v>3</v>
      </c>
      <c r="H26" s="23">
        <f>ABS(D26-B26)/F26</f>
        <v>6.5000000000000002E-2</v>
      </c>
      <c r="K26" s="22" t="s">
        <v>0</v>
      </c>
      <c r="L26" s="23">
        <v>1.3</v>
      </c>
      <c r="M26" s="22" t="s">
        <v>1</v>
      </c>
      <c r="N26" s="23">
        <v>1.6</v>
      </c>
      <c r="O26" s="22" t="s">
        <v>2</v>
      </c>
      <c r="P26" s="23">
        <v>20</v>
      </c>
      <c r="Q26" s="22" t="s">
        <v>3</v>
      </c>
      <c r="R26" s="23">
        <f>ABS(N26-L26)/P26</f>
        <v>1.5000000000000003E-2</v>
      </c>
    </row>
    <row r="27" spans="1:18" ht="15.75" thickBot="1" x14ac:dyDescent="0.3">
      <c r="A27" s="3" t="s">
        <v>4</v>
      </c>
      <c r="B27" s="3" t="s">
        <v>5</v>
      </c>
      <c r="C27" s="3" t="s">
        <v>6</v>
      </c>
      <c r="D27" s="3" t="s">
        <v>7</v>
      </c>
      <c r="K27" s="3" t="s">
        <v>4</v>
      </c>
      <c r="L27" s="3" t="s">
        <v>5</v>
      </c>
      <c r="M27" s="3" t="s">
        <v>6</v>
      </c>
      <c r="N27" s="3" t="s">
        <v>7</v>
      </c>
    </row>
    <row r="28" spans="1:18" x14ac:dyDescent="0.25">
      <c r="A28" s="4">
        <v>0</v>
      </c>
      <c r="B28" s="20">
        <f>$B$26+A28*$H$26</f>
        <v>0.5</v>
      </c>
      <c r="C28" s="7">
        <f>integ_3(B28)</f>
        <v>0.38311257830282991</v>
      </c>
      <c r="D28" s="7">
        <f>C28</f>
        <v>0.38311257830282991</v>
      </c>
      <c r="K28" s="4">
        <v>0</v>
      </c>
      <c r="L28" s="7">
        <f>$L$26+K28*$R$26</f>
        <v>1.3</v>
      </c>
      <c r="M28" s="7">
        <f>integ_4(L28)</f>
        <v>0.59836085624455271</v>
      </c>
      <c r="N28" s="7">
        <f>M28</f>
        <v>0.59836085624455271</v>
      </c>
    </row>
    <row r="29" spans="1:18" ht="15.75" thickBot="1" x14ac:dyDescent="0.3">
      <c r="A29" s="5">
        <v>1</v>
      </c>
      <c r="B29" s="19">
        <f t="shared" ref="B29:B48" si="4">$B$26+A29*$H$26</f>
        <v>0.56499999999999995</v>
      </c>
      <c r="C29" s="8">
        <f t="shared" ref="C29:C48" si="5">integ_3(B29)</f>
        <v>0.34438567104491713</v>
      </c>
      <c r="D29" s="8">
        <f>4*C29</f>
        <v>1.3775426841796685</v>
      </c>
      <c r="K29" s="5">
        <v>1</v>
      </c>
      <c r="L29" s="8">
        <f t="shared" ref="L29:L48" si="6">$L$26+K29*$R$26</f>
        <v>1.3149999999999999</v>
      </c>
      <c r="M29" s="8">
        <f t="shared" ref="M29:M48" si="7">integ_4(L29)</f>
        <v>0.59644215362867714</v>
      </c>
      <c r="N29" s="8">
        <f>4*M29</f>
        <v>2.3857686145147086</v>
      </c>
    </row>
    <row r="30" spans="1:18" ht="15.75" thickBot="1" x14ac:dyDescent="0.3">
      <c r="A30" s="5">
        <v>2</v>
      </c>
      <c r="B30" s="19">
        <f t="shared" si="4"/>
        <v>0.63</v>
      </c>
      <c r="C30" s="8">
        <f t="shared" si="5"/>
        <v>0.30195166822334885</v>
      </c>
      <c r="D30" s="8">
        <f>2*C30</f>
        <v>0.60390333644669769</v>
      </c>
      <c r="H30" s="3" t="s">
        <v>12</v>
      </c>
      <c r="K30" s="5">
        <v>2</v>
      </c>
      <c r="L30" s="8">
        <f t="shared" si="6"/>
        <v>1.33</v>
      </c>
      <c r="M30" s="8">
        <f t="shared" si="7"/>
        <v>0.59460047392050619</v>
      </c>
      <c r="N30" s="8">
        <f>2*M30</f>
        <v>1.1892009478410124</v>
      </c>
      <c r="R30" s="3" t="s">
        <v>12</v>
      </c>
    </row>
    <row r="31" spans="1:18" ht="15.75" thickBot="1" x14ac:dyDescent="0.3">
      <c r="A31" s="5">
        <v>3</v>
      </c>
      <c r="B31" s="19">
        <f t="shared" si="4"/>
        <v>0.69500000000000006</v>
      </c>
      <c r="C31" s="8">
        <f t="shared" si="5"/>
        <v>0.25556201260927042</v>
      </c>
      <c r="D31" s="8">
        <f>4*C31</f>
        <v>1.0222480504370817</v>
      </c>
      <c r="F31" s="10" t="s">
        <v>8</v>
      </c>
      <c r="G31" s="7">
        <f>SUM(C28:C47)*H26</f>
        <v>-0.13202620236729007</v>
      </c>
      <c r="H31" s="7">
        <f>sum_l3(B26,D26,F26)</f>
        <v>-0.13202620236729007</v>
      </c>
      <c r="K31" s="5">
        <v>3</v>
      </c>
      <c r="L31" s="8">
        <f t="shared" si="6"/>
        <v>1.345</v>
      </c>
      <c r="M31" s="8">
        <f t="shared" si="7"/>
        <v>0.59283224165566695</v>
      </c>
      <c r="N31" s="8">
        <f>4*M31</f>
        <v>2.3713289666226678</v>
      </c>
      <c r="P31" s="10" t="s">
        <v>8</v>
      </c>
      <c r="Q31" s="7">
        <f>SUM(M28:M47)*R26</f>
        <v>0.17514516311528031</v>
      </c>
      <c r="R31" s="7">
        <f>sum_l4(L26,N26,P26)</f>
        <v>0.17514516311528031</v>
      </c>
    </row>
    <row r="32" spans="1:18" ht="15.75" thickBot="1" x14ac:dyDescent="0.3">
      <c r="A32" s="5">
        <v>4</v>
      </c>
      <c r="B32" s="19">
        <f t="shared" si="4"/>
        <v>0.76</v>
      </c>
      <c r="C32" s="8">
        <f t="shared" si="5"/>
        <v>0.20506918186874157</v>
      </c>
      <c r="D32" s="8">
        <f>2*C32</f>
        <v>0.41013836373748314</v>
      </c>
      <c r="F32" s="10" t="s">
        <v>9</v>
      </c>
      <c r="G32" s="8">
        <f>SUM(C29:C48)*H26</f>
        <v>-0.17961965810294614</v>
      </c>
      <c r="H32" s="8">
        <f>sum_r3(B26,D26,F26)</f>
        <v>-0.17961965810294614</v>
      </c>
      <c r="K32" s="5">
        <v>4</v>
      </c>
      <c r="L32" s="8">
        <f t="shared" si="6"/>
        <v>1.36</v>
      </c>
      <c r="M32" s="8">
        <f t="shared" si="7"/>
        <v>0.59113413731765552</v>
      </c>
      <c r="N32" s="8">
        <f>2*M32</f>
        <v>1.182268274635311</v>
      </c>
      <c r="P32" s="10" t="s">
        <v>9</v>
      </c>
      <c r="Q32" s="8">
        <f>SUM(M29:M48)*R26</f>
        <v>0.17474212327225197</v>
      </c>
      <c r="R32" s="8">
        <f>sum_r4(L26,N26,P26)</f>
        <v>0.17474212327225197</v>
      </c>
    </row>
    <row r="33" spans="1:18" ht="15.75" thickBot="1" x14ac:dyDescent="0.3">
      <c r="A33" s="5">
        <v>5</v>
      </c>
      <c r="B33" s="19">
        <f t="shared" si="4"/>
        <v>0.82499999999999996</v>
      </c>
      <c r="C33" s="8">
        <f t="shared" si="5"/>
        <v>0.15046878930771673</v>
      </c>
      <c r="D33" s="8">
        <f>4*C33</f>
        <v>0.60187515723086693</v>
      </c>
      <c r="F33" s="10" t="s">
        <v>10</v>
      </c>
      <c r="G33" s="8">
        <f>(H26/2)*(C28+C48+2*SUM(C29:C47))</f>
        <v>-0.15582293023511812</v>
      </c>
      <c r="H33" s="8">
        <f>sum_q3(B26,D26,F26)</f>
        <v>-0.15582293023511809</v>
      </c>
      <c r="K33" s="5">
        <v>5</v>
      </c>
      <c r="L33" s="8">
        <f t="shared" si="6"/>
        <v>1.375</v>
      </c>
      <c r="M33" s="8">
        <f t="shared" si="7"/>
        <v>0.58950307267494773</v>
      </c>
      <c r="N33" s="8">
        <f>4*M33</f>
        <v>2.3580122906997909</v>
      </c>
      <c r="P33" s="10" t="s">
        <v>10</v>
      </c>
      <c r="Q33" s="8">
        <f>(R26/2)*(M28+M48+2*SUM(M29:M47))</f>
        <v>0.17494364319376615</v>
      </c>
      <c r="R33" s="8">
        <f>sum_q4(L26,N26,P26)</f>
        <v>0.17494364319376615</v>
      </c>
    </row>
    <row r="34" spans="1:18" ht="16.5" thickBot="1" x14ac:dyDescent="0.3">
      <c r="A34" s="5">
        <v>6</v>
      </c>
      <c r="B34" s="19">
        <f t="shared" si="4"/>
        <v>0.89</v>
      </c>
      <c r="C34" s="8">
        <f t="shared" si="5"/>
        <v>9.1944860327832639E-2</v>
      </c>
      <c r="D34" s="8">
        <f>2*C34</f>
        <v>0.18388972065566528</v>
      </c>
      <c r="E34" s="1"/>
      <c r="F34" s="10" t="s">
        <v>11</v>
      </c>
      <c r="G34" s="9">
        <f>(H26/3)*SUM(D28:D48)</f>
        <v>-0.1563996057823025</v>
      </c>
      <c r="H34" s="9">
        <f>sum_Simp3(B26,D26,F26)</f>
        <v>-0.1563996057823025</v>
      </c>
      <c r="K34" s="5">
        <v>6</v>
      </c>
      <c r="L34" s="8">
        <f t="shared" si="6"/>
        <v>1.3900000000000001</v>
      </c>
      <c r="M34" s="8">
        <f t="shared" si="7"/>
        <v>0.58793616906318646</v>
      </c>
      <c r="N34" s="8">
        <f>2*M34</f>
        <v>1.1758723381263729</v>
      </c>
      <c r="O34" s="1"/>
      <c r="P34" s="10" t="s">
        <v>11</v>
      </c>
      <c r="Q34" s="9">
        <f>(R26/3)*SUM(N28:N48)</f>
        <v>0.17494228288945929</v>
      </c>
      <c r="R34" s="9">
        <f>sum_Simp4(L26,N26,P26)</f>
        <v>0.17494228288945929</v>
      </c>
    </row>
    <row r="35" spans="1:18" x14ac:dyDescent="0.25">
      <c r="A35" s="5">
        <v>7</v>
      </c>
      <c r="B35" s="19">
        <f t="shared" si="4"/>
        <v>0.95500000000000007</v>
      </c>
      <c r="C35" s="8">
        <f t="shared" si="5"/>
        <v>2.9916813120412208E-2</v>
      </c>
      <c r="D35" s="8">
        <f>4*C35</f>
        <v>0.11966725248164883</v>
      </c>
      <c r="K35" s="5">
        <v>7</v>
      </c>
      <c r="L35" s="8">
        <f t="shared" si="6"/>
        <v>1.405</v>
      </c>
      <c r="M35" s="8">
        <f t="shared" si="7"/>
        <v>0.58643073819637526</v>
      </c>
      <c r="N35" s="8">
        <f>4*M35</f>
        <v>2.345722952785501</v>
      </c>
    </row>
    <row r="36" spans="1:18" x14ac:dyDescent="0.25">
      <c r="A36" s="5">
        <v>8</v>
      </c>
      <c r="B36" s="19">
        <f t="shared" si="4"/>
        <v>1.02</v>
      </c>
      <c r="C36" s="8">
        <f t="shared" si="5"/>
        <v>-3.4914230711482037E-2</v>
      </c>
      <c r="D36" s="8">
        <f>2*C36</f>
        <v>-6.9828461422964075E-2</v>
      </c>
      <c r="K36" s="5">
        <v>8</v>
      </c>
      <c r="L36" s="8">
        <f t="shared" si="6"/>
        <v>1.4200000000000002</v>
      </c>
      <c r="M36" s="8">
        <f t="shared" si="7"/>
        <v>0.58498426515847946</v>
      </c>
      <c r="N36" s="8">
        <f>2*M36</f>
        <v>1.1699685303169589</v>
      </c>
    </row>
    <row r="37" spans="1:18" x14ac:dyDescent="0.25">
      <c r="A37" s="5">
        <v>9</v>
      </c>
      <c r="B37" s="19">
        <f t="shared" si="4"/>
        <v>1.085</v>
      </c>
      <c r="C37" s="8">
        <f t="shared" si="5"/>
        <v>-0.10152322161190504</v>
      </c>
      <c r="D37" s="8">
        <f>4*C37</f>
        <v>-0.40609288644762015</v>
      </c>
      <c r="K37" s="5">
        <v>9</v>
      </c>
      <c r="L37" s="8">
        <f t="shared" si="6"/>
        <v>1.4350000000000001</v>
      </c>
      <c r="M37" s="8">
        <f t="shared" si="7"/>
        <v>0.58359439328201401</v>
      </c>
      <c r="N37" s="8">
        <f>4*M37</f>
        <v>2.334377573128056</v>
      </c>
    </row>
    <row r="38" spans="1:18" x14ac:dyDescent="0.25">
      <c r="A38" s="5">
        <v>10</v>
      </c>
      <c r="B38" s="19">
        <f t="shared" si="4"/>
        <v>1.1499999999999999</v>
      </c>
      <c r="C38" s="8">
        <f t="shared" si="5"/>
        <v>-0.16852759163919637</v>
      </c>
      <c r="D38" s="8">
        <f>2*C38</f>
        <v>-0.33705518327839273</v>
      </c>
      <c r="K38" s="5">
        <v>10</v>
      </c>
      <c r="L38" s="8">
        <f t="shared" si="6"/>
        <v>1.4500000000000002</v>
      </c>
      <c r="M38" s="8">
        <f t="shared" si="7"/>
        <v>0.58225891066556801</v>
      </c>
      <c r="N38" s="8">
        <f>2*M38</f>
        <v>1.164517821331136</v>
      </c>
    </row>
    <row r="39" spans="1:18" ht="18.75" x14ac:dyDescent="0.3">
      <c r="A39" s="5">
        <v>11</v>
      </c>
      <c r="B39" s="19">
        <f t="shared" si="4"/>
        <v>1.2150000000000001</v>
      </c>
      <c r="C39" s="8">
        <f t="shared" si="5"/>
        <v>-0.23416798336309924</v>
      </c>
      <c r="D39" s="8">
        <f>4*C39</f>
        <v>-0.93667193345239697</v>
      </c>
      <c r="F39" s="18"/>
      <c r="K39" s="5">
        <v>11</v>
      </c>
      <c r="L39" s="8">
        <f t="shared" si="6"/>
        <v>1.4650000000000001</v>
      </c>
      <c r="M39" s="8">
        <f t="shared" si="7"/>
        <v>0.58097573811969838</v>
      </c>
      <c r="N39" s="8">
        <f>4*M39</f>
        <v>2.3239029524787935</v>
      </c>
    </row>
    <row r="40" spans="1:18" x14ac:dyDescent="0.25">
      <c r="A40" s="5">
        <v>12</v>
      </c>
      <c r="B40" s="19">
        <f t="shared" si="4"/>
        <v>1.28</v>
      </c>
      <c r="C40" s="8">
        <f t="shared" si="5"/>
        <v>-0.29630999596301688</v>
      </c>
      <c r="D40" s="8">
        <f>2*C40</f>
        <v>-0.59261999192603376</v>
      </c>
      <c r="K40" s="5">
        <v>12</v>
      </c>
      <c r="L40" s="8">
        <f t="shared" si="6"/>
        <v>1.48</v>
      </c>
      <c r="M40" s="8">
        <f t="shared" si="7"/>
        <v>0.5797429183617292</v>
      </c>
      <c r="N40" s="8">
        <f>2*M40</f>
        <v>1.1594858367234584</v>
      </c>
    </row>
    <row r="41" spans="1:18" x14ac:dyDescent="0.25">
      <c r="A41" s="5">
        <v>13</v>
      </c>
      <c r="B41" s="19">
        <f t="shared" si="4"/>
        <v>1.345</v>
      </c>
      <c r="C41" s="8">
        <f t="shared" si="5"/>
        <v>-0.35247435475692701</v>
      </c>
      <c r="D41" s="8">
        <f>4*C41</f>
        <v>-1.409897419027708</v>
      </c>
      <c r="K41" s="5">
        <v>13</v>
      </c>
      <c r="L41" s="8">
        <f t="shared" si="6"/>
        <v>1.4950000000000001</v>
      </c>
      <c r="M41" s="8">
        <f t="shared" si="7"/>
        <v>0.57855860630594491</v>
      </c>
      <c r="N41" s="8">
        <f>4*M41</f>
        <v>2.3142344252237796</v>
      </c>
    </row>
    <row r="42" spans="1:18" x14ac:dyDescent="0.25">
      <c r="A42" s="5">
        <v>14</v>
      </c>
      <c r="B42" s="19">
        <f t="shared" si="4"/>
        <v>1.4100000000000001</v>
      </c>
      <c r="C42" s="8">
        <f t="shared" si="5"/>
        <v>-0.39990308419666837</v>
      </c>
      <c r="D42" s="8">
        <f>2*C42</f>
        <v>-0.79980616839333674</v>
      </c>
      <c r="K42" s="5">
        <v>14</v>
      </c>
      <c r="L42" s="8">
        <f t="shared" si="6"/>
        <v>1.51</v>
      </c>
      <c r="M42" s="8">
        <f t="shared" si="7"/>
        <v>0.57742106031737439</v>
      </c>
      <c r="N42" s="8">
        <f>2*M42</f>
        <v>1.1548421206347488</v>
      </c>
    </row>
    <row r="43" spans="1:18" x14ac:dyDescent="0.25">
      <c r="A43" s="5">
        <v>15</v>
      </c>
      <c r="B43" s="19">
        <f t="shared" si="4"/>
        <v>1.4750000000000001</v>
      </c>
      <c r="C43" s="8">
        <f t="shared" si="5"/>
        <v>-0.43566863037389675</v>
      </c>
      <c r="D43" s="8">
        <f>4*C43</f>
        <v>-1.742674521495587</v>
      </c>
      <c r="K43" s="5">
        <v>15</v>
      </c>
      <c r="L43" s="8">
        <f t="shared" si="6"/>
        <v>1.5250000000000001</v>
      </c>
      <c r="M43" s="8">
        <f t="shared" si="7"/>
        <v>0.57632863431562531</v>
      </c>
      <c r="N43" s="8">
        <f>4*M43</f>
        <v>2.3053145372625012</v>
      </c>
    </row>
    <row r="44" spans="1:18" x14ac:dyDescent="0.25">
      <c r="A44" s="5">
        <v>16</v>
      </c>
      <c r="B44" s="19">
        <f t="shared" si="4"/>
        <v>1.54</v>
      </c>
      <c r="C44" s="8">
        <f t="shared" si="5"/>
        <v>-0.45683114007975162</v>
      </c>
      <c r="D44" s="8">
        <f>2*C44</f>
        <v>-0.91366228015950324</v>
      </c>
      <c r="K44" s="5">
        <v>16</v>
      </c>
      <c r="L44" s="8">
        <f t="shared" si="6"/>
        <v>1.54</v>
      </c>
      <c r="M44" s="8">
        <f t="shared" si="7"/>
        <v>0.57527977063063873</v>
      </c>
      <c r="N44" s="8">
        <f>2*M44</f>
        <v>1.1505595412612775</v>
      </c>
    </row>
    <row r="45" spans="1:18" x14ac:dyDescent="0.25">
      <c r="A45" s="5">
        <v>17</v>
      </c>
      <c r="B45" s="19">
        <f t="shared" si="4"/>
        <v>1.605</v>
      </c>
      <c r="C45" s="8">
        <f t="shared" si="5"/>
        <v>-0.46064597221407982</v>
      </c>
      <c r="D45" s="8">
        <f>4*C45</f>
        <v>-1.8425838888563193</v>
      </c>
      <c r="K45" s="5">
        <v>17</v>
      </c>
      <c r="L45" s="8">
        <f t="shared" si="6"/>
        <v>1.5550000000000002</v>
      </c>
      <c r="M45" s="8">
        <f t="shared" si="7"/>
        <v>0.57427299352528383</v>
      </c>
      <c r="N45" s="8">
        <f>4*M45</f>
        <v>2.2970919741011353</v>
      </c>
    </row>
    <row r="46" spans="1:18" x14ac:dyDescent="0.25">
      <c r="A46" s="5">
        <v>18</v>
      </c>
      <c r="B46" s="19">
        <f t="shared" si="4"/>
        <v>1.67</v>
      </c>
      <c r="C46" s="8">
        <f t="shared" si="5"/>
        <v>-0.44481876811655224</v>
      </c>
      <c r="D46" s="8">
        <f>2*C46</f>
        <v>-0.88963753623310449</v>
      </c>
      <c r="K46" s="5">
        <v>18</v>
      </c>
      <c r="L46" s="8">
        <f t="shared" si="6"/>
        <v>1.57</v>
      </c>
      <c r="M46" s="8">
        <f t="shared" si="7"/>
        <v>0.57330690331080736</v>
      </c>
      <c r="N46" s="8">
        <f>2*M46</f>
        <v>1.1466138066216147</v>
      </c>
    </row>
    <row r="47" spans="1:18" x14ac:dyDescent="0.25">
      <c r="A47" s="5">
        <v>19</v>
      </c>
      <c r="B47" s="19">
        <f t="shared" si="4"/>
        <v>1.7350000000000001</v>
      </c>
      <c r="C47" s="8">
        <f t="shared" si="5"/>
        <v>-0.40779894589064902</v>
      </c>
      <c r="D47" s="8">
        <f>4*C47</f>
        <v>-1.6311957835625961</v>
      </c>
      <c r="K47" s="5">
        <v>19</v>
      </c>
      <c r="L47" s="8">
        <f t="shared" si="6"/>
        <v>1.585</v>
      </c>
      <c r="M47" s="8">
        <f t="shared" si="7"/>
        <v>0.57238017099062055</v>
      </c>
      <c r="N47" s="8">
        <f>4*M47</f>
        <v>2.2895206839624822</v>
      </c>
    </row>
    <row r="48" spans="1:18" ht="15.75" thickBot="1" x14ac:dyDescent="0.3">
      <c r="A48" s="6">
        <v>20</v>
      </c>
      <c r="B48" s="21">
        <f t="shared" si="4"/>
        <v>1.8</v>
      </c>
      <c r="C48" s="9">
        <f t="shared" si="5"/>
        <v>-0.34909443301495574</v>
      </c>
      <c r="D48" s="9">
        <f>C48</f>
        <v>-0.34909443301495574</v>
      </c>
      <c r="K48" s="6">
        <v>20</v>
      </c>
      <c r="L48" s="9">
        <f t="shared" si="6"/>
        <v>1.6</v>
      </c>
      <c r="M48" s="9">
        <f t="shared" si="7"/>
        <v>0.57149153337599568</v>
      </c>
      <c r="N48" s="9">
        <f>M48</f>
        <v>0.57149153337599568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8</xdr:col>
                <xdr:colOff>0</xdr:colOff>
                <xdr:row>0</xdr:row>
                <xdr:rowOff>19050</xdr:rowOff>
              </from>
              <to>
                <xdr:col>9</xdr:col>
                <xdr:colOff>600075</xdr:colOff>
                <xdr:row>13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X264"/>
  <sheetViews>
    <sheetView workbookViewId="0">
      <selection activeCell="P17" sqref="P17"/>
    </sheetView>
  </sheetViews>
  <sheetFormatPr defaultRowHeight="15" x14ac:dyDescent="0.25"/>
  <cols>
    <col min="11" max="11" width="9.140625" style="47"/>
  </cols>
  <sheetData>
    <row r="1" spans="1:24" ht="15.75" thickBot="1" x14ac:dyDescent="0.3">
      <c r="A1" s="28" t="s">
        <v>13</v>
      </c>
      <c r="B1" s="28" t="s">
        <v>14</v>
      </c>
      <c r="C1" s="28" t="s">
        <v>15</v>
      </c>
      <c r="D1" s="28" t="s">
        <v>16</v>
      </c>
      <c r="E1" s="28" t="s">
        <v>17</v>
      </c>
      <c r="F1" s="28" t="s">
        <v>18</v>
      </c>
      <c r="G1" s="28" t="s">
        <v>19</v>
      </c>
      <c r="I1" s="28" t="s">
        <v>21</v>
      </c>
      <c r="J1" s="31" t="s">
        <v>22</v>
      </c>
      <c r="K1" s="48"/>
      <c r="L1" s="32" t="s">
        <v>13</v>
      </c>
      <c r="M1" s="28" t="s">
        <v>14</v>
      </c>
      <c r="N1" s="28" t="s">
        <v>15</v>
      </c>
      <c r="O1" s="28" t="s">
        <v>16</v>
      </c>
      <c r="P1" s="28" t="s">
        <v>17</v>
      </c>
      <c r="Q1" s="28" t="s">
        <v>18</v>
      </c>
      <c r="R1" s="28" t="s">
        <v>19</v>
      </c>
      <c r="T1" s="28" t="s">
        <v>21</v>
      </c>
      <c r="U1" s="28" t="s">
        <v>22</v>
      </c>
      <c r="X1" s="41"/>
    </row>
    <row r="2" spans="1:24" x14ac:dyDescent="0.25">
      <c r="A2" s="7">
        <v>1.5</v>
      </c>
      <c r="B2" s="7">
        <v>2.5</v>
      </c>
      <c r="C2" s="7">
        <f>(A2+B2)/2</f>
        <v>2</v>
      </c>
      <c r="D2" s="7">
        <f t="shared" ref="D2:F3" si="0">fun_1(A2)</f>
        <v>-4.8250000000000002</v>
      </c>
      <c r="E2" s="7">
        <f t="shared" si="0"/>
        <v>5.4249999999999998</v>
      </c>
      <c r="F2" s="7">
        <f t="shared" si="0"/>
        <v>-1.2000000000000002</v>
      </c>
      <c r="G2" s="11">
        <v>1E-3</v>
      </c>
      <c r="I2" s="7">
        <v>-5</v>
      </c>
      <c r="J2" s="20">
        <f>I2^3 -2*I2 -5.2</f>
        <v>-120.2</v>
      </c>
      <c r="K2" s="49"/>
      <c r="L2" s="11">
        <v>0.4</v>
      </c>
      <c r="M2" s="7">
        <v>0.5</v>
      </c>
      <c r="N2" s="7">
        <f>(L2+M2)/2</f>
        <v>0.45</v>
      </c>
      <c r="O2" s="7">
        <f>fun_2(L2)</f>
        <v>7.720678126183822E-2</v>
      </c>
      <c r="P2" s="7">
        <f>fun_2(M2)</f>
        <v>-0.14630248984379046</v>
      </c>
      <c r="Q2" s="7">
        <f>fun_2(N2)</f>
        <v>-3.8610621172133985E-2</v>
      </c>
      <c r="R2" s="11">
        <v>1E-3</v>
      </c>
      <c r="T2" s="29">
        <v>-2</v>
      </c>
      <c r="U2" s="11">
        <f>1/(5*T2)-TAN(T2)</f>
        <v>-2.285039863261519</v>
      </c>
      <c r="W2" s="41"/>
    </row>
    <row r="3" spans="1:24" x14ac:dyDescent="0.25">
      <c r="A3" s="8">
        <f>IF(D2*F2&lt;0,A2,C2)</f>
        <v>2</v>
      </c>
      <c r="B3" s="8">
        <f>IF(D2*F2&lt;0,C2,B2)</f>
        <v>2.5</v>
      </c>
      <c r="C3" s="8">
        <f>(A3+B3)/2</f>
        <v>2.25</v>
      </c>
      <c r="D3" s="8">
        <f t="shared" si="0"/>
        <v>-1.2000000000000002</v>
      </c>
      <c r="E3" s="8">
        <f t="shared" si="0"/>
        <v>5.4249999999999998</v>
      </c>
      <c r="F3" s="8">
        <f t="shared" si="0"/>
        <v>1.6906249999999998</v>
      </c>
      <c r="G3" s="12">
        <f>ABS(A3-B3)</f>
        <v>0.5</v>
      </c>
      <c r="I3" s="8">
        <v>-4.5</v>
      </c>
      <c r="J3" s="19">
        <f t="shared" ref="J3:J18" si="1">I3^3 -2*I3 -5.2</f>
        <v>-87.325000000000003</v>
      </c>
      <c r="K3" s="49"/>
      <c r="L3" s="12">
        <f>IF(O2*Q2&lt;0,L2,N2)</f>
        <v>0.4</v>
      </c>
      <c r="M3" s="8">
        <f>IF(O2*Q2&lt;0,N2,M2)</f>
        <v>0.45</v>
      </c>
      <c r="N3" s="8">
        <f>(L3+M3)/2</f>
        <v>0.42500000000000004</v>
      </c>
      <c r="O3" s="8">
        <f t="shared" ref="O3:O9" si="2">fun_2(L3)</f>
        <v>7.720678126183822E-2</v>
      </c>
      <c r="P3" s="8">
        <f t="shared" ref="P3:P9" si="3">fun_2(M3)</f>
        <v>-3.8610621172133985E-2</v>
      </c>
      <c r="Q3" s="8">
        <f t="shared" ref="Q3:Q9" si="4">fun_2(N3)</f>
        <v>1.8005082867130373E-2</v>
      </c>
      <c r="R3" s="12">
        <f>ABS(L3-M3)</f>
        <v>4.9999999999999989E-2</v>
      </c>
      <c r="T3" s="26">
        <v>-1.7</v>
      </c>
      <c r="U3" s="12">
        <f t="shared" ref="U3:U18" si="5">1/(5*T3)-TAN(T3)</f>
        <v>-7.81424919828269</v>
      </c>
    </row>
    <row r="4" spans="1:24" x14ac:dyDescent="0.25">
      <c r="A4" s="8">
        <f t="shared" ref="A4:A12" si="6">IF(D3*F3&lt;0,A3,C3)</f>
        <v>2</v>
      </c>
      <c r="B4" s="8">
        <f t="shared" ref="B4:B12" si="7">IF(D3*F3&lt;0,C3,B3)</f>
        <v>2.25</v>
      </c>
      <c r="C4" s="8">
        <f t="shared" ref="C4:C12" si="8">(A4+B4)/2</f>
        <v>2.125</v>
      </c>
      <c r="D4" s="8">
        <f t="shared" ref="D4:D12" si="9">fun_1(A4)</f>
        <v>-1.2000000000000002</v>
      </c>
      <c r="E4" s="8">
        <f t="shared" ref="E4:E12" si="10">fun_1(B4)</f>
        <v>1.6906249999999998</v>
      </c>
      <c r="F4" s="8">
        <f t="shared" ref="F4:F12" si="11">fun_1(C4)</f>
        <v>0.14570312499999982</v>
      </c>
      <c r="G4" s="12">
        <f t="shared" ref="G4:G12" si="12">ABS(A4-B4)</f>
        <v>0.25</v>
      </c>
      <c r="I4" s="8">
        <v>-4</v>
      </c>
      <c r="J4" s="19">
        <f t="shared" si="1"/>
        <v>-61.2</v>
      </c>
      <c r="K4" s="49"/>
      <c r="L4" s="12">
        <f t="shared" ref="L4:L9" si="13">IF(O3*Q3&lt;0,L3,N3)</f>
        <v>0.42500000000000004</v>
      </c>
      <c r="M4" s="8">
        <f t="shared" ref="M4:M9" si="14">IF(O3*Q3&lt;0,N3,M3)</f>
        <v>0.45</v>
      </c>
      <c r="N4" s="8">
        <f t="shared" ref="N4:N9" si="15">(L4+M4)/2</f>
        <v>0.4375</v>
      </c>
      <c r="O4" s="8">
        <f t="shared" si="2"/>
        <v>1.8005082867130373E-2</v>
      </c>
      <c r="P4" s="8">
        <f t="shared" si="3"/>
        <v>-3.8610621172133985E-2</v>
      </c>
      <c r="Q4" s="8">
        <f t="shared" si="4"/>
        <v>-1.0587168309534711E-2</v>
      </c>
      <c r="R4" s="12">
        <f t="shared" ref="R4:R9" si="16">ABS(L4-M4)</f>
        <v>2.4999999999999967E-2</v>
      </c>
      <c r="T4" s="26">
        <v>-1.4</v>
      </c>
      <c r="U4" s="12">
        <f t="shared" si="5"/>
        <v>5.6550265726257436</v>
      </c>
      <c r="W4" s="41"/>
    </row>
    <row r="5" spans="1:24" x14ac:dyDescent="0.25">
      <c r="A5" s="8">
        <f t="shared" si="6"/>
        <v>2</v>
      </c>
      <c r="B5" s="8">
        <f t="shared" si="7"/>
        <v>2.125</v>
      </c>
      <c r="C5" s="8">
        <f t="shared" si="8"/>
        <v>2.0625</v>
      </c>
      <c r="D5" s="8">
        <f t="shared" si="9"/>
        <v>-1.2000000000000002</v>
      </c>
      <c r="E5" s="8">
        <f t="shared" si="10"/>
        <v>0.14570312499999982</v>
      </c>
      <c r="F5" s="8">
        <f t="shared" si="11"/>
        <v>-0.55131835937500018</v>
      </c>
      <c r="G5" s="12">
        <f t="shared" si="12"/>
        <v>0.125</v>
      </c>
      <c r="I5" s="8">
        <v>-3.5</v>
      </c>
      <c r="J5" s="19">
        <f t="shared" si="1"/>
        <v>-41.075000000000003</v>
      </c>
      <c r="K5" s="49"/>
      <c r="L5" s="12">
        <f t="shared" si="13"/>
        <v>0.42500000000000004</v>
      </c>
      <c r="M5" s="8">
        <f t="shared" si="14"/>
        <v>0.4375</v>
      </c>
      <c r="N5" s="8">
        <f t="shared" si="15"/>
        <v>0.43125000000000002</v>
      </c>
      <c r="O5" s="8">
        <f t="shared" si="2"/>
        <v>1.8005082867130373E-2</v>
      </c>
      <c r="P5" s="8">
        <f t="shared" si="3"/>
        <v>-1.0587168309534711E-2</v>
      </c>
      <c r="Q5" s="8">
        <f t="shared" si="4"/>
        <v>3.6333072969412239E-3</v>
      </c>
      <c r="R5" s="12">
        <f t="shared" si="16"/>
        <v>1.2499999999999956E-2</v>
      </c>
      <c r="T5" s="26">
        <v>-1.1000000000000001</v>
      </c>
      <c r="U5" s="12">
        <f t="shared" si="5"/>
        <v>1.7829414754304704</v>
      </c>
    </row>
    <row r="6" spans="1:24" x14ac:dyDescent="0.25">
      <c r="A6" s="8">
        <f t="shared" si="6"/>
        <v>2.0625</v>
      </c>
      <c r="B6" s="8">
        <f t="shared" si="7"/>
        <v>2.125</v>
      </c>
      <c r="C6" s="8">
        <f t="shared" si="8"/>
        <v>2.09375</v>
      </c>
      <c r="D6" s="8">
        <f t="shared" si="9"/>
        <v>-0.55131835937500018</v>
      </c>
      <c r="E6" s="8">
        <f t="shared" si="10"/>
        <v>0.14570312499999982</v>
      </c>
      <c r="F6" s="8">
        <f t="shared" si="11"/>
        <v>-0.20894165039062518</v>
      </c>
      <c r="G6" s="12">
        <f t="shared" si="12"/>
        <v>6.25E-2</v>
      </c>
      <c r="I6" s="8">
        <v>-3</v>
      </c>
      <c r="J6" s="19">
        <f t="shared" si="1"/>
        <v>-26.2</v>
      </c>
      <c r="K6" s="49"/>
      <c r="L6" s="12">
        <f t="shared" si="13"/>
        <v>0.43125000000000002</v>
      </c>
      <c r="M6" s="8">
        <f t="shared" si="14"/>
        <v>0.4375</v>
      </c>
      <c r="N6" s="8">
        <f t="shared" si="15"/>
        <v>0.43437500000000001</v>
      </c>
      <c r="O6" s="8">
        <f t="shared" si="2"/>
        <v>3.6333072969412239E-3</v>
      </c>
      <c r="P6" s="8">
        <f t="shared" si="3"/>
        <v>-1.0587168309534711E-2</v>
      </c>
      <c r="Q6" s="8">
        <f t="shared" si="4"/>
        <v>-3.4952566897545889E-3</v>
      </c>
      <c r="R6" s="12">
        <f t="shared" si="16"/>
        <v>6.2499999999999778E-3</v>
      </c>
      <c r="T6" s="26">
        <v>-0.8</v>
      </c>
      <c r="U6" s="12">
        <f t="shared" si="5"/>
        <v>0.77963855705036411</v>
      </c>
      <c r="W6" s="41"/>
    </row>
    <row r="7" spans="1:24" x14ac:dyDescent="0.25">
      <c r="A7" s="8">
        <f t="shared" si="6"/>
        <v>2.09375</v>
      </c>
      <c r="B7" s="8">
        <f t="shared" si="7"/>
        <v>2.125</v>
      </c>
      <c r="C7" s="8">
        <f t="shared" si="8"/>
        <v>2.109375</v>
      </c>
      <c r="D7" s="8">
        <f t="shared" si="9"/>
        <v>-0.20894165039062518</v>
      </c>
      <c r="E7" s="8">
        <f t="shared" si="10"/>
        <v>0.14570312499999982</v>
      </c>
      <c r="F7" s="8">
        <f t="shared" si="11"/>
        <v>-3.3164215087890803E-2</v>
      </c>
      <c r="G7" s="12">
        <f t="shared" si="12"/>
        <v>3.125E-2</v>
      </c>
      <c r="I7" s="8">
        <v>-2.5</v>
      </c>
      <c r="J7" s="19">
        <f t="shared" si="1"/>
        <v>-15.824999999999999</v>
      </c>
      <c r="K7" s="49"/>
      <c r="L7" s="12">
        <f t="shared" si="13"/>
        <v>0.43125000000000002</v>
      </c>
      <c r="M7" s="8">
        <f t="shared" si="14"/>
        <v>0.43437500000000001</v>
      </c>
      <c r="N7" s="8">
        <f t="shared" si="15"/>
        <v>0.43281250000000004</v>
      </c>
      <c r="O7" s="8">
        <f t="shared" si="2"/>
        <v>3.6333072969412239E-3</v>
      </c>
      <c r="P7" s="8">
        <f t="shared" si="3"/>
        <v>-3.4952566897545889E-3</v>
      </c>
      <c r="Q7" s="8">
        <f t="shared" si="4"/>
        <v>6.4371610893620979E-5</v>
      </c>
      <c r="R7" s="12">
        <f t="shared" si="16"/>
        <v>3.1249999999999889E-3</v>
      </c>
      <c r="T7" s="26">
        <v>-0.5</v>
      </c>
      <c r="U7" s="12">
        <f t="shared" si="5"/>
        <v>0.14630248984379046</v>
      </c>
    </row>
    <row r="8" spans="1:24" x14ac:dyDescent="0.25">
      <c r="A8" s="8">
        <f t="shared" si="6"/>
        <v>2.109375</v>
      </c>
      <c r="B8" s="8">
        <f t="shared" si="7"/>
        <v>2.125</v>
      </c>
      <c r="C8" s="8">
        <f t="shared" si="8"/>
        <v>2.1171875</v>
      </c>
      <c r="D8" s="8">
        <f t="shared" si="9"/>
        <v>-3.3164215087890803E-2</v>
      </c>
      <c r="E8" s="8">
        <f t="shared" si="10"/>
        <v>0.14570312499999982</v>
      </c>
      <c r="F8" s="8">
        <f t="shared" si="11"/>
        <v>5.5881786346435369E-2</v>
      </c>
      <c r="G8" s="12">
        <f t="shared" si="12"/>
        <v>1.5625E-2</v>
      </c>
      <c r="I8" s="8">
        <v>-2</v>
      </c>
      <c r="J8" s="19">
        <f t="shared" si="1"/>
        <v>-9.1999999999999993</v>
      </c>
      <c r="K8" s="49"/>
      <c r="L8" s="12">
        <f t="shared" si="13"/>
        <v>0.43281250000000004</v>
      </c>
      <c r="M8" s="8">
        <f t="shared" si="14"/>
        <v>0.43437500000000001</v>
      </c>
      <c r="N8" s="8">
        <f t="shared" si="15"/>
        <v>0.43359375</v>
      </c>
      <c r="O8" s="8">
        <f t="shared" si="2"/>
        <v>6.4371610893620979E-5</v>
      </c>
      <c r="P8" s="8">
        <f t="shared" si="3"/>
        <v>-3.4952566897545889E-3</v>
      </c>
      <c r="Q8" s="8">
        <f t="shared" si="4"/>
        <v>-1.716596874357823E-3</v>
      </c>
      <c r="R8" s="12">
        <f t="shared" si="16"/>
        <v>1.5624999999999667E-3</v>
      </c>
      <c r="T8" s="26">
        <v>-0.2</v>
      </c>
      <c r="U8" s="12">
        <f t="shared" si="5"/>
        <v>-0.7972899644913275</v>
      </c>
      <c r="W8" s="41"/>
    </row>
    <row r="9" spans="1:24" ht="15.75" thickBot="1" x14ac:dyDescent="0.3">
      <c r="A9" s="8">
        <f t="shared" si="6"/>
        <v>2.109375</v>
      </c>
      <c r="B9" s="8">
        <f t="shared" si="7"/>
        <v>2.1171875</v>
      </c>
      <c r="C9" s="8">
        <f t="shared" si="8"/>
        <v>2.11328125</v>
      </c>
      <c r="D9" s="8">
        <f t="shared" si="9"/>
        <v>-3.3164215087890803E-2</v>
      </c>
      <c r="E9" s="8">
        <f t="shared" si="10"/>
        <v>5.5881786346435369E-2</v>
      </c>
      <c r="F9" s="8">
        <f t="shared" si="11"/>
        <v>1.1262047290801824E-2</v>
      </c>
      <c r="G9" s="12">
        <f t="shared" si="12"/>
        <v>7.8125E-3</v>
      </c>
      <c r="I9" s="8">
        <v>-1.5</v>
      </c>
      <c r="J9" s="19">
        <f t="shared" si="1"/>
        <v>-5.5750000000000002</v>
      </c>
      <c r="K9" s="49"/>
      <c r="L9" s="13">
        <f t="shared" si="13"/>
        <v>0.43281250000000004</v>
      </c>
      <c r="M9" s="9">
        <f t="shared" si="14"/>
        <v>0.43359375</v>
      </c>
      <c r="N9" s="34">
        <f t="shared" si="15"/>
        <v>0.43320312500000002</v>
      </c>
      <c r="O9" s="9">
        <f t="shared" si="2"/>
        <v>6.4371610893620979E-5</v>
      </c>
      <c r="P9" s="9">
        <f t="shared" si="3"/>
        <v>-1.716596874357823E-3</v>
      </c>
      <c r="Q9" s="9">
        <f t="shared" si="4"/>
        <v>-8.2640234708081239E-4</v>
      </c>
      <c r="R9" s="13">
        <f t="shared" si="16"/>
        <v>7.8124999999995559E-4</v>
      </c>
      <c r="T9" s="26">
        <v>0.1</v>
      </c>
      <c r="U9" s="12">
        <f t="shared" si="5"/>
        <v>1.8996653279145495</v>
      </c>
    </row>
    <row r="10" spans="1:24" x14ac:dyDescent="0.25">
      <c r="A10" s="8">
        <f t="shared" si="6"/>
        <v>2.109375</v>
      </c>
      <c r="B10" s="8">
        <f t="shared" si="7"/>
        <v>2.11328125</v>
      </c>
      <c r="C10" s="8">
        <f t="shared" si="8"/>
        <v>2.111328125</v>
      </c>
      <c r="D10" s="8">
        <f t="shared" si="9"/>
        <v>-3.3164215087890803E-2</v>
      </c>
      <c r="E10" s="8">
        <f t="shared" si="10"/>
        <v>1.1262047290801824E-2</v>
      </c>
      <c r="F10" s="8">
        <f t="shared" si="11"/>
        <v>-1.0975246131420313E-2</v>
      </c>
      <c r="G10" s="12">
        <f t="shared" si="12"/>
        <v>3.90625E-3</v>
      </c>
      <c r="I10" s="8">
        <v>-1</v>
      </c>
      <c r="J10" s="19">
        <f t="shared" si="1"/>
        <v>-4.2</v>
      </c>
      <c r="K10" s="50"/>
      <c r="T10" s="26">
        <v>0.4</v>
      </c>
      <c r="U10" s="12">
        <f t="shared" si="5"/>
        <v>7.720678126183822E-2</v>
      </c>
      <c r="W10" s="41"/>
    </row>
    <row r="11" spans="1:24" x14ac:dyDescent="0.25">
      <c r="A11" s="8">
        <f t="shared" si="6"/>
        <v>2.111328125</v>
      </c>
      <c r="B11" s="8">
        <f t="shared" si="7"/>
        <v>2.11328125</v>
      </c>
      <c r="C11" s="8">
        <f t="shared" si="8"/>
        <v>2.1123046875</v>
      </c>
      <c r="D11" s="8">
        <f t="shared" si="9"/>
        <v>-1.0975246131420313E-2</v>
      </c>
      <c r="E11" s="8">
        <f t="shared" si="10"/>
        <v>1.1262047290801824E-2</v>
      </c>
      <c r="F11" s="8">
        <f t="shared" si="11"/>
        <v>1.3735722750407575E-4</v>
      </c>
      <c r="G11" s="12">
        <f t="shared" si="12"/>
        <v>1.953125E-3</v>
      </c>
      <c r="I11" s="8">
        <v>-0.5</v>
      </c>
      <c r="J11" s="19">
        <f t="shared" si="1"/>
        <v>-4.3250000000000002</v>
      </c>
      <c r="K11" s="50"/>
      <c r="T11" s="26">
        <v>0.7</v>
      </c>
      <c r="U11" s="12">
        <f t="shared" si="5"/>
        <v>-0.55657409474879371</v>
      </c>
    </row>
    <row r="12" spans="1:24" ht="15.75" thickBot="1" x14ac:dyDescent="0.3">
      <c r="A12" s="9">
        <f t="shared" si="6"/>
        <v>2.111328125</v>
      </c>
      <c r="B12" s="9">
        <f t="shared" si="7"/>
        <v>2.1123046875</v>
      </c>
      <c r="C12" s="34">
        <f t="shared" si="8"/>
        <v>2.11181640625</v>
      </c>
      <c r="D12" s="9">
        <f t="shared" si="9"/>
        <v>-1.0975246131420313E-2</v>
      </c>
      <c r="E12" s="9">
        <f t="shared" si="10"/>
        <v>1.3735722750407575E-4</v>
      </c>
      <c r="F12" s="9">
        <f t="shared" si="11"/>
        <v>-5.4204549407588232E-3</v>
      </c>
      <c r="G12" s="13">
        <f t="shared" si="12"/>
        <v>9.765625E-4</v>
      </c>
      <c r="I12" s="8">
        <v>0</v>
      </c>
      <c r="J12" s="19">
        <f t="shared" si="1"/>
        <v>-5.2</v>
      </c>
      <c r="K12" s="50"/>
      <c r="T12" s="26">
        <v>1</v>
      </c>
      <c r="U12" s="12">
        <f t="shared" si="5"/>
        <v>-1.3574077246549023</v>
      </c>
      <c r="W12" s="41"/>
    </row>
    <row r="13" spans="1:24" x14ac:dyDescent="0.25">
      <c r="I13" s="8">
        <v>0.5</v>
      </c>
      <c r="J13" s="19">
        <f t="shared" si="1"/>
        <v>-6.0750000000000002</v>
      </c>
      <c r="K13" s="50"/>
      <c r="T13" s="26">
        <v>1.3</v>
      </c>
      <c r="U13" s="12">
        <f t="shared" si="5"/>
        <v>-3.4482562941218249</v>
      </c>
    </row>
    <row r="14" spans="1:24" ht="15.75" x14ac:dyDescent="0.25">
      <c r="C14" s="30"/>
      <c r="I14" s="8">
        <v>1</v>
      </c>
      <c r="J14" s="19">
        <f t="shared" si="1"/>
        <v>-6.2</v>
      </c>
      <c r="K14" s="50"/>
      <c r="T14" s="26">
        <v>1.6</v>
      </c>
      <c r="U14" s="12">
        <f t="shared" si="5"/>
        <v>34.357532735557314</v>
      </c>
      <c r="W14" s="41"/>
    </row>
    <row r="15" spans="1:24" x14ac:dyDescent="0.25">
      <c r="I15" s="8">
        <v>1.5</v>
      </c>
      <c r="J15" s="19">
        <f t="shared" si="1"/>
        <v>-4.8250000000000002</v>
      </c>
      <c r="K15" s="50"/>
      <c r="T15" s="26">
        <v>1.9</v>
      </c>
      <c r="U15" s="12">
        <f t="shared" si="5"/>
        <v>3.0323606725725103</v>
      </c>
    </row>
    <row r="16" spans="1:24" ht="15.75" thickBot="1" x14ac:dyDescent="0.3">
      <c r="I16" s="8">
        <v>2</v>
      </c>
      <c r="J16" s="19">
        <f t="shared" si="1"/>
        <v>-1.2000000000000002</v>
      </c>
      <c r="K16" s="50"/>
      <c r="T16" s="26">
        <v>2.2000000000000002</v>
      </c>
      <c r="U16" s="12">
        <f t="shared" si="5"/>
        <v>1.4647321476778854</v>
      </c>
      <c r="W16" s="41"/>
    </row>
    <row r="17" spans="1:24" ht="15.75" thickBot="1" x14ac:dyDescent="0.3">
      <c r="A17" s="3" t="s">
        <v>12</v>
      </c>
      <c r="B17" s="37">
        <f t="array" ref="B17:B18">dihot_1(A2,B2,G2)</f>
        <v>2.112274169921875</v>
      </c>
      <c r="I17" s="8">
        <v>2.5</v>
      </c>
      <c r="J17" s="19">
        <f t="shared" si="1"/>
        <v>5.4249999999999998</v>
      </c>
      <c r="K17" s="49"/>
      <c r="L17" s="35" t="s">
        <v>12</v>
      </c>
      <c r="M17" s="37">
        <f t="array" ref="M17:M18">dihot_2(L2,M2,R2)</f>
        <v>0.43300781250000003</v>
      </c>
      <c r="T17" s="26">
        <v>2.5</v>
      </c>
      <c r="U17" s="12">
        <f t="shared" si="5"/>
        <v>0.82702229723866028</v>
      </c>
    </row>
    <row r="18" spans="1:24" ht="15.75" thickBot="1" x14ac:dyDescent="0.3">
      <c r="A18" s="22" t="s">
        <v>20</v>
      </c>
      <c r="B18" s="33">
        <v>14</v>
      </c>
      <c r="I18" s="9">
        <v>3</v>
      </c>
      <c r="J18" s="21">
        <f t="shared" si="1"/>
        <v>15.8</v>
      </c>
      <c r="K18" s="49"/>
      <c r="L18" s="36" t="s">
        <v>20</v>
      </c>
      <c r="M18" s="33">
        <v>8</v>
      </c>
      <c r="T18" s="27">
        <v>2.8</v>
      </c>
      <c r="U18" s="13">
        <f t="shared" si="5"/>
        <v>0.42695840307974753</v>
      </c>
      <c r="W18" s="41"/>
    </row>
    <row r="19" spans="1:24" x14ac:dyDescent="0.25">
      <c r="J19" s="20"/>
      <c r="K19" s="51"/>
    </row>
    <row r="20" spans="1:24" x14ac:dyDescent="0.25">
      <c r="J20" s="19"/>
      <c r="K20" s="51"/>
      <c r="W20" s="41"/>
    </row>
    <row r="21" spans="1:24" x14ac:dyDescent="0.25">
      <c r="J21" s="19"/>
      <c r="K21" s="51"/>
    </row>
    <row r="22" spans="1:24" x14ac:dyDescent="0.25">
      <c r="J22" s="19"/>
      <c r="K22" s="51"/>
      <c r="W22" s="41"/>
    </row>
    <row r="23" spans="1:24" x14ac:dyDescent="0.25">
      <c r="J23" s="19"/>
      <c r="K23" s="51"/>
    </row>
    <row r="24" spans="1:24" s="40" customFormat="1" x14ac:dyDescent="0.25">
      <c r="W24" s="41"/>
      <c r="X24"/>
    </row>
    <row r="26" spans="1:24" x14ac:dyDescent="0.25">
      <c r="W26" s="41"/>
    </row>
    <row r="27" spans="1:24" x14ac:dyDescent="0.25">
      <c r="K27" s="40"/>
      <c r="L27" s="19"/>
    </row>
    <row r="28" spans="1:24" x14ac:dyDescent="0.25">
      <c r="W28" s="41"/>
    </row>
    <row r="30" spans="1:24" x14ac:dyDescent="0.25">
      <c r="W30" s="41"/>
    </row>
    <row r="32" spans="1:24" x14ac:dyDescent="0.25">
      <c r="W32" s="41"/>
    </row>
    <row r="34" spans="23:23" x14ac:dyDescent="0.25">
      <c r="W34" s="41"/>
    </row>
    <row r="36" spans="23:23" x14ac:dyDescent="0.25">
      <c r="W36" s="41"/>
    </row>
    <row r="38" spans="23:23" x14ac:dyDescent="0.25">
      <c r="W38" s="41"/>
    </row>
    <row r="40" spans="23:23" x14ac:dyDescent="0.25">
      <c r="W40" s="41"/>
    </row>
    <row r="42" spans="23:23" x14ac:dyDescent="0.25">
      <c r="W42" s="41"/>
    </row>
    <row r="44" spans="23:23" x14ac:dyDescent="0.25">
      <c r="W44" s="41"/>
    </row>
    <row r="46" spans="23:23" x14ac:dyDescent="0.25">
      <c r="W46" s="41"/>
    </row>
    <row r="48" spans="23:23" x14ac:dyDescent="0.25">
      <c r="W48" s="41"/>
    </row>
    <row r="50" spans="23:23" x14ac:dyDescent="0.25">
      <c r="W50" s="41"/>
    </row>
    <row r="52" spans="23:23" x14ac:dyDescent="0.25">
      <c r="W52" s="41"/>
    </row>
    <row r="54" spans="23:23" x14ac:dyDescent="0.25">
      <c r="W54" s="41"/>
    </row>
    <row r="56" spans="23:23" x14ac:dyDescent="0.25">
      <c r="W56" s="41"/>
    </row>
    <row r="58" spans="23:23" x14ac:dyDescent="0.25">
      <c r="W58" s="41"/>
    </row>
    <row r="60" spans="23:23" x14ac:dyDescent="0.25">
      <c r="W60" s="41"/>
    </row>
    <row r="62" spans="23:23" x14ac:dyDescent="0.25">
      <c r="W62" s="41"/>
    </row>
    <row r="64" spans="23:23" x14ac:dyDescent="0.25">
      <c r="W64" s="41"/>
    </row>
    <row r="66" spans="23:23" x14ac:dyDescent="0.25">
      <c r="W66" s="41"/>
    </row>
    <row r="68" spans="23:23" x14ac:dyDescent="0.25">
      <c r="W68" s="41"/>
    </row>
    <row r="70" spans="23:23" x14ac:dyDescent="0.25">
      <c r="W70" s="41"/>
    </row>
    <row r="72" spans="23:23" x14ac:dyDescent="0.25">
      <c r="W72" s="41"/>
    </row>
    <row r="74" spans="23:23" x14ac:dyDescent="0.25">
      <c r="W74" s="41"/>
    </row>
    <row r="76" spans="23:23" x14ac:dyDescent="0.25">
      <c r="W76" s="41"/>
    </row>
    <row r="78" spans="23:23" x14ac:dyDescent="0.25">
      <c r="W78" s="41"/>
    </row>
    <row r="80" spans="23:23" x14ac:dyDescent="0.25">
      <c r="W80" s="41"/>
    </row>
    <row r="82" spans="23:23" x14ac:dyDescent="0.25">
      <c r="W82" s="41"/>
    </row>
    <row r="84" spans="23:23" x14ac:dyDescent="0.25">
      <c r="W84" s="41"/>
    </row>
    <row r="86" spans="23:23" x14ac:dyDescent="0.25">
      <c r="W86" s="41"/>
    </row>
    <row r="88" spans="23:23" x14ac:dyDescent="0.25">
      <c r="W88" s="41"/>
    </row>
    <row r="90" spans="23:23" x14ac:dyDescent="0.25">
      <c r="W90" s="41"/>
    </row>
    <row r="92" spans="23:23" x14ac:dyDescent="0.25">
      <c r="W92" s="41"/>
    </row>
    <row r="94" spans="23:23" x14ac:dyDescent="0.25">
      <c r="W94" s="41"/>
    </row>
    <row r="96" spans="23:23" x14ac:dyDescent="0.25">
      <c r="W96" s="41"/>
    </row>
    <row r="98" spans="1:23" x14ac:dyDescent="0.25">
      <c r="W98" s="41"/>
    </row>
    <row r="100" spans="1:23" x14ac:dyDescent="0.25">
      <c r="W100" s="41"/>
    </row>
    <row r="101" spans="1:23" x14ac:dyDescent="0.25">
      <c r="A101">
        <v>-3</v>
      </c>
      <c r="B101">
        <v>0</v>
      </c>
    </row>
    <row r="102" spans="1:23" x14ac:dyDescent="0.25">
      <c r="A102">
        <v>-2</v>
      </c>
      <c r="B102">
        <v>2</v>
      </c>
      <c r="W102" s="41"/>
    </row>
    <row r="103" spans="1:23" x14ac:dyDescent="0.25">
      <c r="A103">
        <v>-1</v>
      </c>
      <c r="B103">
        <v>-1</v>
      </c>
    </row>
    <row r="104" spans="1:23" x14ac:dyDescent="0.25">
      <c r="A104">
        <v>0</v>
      </c>
      <c r="B104">
        <v>-4</v>
      </c>
      <c r="W104" s="41"/>
    </row>
    <row r="105" spans="1:23" x14ac:dyDescent="0.25">
      <c r="A105">
        <v>1</v>
      </c>
      <c r="B105">
        <v>3</v>
      </c>
    </row>
    <row r="106" spans="1:23" x14ac:dyDescent="0.25">
      <c r="A106">
        <v>2</v>
      </c>
      <c r="B106">
        <v>7</v>
      </c>
      <c r="W106" s="41"/>
    </row>
    <row r="108" spans="1:23" x14ac:dyDescent="0.25">
      <c r="W108" s="41"/>
    </row>
    <row r="110" spans="1:23" x14ac:dyDescent="0.25">
      <c r="W110" s="41"/>
    </row>
    <row r="112" spans="1:23" x14ac:dyDescent="0.25">
      <c r="W112" s="41"/>
    </row>
    <row r="114" spans="23:23" x14ac:dyDescent="0.25">
      <c r="W114" s="41"/>
    </row>
    <row r="116" spans="23:23" x14ac:dyDescent="0.25">
      <c r="W116" s="41"/>
    </row>
    <row r="118" spans="23:23" x14ac:dyDescent="0.25">
      <c r="W118" s="41"/>
    </row>
    <row r="120" spans="23:23" x14ac:dyDescent="0.25">
      <c r="W120" s="41"/>
    </row>
    <row r="122" spans="23:23" x14ac:dyDescent="0.25">
      <c r="W122" s="41"/>
    </row>
    <row r="124" spans="23:23" x14ac:dyDescent="0.25">
      <c r="W124" s="41"/>
    </row>
    <row r="126" spans="23:23" x14ac:dyDescent="0.25">
      <c r="W126" s="41"/>
    </row>
    <row r="128" spans="23:23" x14ac:dyDescent="0.25">
      <c r="W128" s="41"/>
    </row>
    <row r="130" spans="23:23" x14ac:dyDescent="0.25">
      <c r="W130" s="41"/>
    </row>
    <row r="132" spans="23:23" x14ac:dyDescent="0.25">
      <c r="W132" s="41"/>
    </row>
    <row r="134" spans="23:23" x14ac:dyDescent="0.25">
      <c r="W134" s="41"/>
    </row>
    <row r="136" spans="23:23" x14ac:dyDescent="0.25">
      <c r="W136" s="41"/>
    </row>
    <row r="138" spans="23:23" x14ac:dyDescent="0.25">
      <c r="W138" s="41"/>
    </row>
    <row r="140" spans="23:23" x14ac:dyDescent="0.25">
      <c r="W140" s="41"/>
    </row>
    <row r="142" spans="23:23" x14ac:dyDescent="0.25">
      <c r="W142" s="41"/>
    </row>
    <row r="144" spans="23:23" x14ac:dyDescent="0.25">
      <c r="W144" s="41"/>
    </row>
    <row r="146" spans="23:23" x14ac:dyDescent="0.25">
      <c r="W146" s="41"/>
    </row>
    <row r="148" spans="23:23" x14ac:dyDescent="0.25">
      <c r="W148" s="41"/>
    </row>
    <row r="150" spans="23:23" x14ac:dyDescent="0.25">
      <c r="W150" s="41"/>
    </row>
    <row r="152" spans="23:23" x14ac:dyDescent="0.25">
      <c r="W152" s="41"/>
    </row>
    <row r="154" spans="23:23" x14ac:dyDescent="0.25">
      <c r="W154" s="41"/>
    </row>
    <row r="156" spans="23:23" x14ac:dyDescent="0.25">
      <c r="W156" s="41"/>
    </row>
    <row r="158" spans="23:23" x14ac:dyDescent="0.25">
      <c r="W158" s="41"/>
    </row>
    <row r="160" spans="23:23" x14ac:dyDescent="0.25">
      <c r="W160" s="41"/>
    </row>
    <row r="162" spans="23:23" x14ac:dyDescent="0.25">
      <c r="W162" s="41"/>
    </row>
    <row r="164" spans="23:23" x14ac:dyDescent="0.25">
      <c r="W164" s="41"/>
    </row>
    <row r="166" spans="23:23" x14ac:dyDescent="0.25">
      <c r="W166" s="41"/>
    </row>
    <row r="168" spans="23:23" x14ac:dyDescent="0.25">
      <c r="W168" s="41"/>
    </row>
    <row r="170" spans="23:23" x14ac:dyDescent="0.25">
      <c r="W170" s="41"/>
    </row>
    <row r="172" spans="23:23" x14ac:dyDescent="0.25">
      <c r="W172" s="41"/>
    </row>
    <row r="174" spans="23:23" x14ac:dyDescent="0.25">
      <c r="W174" s="41"/>
    </row>
    <row r="176" spans="23:23" x14ac:dyDescent="0.25">
      <c r="W176" s="41"/>
    </row>
    <row r="178" spans="23:23" x14ac:dyDescent="0.25">
      <c r="W178" s="41"/>
    </row>
    <row r="180" spans="23:23" x14ac:dyDescent="0.25">
      <c r="W180" s="41"/>
    </row>
    <row r="182" spans="23:23" x14ac:dyDescent="0.25">
      <c r="W182" s="41"/>
    </row>
    <row r="184" spans="23:23" x14ac:dyDescent="0.25">
      <c r="W184" s="41"/>
    </row>
    <row r="186" spans="23:23" x14ac:dyDescent="0.25">
      <c r="W186" s="41"/>
    </row>
    <row r="188" spans="23:23" x14ac:dyDescent="0.25">
      <c r="W188" s="41"/>
    </row>
    <row r="190" spans="23:23" x14ac:dyDescent="0.25">
      <c r="W190" s="41"/>
    </row>
    <row r="192" spans="23:23" x14ac:dyDescent="0.25">
      <c r="W192" s="41"/>
    </row>
    <row r="194" spans="23:23" x14ac:dyDescent="0.25">
      <c r="W194" s="41"/>
    </row>
    <row r="196" spans="23:23" x14ac:dyDescent="0.25">
      <c r="W196" s="41"/>
    </row>
    <row r="198" spans="23:23" x14ac:dyDescent="0.25">
      <c r="W198" s="41"/>
    </row>
    <row r="200" spans="23:23" x14ac:dyDescent="0.25">
      <c r="W200" s="41"/>
    </row>
    <row r="202" spans="23:23" x14ac:dyDescent="0.25">
      <c r="W202" s="41"/>
    </row>
    <row r="204" spans="23:23" x14ac:dyDescent="0.25">
      <c r="W204" s="41"/>
    </row>
    <row r="206" spans="23:23" x14ac:dyDescent="0.25">
      <c r="W206" s="41"/>
    </row>
    <row r="208" spans="23:23" x14ac:dyDescent="0.25">
      <c r="W208" s="41"/>
    </row>
    <row r="210" spans="23:23" x14ac:dyDescent="0.25">
      <c r="W210" s="41"/>
    </row>
    <row r="212" spans="23:23" x14ac:dyDescent="0.25">
      <c r="W212" s="41"/>
    </row>
    <row r="214" spans="23:23" x14ac:dyDescent="0.25">
      <c r="W214" s="41"/>
    </row>
    <row r="216" spans="23:23" x14ac:dyDescent="0.25">
      <c r="W216" s="41"/>
    </row>
    <row r="218" spans="23:23" x14ac:dyDescent="0.25">
      <c r="W218" s="41"/>
    </row>
    <row r="220" spans="23:23" x14ac:dyDescent="0.25">
      <c r="W220" s="41"/>
    </row>
    <row r="222" spans="23:23" x14ac:dyDescent="0.25">
      <c r="W222" s="41"/>
    </row>
    <row r="224" spans="23:23" x14ac:dyDescent="0.25">
      <c r="W224" s="41"/>
    </row>
    <row r="226" spans="23:23" x14ac:dyDescent="0.25">
      <c r="W226" s="41"/>
    </row>
    <row r="228" spans="23:23" x14ac:dyDescent="0.25">
      <c r="W228" s="41"/>
    </row>
    <row r="230" spans="23:23" x14ac:dyDescent="0.25">
      <c r="W230" s="41"/>
    </row>
    <row r="232" spans="23:23" x14ac:dyDescent="0.25">
      <c r="W232" s="41"/>
    </row>
    <row r="234" spans="23:23" x14ac:dyDescent="0.25">
      <c r="W234" s="41"/>
    </row>
    <row r="236" spans="23:23" x14ac:dyDescent="0.25">
      <c r="W236" s="41"/>
    </row>
    <row r="238" spans="23:23" x14ac:dyDescent="0.25">
      <c r="W238" s="41"/>
    </row>
    <row r="240" spans="23:23" x14ac:dyDescent="0.25">
      <c r="W240" s="41"/>
    </row>
    <row r="242" spans="23:23" x14ac:dyDescent="0.25">
      <c r="W242" s="41"/>
    </row>
    <row r="244" spans="23:23" x14ac:dyDescent="0.25">
      <c r="W244" s="41"/>
    </row>
    <row r="246" spans="23:23" x14ac:dyDescent="0.25">
      <c r="W246" s="41"/>
    </row>
    <row r="248" spans="23:23" x14ac:dyDescent="0.25">
      <c r="W248" s="41"/>
    </row>
    <row r="250" spans="23:23" x14ac:dyDescent="0.25">
      <c r="W250" s="41"/>
    </row>
    <row r="252" spans="23:23" x14ac:dyDescent="0.25">
      <c r="W252" s="41"/>
    </row>
    <row r="254" spans="23:23" x14ac:dyDescent="0.25">
      <c r="W254" s="41"/>
    </row>
    <row r="256" spans="23:23" x14ac:dyDescent="0.25">
      <c r="W256" s="41"/>
    </row>
    <row r="258" spans="23:23" x14ac:dyDescent="0.25">
      <c r="W258" s="41"/>
    </row>
    <row r="260" spans="23:23" x14ac:dyDescent="0.25">
      <c r="W260" s="41"/>
    </row>
    <row r="262" spans="23:23" x14ac:dyDescent="0.25">
      <c r="W262" s="41"/>
    </row>
    <row r="264" spans="23:23" x14ac:dyDescent="0.25">
      <c r="W264" s="4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10</xdr:col>
                <xdr:colOff>19050</xdr:colOff>
                <xdr:row>11</xdr:row>
                <xdr:rowOff>0</xdr:rowOff>
              </from>
              <to>
                <xdr:col>13</xdr:col>
                <xdr:colOff>57150</xdr:colOff>
                <xdr:row>15</xdr:row>
                <xdr:rowOff>171450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21"/>
  <sheetViews>
    <sheetView workbookViewId="0">
      <selection activeCell="H14" sqref="H14"/>
    </sheetView>
  </sheetViews>
  <sheetFormatPr defaultRowHeight="15" x14ac:dyDescent="0.25"/>
  <sheetData>
    <row r="1" spans="1:15" ht="15.75" thickBot="1" x14ac:dyDescent="0.3">
      <c r="A1" s="28" t="s">
        <v>13</v>
      </c>
      <c r="B1" s="33">
        <f>'Метод Дихотомии'!A2</f>
        <v>1.5</v>
      </c>
      <c r="C1" s="28" t="s">
        <v>14</v>
      </c>
      <c r="D1" s="33">
        <f>'Метод Дихотомии'!B2</f>
        <v>2.5</v>
      </c>
      <c r="E1" s="28" t="s">
        <v>19</v>
      </c>
      <c r="F1" s="33">
        <f>'Метод Дихотомии'!G2</f>
        <v>1E-3</v>
      </c>
      <c r="H1" s="19"/>
      <c r="I1" s="39"/>
      <c r="J1" s="32" t="s">
        <v>13</v>
      </c>
      <c r="K1" s="33">
        <f>'Метод Дихотомии'!L2</f>
        <v>0.4</v>
      </c>
      <c r="L1" s="28" t="s">
        <v>14</v>
      </c>
      <c r="M1" s="33">
        <f>'Метод Дихотомии'!M2</f>
        <v>0.5</v>
      </c>
      <c r="N1" s="28" t="s">
        <v>19</v>
      </c>
      <c r="O1" s="33">
        <f>'Метод Дихотомии'!R2</f>
        <v>1E-3</v>
      </c>
    </row>
    <row r="2" spans="1:15" ht="15.75" thickBot="1" x14ac:dyDescent="0.3">
      <c r="H2" s="19"/>
      <c r="I2" s="40"/>
    </row>
    <row r="3" spans="1:15" x14ac:dyDescent="0.25">
      <c r="A3" s="29">
        <f>D1</f>
        <v>2.5</v>
      </c>
      <c r="B3" s="39"/>
      <c r="H3" s="19"/>
      <c r="I3" s="43"/>
      <c r="J3" s="45">
        <f>M1</f>
        <v>0.5</v>
      </c>
      <c r="K3" s="39"/>
    </row>
    <row r="4" spans="1:15" ht="15.75" thickBot="1" x14ac:dyDescent="0.3">
      <c r="A4" s="26">
        <f>A3-fun_1(A3)/fun_1p(A3)</f>
        <v>2.1761194029850746</v>
      </c>
      <c r="B4" s="12">
        <f>ABS(A4-A3)</f>
        <v>0.32388059701492544</v>
      </c>
      <c r="H4" s="19"/>
      <c r="I4" s="43"/>
      <c r="J4" s="40">
        <f>J3-fun_2(J3)/fun_2p(J3)</f>
        <v>0.43028056893993372</v>
      </c>
      <c r="K4" s="43">
        <f>ABS(J4-J3)</f>
        <v>6.9719431060066284E-2</v>
      </c>
    </row>
    <row r="5" spans="1:15" ht="15.75" thickBot="1" x14ac:dyDescent="0.3">
      <c r="A5" s="26">
        <f>A4-fun_1(A4)/fun_1p(A4)</f>
        <v>2.1144501302555652</v>
      </c>
      <c r="B5" s="12">
        <f t="shared" ref="B5:B6" si="0">ABS(A5-A4)</f>
        <v>6.1669272729509395E-2</v>
      </c>
      <c r="D5" s="3" t="s">
        <v>12</v>
      </c>
      <c r="E5" s="37" t="e">
        <f t="array" ref="E5:E6">casat_1(D1,F1)</f>
        <v>#VALUE!</v>
      </c>
      <c r="H5" s="19"/>
      <c r="I5" s="43"/>
      <c r="J5" s="40">
        <f>J4-fun_2(J4)/fun_2p(J4)</f>
        <v>0.43283517403180483</v>
      </c>
      <c r="K5" s="43">
        <f t="shared" ref="K5:K6" si="1">ABS(J5-J4)</f>
        <v>2.5546050918711094E-3</v>
      </c>
      <c r="M5" s="3" t="s">
        <v>12</v>
      </c>
      <c r="N5" s="37" t="e">
        <f t="array" ref="N5:N6">casat_2(M1,O1)</f>
        <v>#VALUE!</v>
      </c>
    </row>
    <row r="6" spans="1:15" ht="15.75" thickBot="1" x14ac:dyDescent="0.3">
      <c r="A6" s="26">
        <f>A5-fun_1(A5)/fun_1p(A5)</f>
        <v>2.1122952095361938</v>
      </c>
      <c r="B6" s="12">
        <f t="shared" si="0"/>
        <v>2.1549207193714004E-3</v>
      </c>
      <c r="D6" s="22" t="s">
        <v>20</v>
      </c>
      <c r="E6" s="33" t="e">
        <v>#VALUE!</v>
      </c>
      <c r="H6" s="19"/>
      <c r="I6" s="43"/>
      <c r="J6" s="46">
        <f>J5-fun_2(J5)/fun_2p(J5)</f>
        <v>0.43284071987912387</v>
      </c>
      <c r="K6" s="44">
        <f t="shared" si="1"/>
        <v>5.5458473190439506E-6</v>
      </c>
      <c r="M6" s="22" t="s">
        <v>20</v>
      </c>
      <c r="N6" s="33" t="e">
        <v>#VALUE!</v>
      </c>
    </row>
    <row r="7" spans="1:15" ht="15.75" thickBot="1" x14ac:dyDescent="0.3">
      <c r="A7" s="38">
        <f>A6-fun_1(A6)/fun_1p(A6)</f>
        <v>2.1122926231911401</v>
      </c>
      <c r="B7" s="13">
        <f>ABS(A7-A6)</f>
        <v>2.5863450536789401E-6</v>
      </c>
      <c r="H7" s="19"/>
      <c r="I7" s="40"/>
      <c r="J7" s="19"/>
      <c r="K7" s="19"/>
    </row>
    <row r="8" spans="1:15" x14ac:dyDescent="0.25">
      <c r="A8" s="41"/>
      <c r="B8" s="19"/>
      <c r="H8" s="19"/>
      <c r="I8" s="40"/>
      <c r="J8" s="42"/>
      <c r="K8" s="19"/>
    </row>
    <row r="9" spans="1:15" x14ac:dyDescent="0.25">
      <c r="H9" s="19"/>
      <c r="I9" s="40"/>
    </row>
    <row r="10" spans="1:15" x14ac:dyDescent="0.25">
      <c r="H10" s="19"/>
      <c r="I10" s="40"/>
    </row>
    <row r="11" spans="1:15" x14ac:dyDescent="0.25">
      <c r="H11" s="19"/>
      <c r="I11" s="40"/>
    </row>
    <row r="12" spans="1:15" x14ac:dyDescent="0.25">
      <c r="H12" s="19"/>
      <c r="I12" s="40"/>
    </row>
    <row r="13" spans="1:15" s="40" customFormat="1" x14ac:dyDescent="0.25"/>
    <row r="14" spans="1:15" s="40" customFormat="1" x14ac:dyDescent="0.25"/>
    <row r="21" spans="8:8" x14ac:dyDescent="0.25">
      <c r="H21" s="19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O9"/>
  <sheetViews>
    <sheetView workbookViewId="0">
      <selection activeCell="J10" sqref="J10"/>
    </sheetView>
  </sheetViews>
  <sheetFormatPr defaultRowHeight="15" x14ac:dyDescent="0.25"/>
  <sheetData>
    <row r="1" spans="1:15" ht="15.75" thickBot="1" x14ac:dyDescent="0.3">
      <c r="A1" s="28" t="s">
        <v>13</v>
      </c>
      <c r="B1" s="33">
        <f>'Метод Дихотомии'!A2</f>
        <v>1.5</v>
      </c>
      <c r="C1" s="28" t="s">
        <v>14</v>
      </c>
      <c r="D1" s="33">
        <f>'Метод Дихотомии'!B2</f>
        <v>2.5</v>
      </c>
      <c r="E1" s="28" t="s">
        <v>19</v>
      </c>
      <c r="F1" s="33">
        <f>'Метод Дихотомии'!G2</f>
        <v>1E-3</v>
      </c>
      <c r="J1" s="28" t="s">
        <v>13</v>
      </c>
      <c r="K1" s="33">
        <f>'Метод Дихотомии'!L2</f>
        <v>0.4</v>
      </c>
      <c r="L1" s="28" t="s">
        <v>14</v>
      </c>
      <c r="M1" s="33">
        <f>'Метод Дихотомии'!M2</f>
        <v>0.5</v>
      </c>
      <c r="N1" s="28" t="s">
        <v>19</v>
      </c>
      <c r="O1" s="33">
        <f>'Метод Дихотомии'!R2</f>
        <v>1E-3</v>
      </c>
    </row>
    <row r="2" spans="1:15" ht="15.75" thickBot="1" x14ac:dyDescent="0.3"/>
    <row r="3" spans="1:15" x14ac:dyDescent="0.25">
      <c r="A3" s="29">
        <f>B1</f>
        <v>1.5</v>
      </c>
      <c r="B3" s="11"/>
      <c r="J3" s="29">
        <f>IF(fun_2pp(K1)*fun_2(K1)&gt;0,K1,M1)</f>
        <v>0.4</v>
      </c>
      <c r="K3" s="11"/>
    </row>
    <row r="4" spans="1:15" ht="15.75" thickBot="1" x14ac:dyDescent="0.3">
      <c r="A4" s="26">
        <f>A3-fun_1(A3)*((A3-$D$1)/(fun_1(A3)-fun_1($D$1)))</f>
        <v>1.9707317073170731</v>
      </c>
      <c r="B4" s="12">
        <f>ABS(A3-A4)</f>
        <v>0.47073170731707314</v>
      </c>
      <c r="J4" s="26">
        <f>J3-fun_2(J3)*((J3-$M$1)/(fun_2(J3)-fun_2($M$1)))</f>
        <v>0.43454298825275617</v>
      </c>
      <c r="K4" s="12">
        <f>ABS(J3-J4)</f>
        <v>3.4542988252756146E-2</v>
      </c>
    </row>
    <row r="5" spans="1:15" ht="15.75" thickBot="1" x14ac:dyDescent="0.3">
      <c r="A5" s="26">
        <f>A4-fun_1(A4)*((A4-$D$1)/(fun_1(A4)-fun_1($D$1)))</f>
        <v>2.0846289824271493</v>
      </c>
      <c r="B5" s="12">
        <f t="shared" ref="B5:B6" si="0">ABS(A4-A5)</f>
        <v>0.11389727511007619</v>
      </c>
      <c r="D5" s="3" t="s">
        <v>12</v>
      </c>
      <c r="E5" s="37">
        <f t="array" ref="E5:E6">chord_1(B1,D1,F1)</f>
        <v>2.1122589007226438</v>
      </c>
      <c r="J5" s="26">
        <f>J4-fun_2(J4)*((J4-$M$1)/(fun_2(J4)-fun_2($M$1)))</f>
        <v>0.43276097148029824</v>
      </c>
      <c r="K5" s="12">
        <f t="shared" ref="K5:K6" si="1">ABS(J4-J5)</f>
        <v>1.7820167724579283E-3</v>
      </c>
      <c r="M5" s="3" t="s">
        <v>12</v>
      </c>
      <c r="N5" s="37">
        <f t="array" ref="N5:N6">chord_2(K1,M1,O1)</f>
        <v>0.43284447594019249</v>
      </c>
    </row>
    <row r="6" spans="1:15" ht="15.75" thickBot="1" x14ac:dyDescent="0.3">
      <c r="A6" s="26">
        <f>A5-fun_1(A5)*((A5-$D$1)/(fun_1(A5)-fun_1($D$1)))</f>
        <v>2.1070904906468257</v>
      </c>
      <c r="B6" s="12">
        <f t="shared" si="0"/>
        <v>2.2461508219676407E-2</v>
      </c>
      <c r="D6" s="22" t="s">
        <v>20</v>
      </c>
      <c r="E6" s="33">
        <v>6</v>
      </c>
      <c r="J6" s="38">
        <f>J5-fun_2(J5)*((J5-$M$1)/(fun_2(J5)-fun_2($M$1)))</f>
        <v>0.43284447594019249</v>
      </c>
      <c r="K6" s="13">
        <f t="shared" si="1"/>
        <v>8.3504459894245819E-5</v>
      </c>
      <c r="M6" s="22" t="s">
        <v>20</v>
      </c>
      <c r="N6" s="33">
        <v>3</v>
      </c>
    </row>
    <row r="7" spans="1:15" x14ac:dyDescent="0.25">
      <c r="A7" s="26">
        <f>A6-fun_1(A6)*((A6-$D$1)/(fun_1(A6)-fun_1($D$1)))</f>
        <v>2.111321653919163</v>
      </c>
      <c r="B7" s="12">
        <f>ABS(A6-A7)</f>
        <v>4.2311632723373016E-3</v>
      </c>
      <c r="J7" s="19"/>
      <c r="K7" s="19"/>
    </row>
    <row r="8" spans="1:15" ht="15.75" thickBot="1" x14ac:dyDescent="0.3">
      <c r="A8" s="38">
        <f>A7-fun_1(A7)*((A7-$D$1)/(fun_1(A7)-fun_1($D$1)))</f>
        <v>2.1121116478748703</v>
      </c>
      <c r="B8" s="13">
        <f>ABS(A7-A8)</f>
        <v>7.8999395570722442E-4</v>
      </c>
      <c r="J8" s="19"/>
      <c r="K8" s="19"/>
    </row>
    <row r="9" spans="1:15" x14ac:dyDescent="0.25">
      <c r="J9" s="41"/>
      <c r="K9" s="19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3"/>
  <sheetViews>
    <sheetView workbookViewId="0">
      <selection activeCell="F14" sqref="F14"/>
    </sheetView>
  </sheetViews>
  <sheetFormatPr defaultRowHeight="15" x14ac:dyDescent="0.25"/>
  <sheetData>
    <row r="1" spans="1:19" ht="15.75" thickBot="1" x14ac:dyDescent="0.3">
      <c r="A1" s="28" t="s">
        <v>24</v>
      </c>
      <c r="B1" s="33">
        <f>IF(fun_1pp('Метод Дихотомии'!A2)*fun_1('Метод Дихотомии'!A2)&gt;0,'Метод Дихотомии'!A2,'Метод Дихотомии'!B2)</f>
        <v>2.5</v>
      </c>
      <c r="C1" s="28" t="s">
        <v>23</v>
      </c>
      <c r="D1" s="33">
        <f>IF(B1='Метод Дихотомии'!A2,'Метод Дихотомии'!B2,'Метод Дихотомии'!A2)</f>
        <v>1.5</v>
      </c>
      <c r="E1" s="28" t="s">
        <v>25</v>
      </c>
      <c r="F1" s="33">
        <f>(D1+B1)/2</f>
        <v>2</v>
      </c>
      <c r="G1" s="28" t="s">
        <v>19</v>
      </c>
      <c r="H1" s="33">
        <v>1E-3</v>
      </c>
      <c r="J1" s="54"/>
      <c r="K1" s="28" t="s">
        <v>24</v>
      </c>
      <c r="L1" s="33">
        <f>IF(fun_2pp('Метод Дихотомии'!L2)*fun_2('Метод Дихотомии'!L2)&gt;0,'Метод Дихотомии'!L2,'Метод Дихотомии'!M2)</f>
        <v>0.4</v>
      </c>
      <c r="M1" s="28" t="s">
        <v>23</v>
      </c>
      <c r="N1" s="33">
        <f>IF(L1='Метод Дихотомии'!L2,'Метод Дихотомии'!M2,'Метод Дихотомии'!L2)</f>
        <v>0.5</v>
      </c>
      <c r="O1" s="28" t="s">
        <v>25</v>
      </c>
      <c r="P1" s="33">
        <f>(N1+L1)/2</f>
        <v>0.45</v>
      </c>
      <c r="Q1" s="28" t="s">
        <v>19</v>
      </c>
      <c r="R1" s="33">
        <v>1E-3</v>
      </c>
    </row>
    <row r="2" spans="1:19" ht="15.75" thickBot="1" x14ac:dyDescent="0.3">
      <c r="J2" s="54"/>
    </row>
    <row r="3" spans="1:19" x14ac:dyDescent="0.25">
      <c r="A3" s="124">
        <f>B1</f>
        <v>2.5</v>
      </c>
      <c r="B3" s="119"/>
      <c r="C3" s="119">
        <f>D1</f>
        <v>1.5</v>
      </c>
      <c r="D3" s="119"/>
      <c r="E3" s="119">
        <f>(C3+A3)/2</f>
        <v>2</v>
      </c>
      <c r="F3" s="119"/>
      <c r="G3" s="119">
        <f>ABS(C3-A3)</f>
        <v>1</v>
      </c>
      <c r="H3" s="120"/>
      <c r="J3" s="54"/>
      <c r="K3" s="124">
        <f>L1</f>
        <v>0.4</v>
      </c>
      <c r="L3" s="119"/>
      <c r="M3" s="119">
        <f>N1</f>
        <v>0.5</v>
      </c>
      <c r="N3" s="119"/>
      <c r="O3" s="119">
        <f>(M3+K3)/2</f>
        <v>0.45</v>
      </c>
      <c r="P3" s="119"/>
      <c r="Q3" s="119">
        <f>ABS(M3-K3)</f>
        <v>9.9999999999999978E-2</v>
      </c>
      <c r="R3" s="120"/>
    </row>
    <row r="4" spans="1:19" x14ac:dyDescent="0.25">
      <c r="A4" s="123">
        <f>A3-fun_1(A3)/fun_1p(A3)</f>
        <v>2.1761194029850746</v>
      </c>
      <c r="B4" s="121"/>
      <c r="C4" s="121">
        <f>C3-fun_1(C3)*((C3)-$A$3)/(fun_1(C3)-fun_1($A$3))</f>
        <v>1.9707317073170731</v>
      </c>
      <c r="D4" s="121"/>
      <c r="E4" s="121">
        <f>(C4+A4)/2</f>
        <v>2.0734255551510739</v>
      </c>
      <c r="F4" s="121"/>
      <c r="G4" s="121">
        <f>ABS(C4-A4)</f>
        <v>0.20538769566800141</v>
      </c>
      <c r="H4" s="122"/>
      <c r="J4" s="54"/>
      <c r="K4" s="123">
        <f>K3-fun_2(K3)/fun_2p(K3)</f>
        <v>0.4317886364359057</v>
      </c>
      <c r="L4" s="121"/>
      <c r="M4" s="121">
        <f>M3-fun_2(M3)*((M3)-$K$3)/(fun_2(M3)-fun_2($K$3))</f>
        <v>0.43454298825275617</v>
      </c>
      <c r="N4" s="121"/>
      <c r="O4" s="121">
        <f>(M4+K4)/2</f>
        <v>0.43316581234433094</v>
      </c>
      <c r="P4" s="121"/>
      <c r="Q4" s="121">
        <f>ABS(M4-K4)</f>
        <v>2.7543518168504644E-3</v>
      </c>
      <c r="R4" s="122"/>
    </row>
    <row r="5" spans="1:19" ht="15.75" thickBot="1" x14ac:dyDescent="0.3">
      <c r="A5" s="123">
        <f>A4-fun_1(A4)/fun_1p(A4)</f>
        <v>2.1144501302555652</v>
      </c>
      <c r="B5" s="121"/>
      <c r="C5" s="121">
        <f>C4-fun_1(C4)*((C4)-$A$3)/(fun_1(C4)-fun_1($A$3))</f>
        <v>2.0846289824271493</v>
      </c>
      <c r="D5" s="121"/>
      <c r="E5" s="121">
        <f>(C5+A5)/2</f>
        <v>2.099539556341357</v>
      </c>
      <c r="F5" s="121"/>
      <c r="G5" s="121">
        <f>ABS(C5-A5)</f>
        <v>2.9821147828415828E-2</v>
      </c>
      <c r="H5" s="122"/>
      <c r="J5" s="54"/>
      <c r="K5" s="125">
        <f>K4-fun_2(K4)/fun_2p(K4)</f>
        <v>0.43283979033404324</v>
      </c>
      <c r="L5" s="126"/>
      <c r="M5" s="126">
        <f>M4-fun_2(M4)*((M4)-$K$3)/(fun_2(M4)-fun_2($K$3))</f>
        <v>0.43289115664018712</v>
      </c>
      <c r="N5" s="126"/>
      <c r="O5" s="127">
        <f>(M5+K5)/2</f>
        <v>0.43286547348711518</v>
      </c>
      <c r="P5" s="127"/>
      <c r="Q5" s="126">
        <f>ABS(M5-K5)</f>
        <v>5.1366306143885154E-5</v>
      </c>
      <c r="R5" s="128"/>
    </row>
    <row r="6" spans="1:19" x14ac:dyDescent="0.25">
      <c r="A6" s="123">
        <f>A5-fun_1(A5)/fun_1p(A5)</f>
        <v>2.1122952095361938</v>
      </c>
      <c r="B6" s="121"/>
      <c r="C6" s="121">
        <f>C5-fun_1(C5)*((C5)-$A$3)/(fun_1(C5)-fun_1($A$3))</f>
        <v>2.1070904906468257</v>
      </c>
      <c r="D6" s="121"/>
      <c r="E6" s="121">
        <f>(C6+A6)/2</f>
        <v>2.10969285009151</v>
      </c>
      <c r="F6" s="121"/>
      <c r="G6" s="121">
        <f>ABS(C6-A6)</f>
        <v>5.2047188893680207E-3</v>
      </c>
      <c r="H6" s="122"/>
      <c r="J6" s="54"/>
      <c r="K6" s="52"/>
      <c r="L6" s="52"/>
      <c r="M6" s="53"/>
      <c r="N6" s="53"/>
      <c r="O6" s="53"/>
      <c r="P6" s="53"/>
      <c r="Q6" s="53"/>
      <c r="R6" s="53"/>
      <c r="S6" s="19"/>
    </row>
    <row r="7" spans="1:19" ht="15.75" thickBot="1" x14ac:dyDescent="0.3">
      <c r="A7" s="125">
        <f>A6-fun_1(A6)/fun_1p(A6)</f>
        <v>2.1122926231911401</v>
      </c>
      <c r="B7" s="126"/>
      <c r="C7" s="126">
        <f>C6-fun_1(C6)*((C6)-$A$3)/(fun_1(C6)-fun_1($A$3))</f>
        <v>2.111321653919163</v>
      </c>
      <c r="D7" s="126"/>
      <c r="E7" s="127">
        <f>(C7+A7)/2</f>
        <v>2.1118071385551516</v>
      </c>
      <c r="F7" s="127"/>
      <c r="G7" s="126">
        <f>ABS(C7-A7)</f>
        <v>9.7096927197704019E-4</v>
      </c>
      <c r="H7" s="128"/>
      <c r="J7" s="54"/>
      <c r="K7" s="53"/>
      <c r="L7" s="53"/>
      <c r="M7" s="53"/>
      <c r="N7" s="53"/>
      <c r="O7" s="53"/>
      <c r="P7" s="53"/>
      <c r="Q7" s="53"/>
      <c r="R7" s="53"/>
      <c r="S7" s="19"/>
    </row>
    <row r="8" spans="1:19" ht="15.75" thickBot="1" x14ac:dyDescent="0.3">
      <c r="J8" s="54"/>
    </row>
    <row r="9" spans="1:19" ht="15.75" thickBot="1" x14ac:dyDescent="0.3">
      <c r="E9" s="3" t="s">
        <v>12</v>
      </c>
      <c r="F9" s="37">
        <f t="array" ref="F9:F10">comb_1(B1,D1,H1)</f>
        <v>2.1122757619550301</v>
      </c>
      <c r="J9" s="54"/>
      <c r="O9" s="3" t="s">
        <v>12</v>
      </c>
      <c r="P9" s="37">
        <f t="array" ref="P9:P10">comb_2(L1,N1,R1)</f>
        <v>0.43286547348711518</v>
      </c>
    </row>
    <row r="10" spans="1:19" ht="15.75" thickBot="1" x14ac:dyDescent="0.3">
      <c r="E10" s="3" t="s">
        <v>20</v>
      </c>
      <c r="F10" s="33">
        <v>6</v>
      </c>
      <c r="J10" s="54"/>
      <c r="O10" s="3" t="s">
        <v>20</v>
      </c>
      <c r="P10" s="33">
        <v>2</v>
      </c>
    </row>
    <row r="11" spans="1:19" x14ac:dyDescent="0.25">
      <c r="J11" s="54"/>
    </row>
    <row r="12" spans="1:19" x14ac:dyDescent="0.25">
      <c r="J12" s="54"/>
    </row>
    <row r="13" spans="1:19" x14ac:dyDescent="0.25">
      <c r="J13" s="54"/>
    </row>
    <row r="14" spans="1:19" x14ac:dyDescent="0.25">
      <c r="J14" s="54"/>
    </row>
    <row r="15" spans="1:19" x14ac:dyDescent="0.25">
      <c r="J15" s="54"/>
    </row>
    <row r="16" spans="1:19" x14ac:dyDescent="0.25">
      <c r="J16" s="54"/>
    </row>
    <row r="17" spans="9:10" x14ac:dyDescent="0.25">
      <c r="J17" s="54"/>
    </row>
    <row r="18" spans="9:10" x14ac:dyDescent="0.25">
      <c r="I18" s="19"/>
      <c r="J18" s="54"/>
    </row>
    <row r="19" spans="9:10" x14ac:dyDescent="0.25">
      <c r="J19" s="54"/>
    </row>
    <row r="20" spans="9:10" x14ac:dyDescent="0.25">
      <c r="J20" s="54"/>
    </row>
    <row r="21" spans="9:10" x14ac:dyDescent="0.25">
      <c r="J21" s="54"/>
    </row>
    <row r="22" spans="9:10" x14ac:dyDescent="0.25">
      <c r="J22" s="54"/>
    </row>
    <row r="23" spans="9:10" x14ac:dyDescent="0.25">
      <c r="J23" s="54"/>
    </row>
  </sheetData>
  <mergeCells count="32">
    <mergeCell ref="K5:L5"/>
    <mergeCell ref="M5:N5"/>
    <mergeCell ref="O5:P5"/>
    <mergeCell ref="Q5:R5"/>
    <mergeCell ref="K3:L3"/>
    <mergeCell ref="M3:N3"/>
    <mergeCell ref="O3:P3"/>
    <mergeCell ref="Q3:R3"/>
    <mergeCell ref="K4:L4"/>
    <mergeCell ref="M4:N4"/>
    <mergeCell ref="O4:P4"/>
    <mergeCell ref="Q4:R4"/>
    <mergeCell ref="A6:B6"/>
    <mergeCell ref="C6:D6"/>
    <mergeCell ref="E6:F6"/>
    <mergeCell ref="G6:H6"/>
    <mergeCell ref="A7:B7"/>
    <mergeCell ref="C7:D7"/>
    <mergeCell ref="E7:F7"/>
    <mergeCell ref="G7:H7"/>
    <mergeCell ref="G3:H3"/>
    <mergeCell ref="G4:H4"/>
    <mergeCell ref="C3:D3"/>
    <mergeCell ref="C4:D4"/>
    <mergeCell ref="A5:B5"/>
    <mergeCell ref="C5:D5"/>
    <mergeCell ref="E5:F5"/>
    <mergeCell ref="G5:H5"/>
    <mergeCell ref="A3:B3"/>
    <mergeCell ref="A4:B4"/>
    <mergeCell ref="E3:F3"/>
    <mergeCell ref="E4:F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P14"/>
  <sheetViews>
    <sheetView workbookViewId="0">
      <selection activeCell="H18" sqref="H18"/>
    </sheetView>
  </sheetViews>
  <sheetFormatPr defaultRowHeight="15" x14ac:dyDescent="0.25"/>
  <sheetData>
    <row r="1" spans="1:16" ht="15.75" thickBot="1" x14ac:dyDescent="0.3">
      <c r="A1" s="28" t="s">
        <v>13</v>
      </c>
      <c r="B1" s="33">
        <f>E2</f>
        <v>1.5</v>
      </c>
      <c r="C1" s="28" t="s">
        <v>19</v>
      </c>
      <c r="D1" s="33">
        <v>1E-3</v>
      </c>
      <c r="J1" s="28" t="s">
        <v>13</v>
      </c>
      <c r="K1" s="33">
        <f>N2</f>
        <v>0.4</v>
      </c>
      <c r="L1" s="28" t="s">
        <v>19</v>
      </c>
      <c r="M1" s="33">
        <v>1E-3</v>
      </c>
    </row>
    <row r="2" spans="1:16" x14ac:dyDescent="0.25">
      <c r="D2" s="58" t="s">
        <v>27</v>
      </c>
      <c r="E2" s="59">
        <v>1.5</v>
      </c>
      <c r="F2" t="s">
        <v>29</v>
      </c>
      <c r="G2">
        <f>fun_1p(E2)</f>
        <v>4.75</v>
      </c>
      <c r="M2" s="58" t="s">
        <v>27</v>
      </c>
      <c r="N2" s="59">
        <v>0.4</v>
      </c>
      <c r="O2" t="s">
        <v>29</v>
      </c>
      <c r="P2">
        <f>fun_2p(N2)</f>
        <v>-2.4287541058109747</v>
      </c>
    </row>
    <row r="3" spans="1:16" ht="15.75" thickBot="1" x14ac:dyDescent="0.3">
      <c r="A3" s="55" t="s">
        <v>26</v>
      </c>
      <c r="D3" s="58" t="s">
        <v>14</v>
      </c>
      <c r="E3" s="59">
        <v>2.5</v>
      </c>
      <c r="F3" t="s">
        <v>28</v>
      </c>
      <c r="G3">
        <f>fun_1p(E3)</f>
        <v>16.75</v>
      </c>
      <c r="J3" s="55" t="s">
        <v>26</v>
      </c>
      <c r="M3" s="58" t="s">
        <v>14</v>
      </c>
      <c r="N3" s="59">
        <v>0.5</v>
      </c>
      <c r="O3" t="s">
        <v>28</v>
      </c>
      <c r="P3">
        <f>fun_2p(N3)</f>
        <v>-2.0984464104095251</v>
      </c>
    </row>
    <row r="4" spans="1:16" x14ac:dyDescent="0.25">
      <c r="A4" s="29">
        <f>B1</f>
        <v>1.5</v>
      </c>
      <c r="B4" s="11"/>
      <c r="J4" s="29">
        <f>K1</f>
        <v>0.4</v>
      </c>
      <c r="K4" s="11"/>
    </row>
    <row r="5" spans="1:16" x14ac:dyDescent="0.25">
      <c r="A5" s="26">
        <f>A4-fun_1(A4)/$G$5</f>
        <v>1.7838235294117646</v>
      </c>
      <c r="B5" s="12">
        <f>ABS(A5-A4)</f>
        <v>0.28382352941176459</v>
      </c>
      <c r="F5" s="57" t="s">
        <v>30</v>
      </c>
      <c r="G5" s="56">
        <v>17</v>
      </c>
      <c r="J5" s="26">
        <f>J4-fun_2(J4)/$P$5</f>
        <v>0.4257355937539461</v>
      </c>
      <c r="K5" s="12">
        <f>ABS(J5-J4)</f>
        <v>2.5735593753946073E-2</v>
      </c>
      <c r="O5" s="57" t="s">
        <v>30</v>
      </c>
      <c r="P5" s="56">
        <v>-3</v>
      </c>
    </row>
    <row r="6" spans="1:16" x14ac:dyDescent="0.25">
      <c r="A6" s="26">
        <f t="shared" ref="A6:A7" si="0">A5-fun_1(A5)/$G$5</f>
        <v>1.965674913158068</v>
      </c>
      <c r="B6" s="12">
        <f t="shared" ref="B6:B9" si="1">ABS(A6-A5)</f>
        <v>0.18185138374630339</v>
      </c>
      <c r="I6" s="19"/>
      <c r="J6" s="26">
        <f>J5-fun_2(J5)/$P$5</f>
        <v>0.43117073710493553</v>
      </c>
      <c r="K6" s="12">
        <f>ABS(J6-J5)</f>
        <v>5.4351433509894354E-3</v>
      </c>
    </row>
    <row r="7" spans="1:16" ht="15.75" thickBot="1" x14ac:dyDescent="0.3">
      <c r="A7" s="26">
        <f t="shared" si="0"/>
        <v>2.0560409155765456</v>
      </c>
      <c r="B7" s="12">
        <f t="shared" si="1"/>
        <v>9.0366002418477587E-2</v>
      </c>
      <c r="I7" s="19"/>
      <c r="J7" s="26">
        <f>J6-fun_2(J6)/$P$5</f>
        <v>0.43244227173161232</v>
      </c>
      <c r="K7" s="12">
        <f>ABS(J7-J6)</f>
        <v>1.2715346266767846E-3</v>
      </c>
    </row>
    <row r="8" spans="1:16" ht="15.75" thickBot="1" x14ac:dyDescent="0.3">
      <c r="A8" s="26">
        <f>A7-fun_1(A7)/$G$5</f>
        <v>2.0925451119122833</v>
      </c>
      <c r="B8" s="12">
        <f>ABS(A8-A7)</f>
        <v>3.650419633573776E-2</v>
      </c>
      <c r="D8" s="3" t="s">
        <v>12</v>
      </c>
      <c r="E8" s="37">
        <f t="array" ref="E8:E9">iter_1(E2,E3,D1)</f>
        <v>2.1122661284807971</v>
      </c>
      <c r="I8" s="19"/>
      <c r="J8" s="38">
        <f>J7-fun_2(J7)/$P$5</f>
        <v>0.43274532844529201</v>
      </c>
      <c r="K8" s="13">
        <f>ABS(J8-J7)</f>
        <v>3.0305671367969467E-4</v>
      </c>
      <c r="M8" s="3" t="s">
        <v>12</v>
      </c>
      <c r="N8" s="37">
        <f t="array" ref="N8:N9">iter_2(N2,N3,M1)</f>
        <v>0.43274532844529201</v>
      </c>
    </row>
    <row r="9" spans="1:16" ht="15.75" thickBot="1" x14ac:dyDescent="0.3">
      <c r="A9" s="26">
        <f t="shared" ref="A9:A12" si="2">A8-fun_1(A8)/$G$5</f>
        <v>2.1056256226645069</v>
      </c>
      <c r="B9" s="12">
        <f t="shared" si="1"/>
        <v>1.3080510752223606E-2</v>
      </c>
      <c r="D9" s="3" t="s">
        <v>20</v>
      </c>
      <c r="E9" s="33">
        <v>10</v>
      </c>
      <c r="I9" s="19"/>
      <c r="J9" s="19"/>
      <c r="K9" s="19"/>
      <c r="M9" s="3" t="s">
        <v>20</v>
      </c>
      <c r="N9" s="33">
        <v>4</v>
      </c>
    </row>
    <row r="10" spans="1:16" x14ac:dyDescent="0.25">
      <c r="A10" s="26">
        <f t="shared" si="2"/>
        <v>2.1100741343920757</v>
      </c>
      <c r="B10" s="12">
        <f t="shared" ref="B10:B12" si="3">ABS(A10-A9)</f>
        <v>4.4485117275687713E-3</v>
      </c>
      <c r="I10" s="19"/>
      <c r="J10" s="19"/>
      <c r="K10" s="19"/>
    </row>
    <row r="11" spans="1:16" x14ac:dyDescent="0.25">
      <c r="A11" s="26">
        <f t="shared" si="2"/>
        <v>2.1115580798517088</v>
      </c>
      <c r="B11" s="12">
        <f t="shared" si="3"/>
        <v>1.4839454596331514E-3</v>
      </c>
      <c r="I11" s="19"/>
      <c r="J11" s="19"/>
      <c r="K11" s="19"/>
    </row>
    <row r="12" spans="1:16" ht="15.75" thickBot="1" x14ac:dyDescent="0.3">
      <c r="A12" s="38">
        <f t="shared" si="2"/>
        <v>2.1120498214522057</v>
      </c>
      <c r="B12" s="13">
        <f t="shared" si="3"/>
        <v>4.9174160049680893E-4</v>
      </c>
      <c r="I12" s="19"/>
      <c r="J12" s="41"/>
      <c r="K12" s="19"/>
    </row>
    <row r="13" spans="1:16" x14ac:dyDescent="0.25">
      <c r="A13" s="40"/>
      <c r="B13" s="40"/>
      <c r="I13" s="19"/>
      <c r="J13" s="19"/>
      <c r="K13" s="19"/>
    </row>
    <row r="14" spans="1:16" x14ac:dyDescent="0.25">
      <c r="I14" s="19"/>
      <c r="J14" s="19"/>
      <c r="K14" s="19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O112"/>
  <sheetViews>
    <sheetView workbookViewId="0">
      <selection activeCell="J14" sqref="J14"/>
    </sheetView>
  </sheetViews>
  <sheetFormatPr defaultRowHeight="15" x14ac:dyDescent="0.25"/>
  <cols>
    <col min="5" max="5" width="9.140625" customWidth="1"/>
    <col min="15" max="15" width="13.7109375" customWidth="1"/>
    <col min="16" max="16" width="8.5703125" customWidth="1"/>
  </cols>
  <sheetData>
    <row r="1" spans="1:15" ht="15.75" thickBot="1" x14ac:dyDescent="0.3">
      <c r="A1" s="3" t="s">
        <v>31</v>
      </c>
      <c r="B1" s="60" t="s">
        <v>21</v>
      </c>
      <c r="C1" s="3" t="s">
        <v>22</v>
      </c>
      <c r="D1" s="35" t="s">
        <v>34</v>
      </c>
      <c r="H1" s="129" t="s">
        <v>32</v>
      </c>
      <c r="I1" s="130"/>
      <c r="J1" s="130"/>
      <c r="K1" s="130"/>
      <c r="L1" s="130"/>
      <c r="M1" s="131"/>
      <c r="O1" s="64" t="s">
        <v>33</v>
      </c>
    </row>
    <row r="2" spans="1:15" x14ac:dyDescent="0.25">
      <c r="A2" s="61">
        <v>0</v>
      </c>
      <c r="B2" s="61">
        <v>-3</v>
      </c>
      <c r="C2" s="61">
        <v>0</v>
      </c>
      <c r="D2" s="61">
        <f t="shared" ref="D2:D7" si="0">$O$2*B2^5+$O$3*B2^4+$O$4*B2^3+$O$5*B2^2+$O$6*B2+$O$7</f>
        <v>-4.4408920985006262E-15</v>
      </c>
      <c r="H2" s="29">
        <f t="shared" ref="H2:H7" si="1">$B2^5</f>
        <v>-243</v>
      </c>
      <c r="I2" s="20">
        <f t="shared" ref="I2:I7" si="2">$B2^4</f>
        <v>81</v>
      </c>
      <c r="J2" s="20">
        <f t="shared" ref="J2:J7" si="3">$B2^3</f>
        <v>-27</v>
      </c>
      <c r="K2" s="20">
        <f t="shared" ref="K2:K7" si="4">$B2^2</f>
        <v>9</v>
      </c>
      <c r="L2" s="20">
        <f t="shared" ref="L2:L7" si="5">$B2</f>
        <v>-3</v>
      </c>
      <c r="M2" s="11">
        <v>1</v>
      </c>
      <c r="O2" s="7">
        <f t="array" ref="O2:O7">MMULT(MINVERSE(H2:M7),C2:C7)</f>
        <v>-0.23333333333333339</v>
      </c>
    </row>
    <row r="3" spans="1:15" x14ac:dyDescent="0.25">
      <c r="A3" s="62">
        <v>1</v>
      </c>
      <c r="B3" s="62">
        <v>-2</v>
      </c>
      <c r="C3" s="62">
        <v>2</v>
      </c>
      <c r="D3" s="62">
        <f t="shared" si="0"/>
        <v>1.9999999999999964</v>
      </c>
      <c r="H3" s="26">
        <f t="shared" si="1"/>
        <v>-32</v>
      </c>
      <c r="I3" s="19">
        <f t="shared" si="2"/>
        <v>16</v>
      </c>
      <c r="J3" s="19">
        <f t="shared" si="3"/>
        <v>-8</v>
      </c>
      <c r="K3" s="19">
        <f t="shared" si="4"/>
        <v>4</v>
      </c>
      <c r="L3" s="19">
        <f t="shared" si="5"/>
        <v>-2</v>
      </c>
      <c r="M3" s="12">
        <v>1</v>
      </c>
      <c r="O3" s="8">
        <v>-0.95833333333333359</v>
      </c>
    </row>
    <row r="4" spans="1:15" x14ac:dyDescent="0.25">
      <c r="A4" s="62">
        <v>2</v>
      </c>
      <c r="B4" s="62">
        <v>-1</v>
      </c>
      <c r="C4" s="62">
        <v>-1</v>
      </c>
      <c r="D4" s="62">
        <f t="shared" si="0"/>
        <v>-1</v>
      </c>
      <c r="H4" s="26">
        <f t="shared" si="1"/>
        <v>-1</v>
      </c>
      <c r="I4" s="19">
        <f t="shared" si="2"/>
        <v>1</v>
      </c>
      <c r="J4" s="19">
        <f t="shared" si="3"/>
        <v>-1</v>
      </c>
      <c r="K4" s="19">
        <f t="shared" si="4"/>
        <v>1</v>
      </c>
      <c r="L4" s="19">
        <f t="shared" si="5"/>
        <v>-1</v>
      </c>
      <c r="M4" s="12">
        <v>1</v>
      </c>
      <c r="O4" s="8">
        <v>0.9166666666666673</v>
      </c>
    </row>
    <row r="5" spans="1:15" x14ac:dyDescent="0.25">
      <c r="A5" s="62">
        <v>3</v>
      </c>
      <c r="B5" s="62">
        <v>0</v>
      </c>
      <c r="C5" s="62">
        <v>-4</v>
      </c>
      <c r="D5" s="62">
        <f t="shared" si="0"/>
        <v>-4</v>
      </c>
      <c r="H5" s="26">
        <f t="shared" si="1"/>
        <v>0</v>
      </c>
      <c r="I5" s="19">
        <f t="shared" si="2"/>
        <v>0</v>
      </c>
      <c r="J5" s="19">
        <f t="shared" si="3"/>
        <v>0</v>
      </c>
      <c r="K5" s="19">
        <f t="shared" si="4"/>
        <v>0</v>
      </c>
      <c r="L5" s="19">
        <f t="shared" si="5"/>
        <v>0</v>
      </c>
      <c r="M5" s="12">
        <v>1</v>
      </c>
      <c r="O5" s="8">
        <v>5.9583333333333339</v>
      </c>
    </row>
    <row r="6" spans="1:15" x14ac:dyDescent="0.25">
      <c r="A6" s="62">
        <v>4</v>
      </c>
      <c r="B6" s="62">
        <v>1</v>
      </c>
      <c r="C6" s="62">
        <v>3</v>
      </c>
      <c r="D6" s="62">
        <f t="shared" si="0"/>
        <v>3.0000000000000009</v>
      </c>
      <c r="H6" s="26">
        <f t="shared" si="1"/>
        <v>1</v>
      </c>
      <c r="I6" s="19">
        <f t="shared" si="2"/>
        <v>1</v>
      </c>
      <c r="J6" s="19">
        <f t="shared" si="3"/>
        <v>1</v>
      </c>
      <c r="K6" s="19">
        <f t="shared" si="4"/>
        <v>1</v>
      </c>
      <c r="L6" s="19">
        <f t="shared" si="5"/>
        <v>1</v>
      </c>
      <c r="M6" s="12">
        <v>1</v>
      </c>
      <c r="O6" s="8">
        <v>1.3166666666666667</v>
      </c>
    </row>
    <row r="7" spans="1:15" ht="15.75" thickBot="1" x14ac:dyDescent="0.3">
      <c r="A7" s="63">
        <v>5</v>
      </c>
      <c r="B7" s="9">
        <v>2</v>
      </c>
      <c r="C7" s="9">
        <v>7</v>
      </c>
      <c r="D7" s="9">
        <f t="shared" si="0"/>
        <v>7.0000000000000036</v>
      </c>
      <c r="H7" s="27">
        <f t="shared" si="1"/>
        <v>32</v>
      </c>
      <c r="I7" s="21">
        <f t="shared" si="2"/>
        <v>16</v>
      </c>
      <c r="J7" s="21">
        <f t="shared" si="3"/>
        <v>8</v>
      </c>
      <c r="K7" s="21">
        <f t="shared" si="4"/>
        <v>4</v>
      </c>
      <c r="L7" s="21">
        <f t="shared" si="5"/>
        <v>2</v>
      </c>
      <c r="M7" s="13">
        <v>1</v>
      </c>
      <c r="O7" s="9">
        <v>-4</v>
      </c>
    </row>
    <row r="11" spans="1:15" ht="15.75" thickBot="1" x14ac:dyDescent="0.3"/>
    <row r="12" spans="1:15" ht="15.75" thickBot="1" x14ac:dyDescent="0.3">
      <c r="A12" s="132" t="s">
        <v>26</v>
      </c>
      <c r="B12" s="133"/>
      <c r="C12" s="134" t="s">
        <v>35</v>
      </c>
      <c r="D12" s="135"/>
      <c r="E12" s="136" t="s">
        <v>12</v>
      </c>
      <c r="F12" s="137"/>
    </row>
    <row r="13" spans="1:15" x14ac:dyDescent="0.25">
      <c r="A13" s="124">
        <v>-3</v>
      </c>
      <c r="B13" s="120"/>
      <c r="C13" s="124">
        <f>$O$2*A13^5+$O$3*A13^4+$O$4*A13^3+$O$5*A13^2+$O$6*A13+$O$7</f>
        <v>-4.4408920985006262E-15</v>
      </c>
      <c r="D13" s="120"/>
      <c r="E13" s="124">
        <f>CanonCramer(A13,$B$2:$B$7,$C$2:$C$7)</f>
        <v>1.6875389974302379E-14</v>
      </c>
      <c r="F13" s="120"/>
    </row>
    <row r="14" spans="1:15" x14ac:dyDescent="0.25">
      <c r="A14" s="123">
        <v>-2.8</v>
      </c>
      <c r="B14" s="122"/>
      <c r="C14" s="123">
        <f>$O$2*A14^5+$O$3*A14^4+$O$4*A14^3+$O$5*A14^2+$O$6*A14+$O$7</f>
        <v>0.15699199999998914</v>
      </c>
      <c r="D14" s="122"/>
      <c r="E14" s="123">
        <f>CanonCramer(A14,$B$2:$B$7,$C$2:$C$7)</f>
        <v>0.15699200000000335</v>
      </c>
      <c r="F14" s="122"/>
    </row>
    <row r="15" spans="1:15" x14ac:dyDescent="0.25">
      <c r="A15" s="123">
        <v>-2.6</v>
      </c>
      <c r="B15" s="122"/>
      <c r="C15" s="123">
        <f>$O$2*A15^5+$O$3*A15^4+$O$4*A15^3+$O$5*A15^2+$O$6*A15+$O$7</f>
        <v>0.67334399999999128</v>
      </c>
      <c r="D15" s="122"/>
      <c r="E15" s="123">
        <f t="shared" ref="E15:E19" si="6">CanonCramer(A15,$B$2:$B$7,$C$2:$C$7)</f>
        <v>0.67334400000000549</v>
      </c>
      <c r="F15" s="122"/>
    </row>
    <row r="16" spans="1:15" x14ac:dyDescent="0.25">
      <c r="A16" s="123">
        <v>-2.4</v>
      </c>
      <c r="B16" s="122"/>
      <c r="C16" s="123">
        <f t="shared" ref="C16:C33" si="7">$O$2*A16^5+$O$3*A16^4+$O$4*A16^3+$O$5*A16^2+$O$6*A16+$O$7</f>
        <v>1.2722559999999881</v>
      </c>
      <c r="D16" s="122"/>
      <c r="E16" s="123">
        <f t="shared" si="6"/>
        <v>1.2722560000000023</v>
      </c>
      <c r="F16" s="122"/>
    </row>
    <row r="17" spans="1:6" x14ac:dyDescent="0.25">
      <c r="A17" s="123">
        <v>-2.2000000000000002</v>
      </c>
      <c r="B17" s="122"/>
      <c r="C17" s="123">
        <f t="shared" si="7"/>
        <v>1.7566079999999946</v>
      </c>
      <c r="D17" s="122"/>
      <c r="E17" s="123">
        <f t="shared" si="6"/>
        <v>1.7566080000000053</v>
      </c>
      <c r="F17" s="122"/>
    </row>
    <row r="18" spans="1:6" x14ac:dyDescent="0.25">
      <c r="A18" s="123">
        <v>-2</v>
      </c>
      <c r="B18" s="122"/>
      <c r="C18" s="123">
        <f t="shared" si="7"/>
        <v>1.9999999999999964</v>
      </c>
      <c r="D18" s="122"/>
      <c r="E18" s="123">
        <f t="shared" si="6"/>
        <v>2.0000000000000036</v>
      </c>
      <c r="F18" s="122"/>
    </row>
    <row r="19" spans="1:6" x14ac:dyDescent="0.25">
      <c r="A19" s="123">
        <v>-1.8</v>
      </c>
      <c r="B19" s="122"/>
      <c r="C19" s="123">
        <f t="shared" si="7"/>
        <v>1.9377919999999955</v>
      </c>
      <c r="D19" s="122"/>
      <c r="E19" s="123">
        <f t="shared" si="6"/>
        <v>1.9377920000000044</v>
      </c>
      <c r="F19" s="122"/>
    </row>
    <row r="20" spans="1:6" x14ac:dyDescent="0.25">
      <c r="A20" s="123">
        <v>-1.6</v>
      </c>
      <c r="B20" s="122"/>
      <c r="C20" s="123">
        <f t="shared" si="7"/>
        <v>1.5581439999999969</v>
      </c>
      <c r="D20" s="122"/>
      <c r="E20" s="123">
        <f t="shared" ref="E20:E24" si="8">CanonCramer(A20,$B$2:$B$7,$C$2:$C$7)</f>
        <v>1.558144000000004</v>
      </c>
      <c r="F20" s="122"/>
    </row>
    <row r="21" spans="1:6" x14ac:dyDescent="0.25">
      <c r="A21" s="123">
        <v>-1.4</v>
      </c>
      <c r="B21" s="122"/>
      <c r="C21" s="123">
        <f t="shared" si="7"/>
        <v>0.89305599999999785</v>
      </c>
      <c r="D21" s="122"/>
      <c r="E21" s="123">
        <f t="shared" si="8"/>
        <v>0.89305599999999963</v>
      </c>
      <c r="F21" s="122"/>
    </row>
    <row r="22" spans="1:6" x14ac:dyDescent="0.25">
      <c r="A22" s="123">
        <v>-1.2</v>
      </c>
      <c r="B22" s="122"/>
      <c r="C22" s="123">
        <f t="shared" si="7"/>
        <v>9.4079999999987507E-3</v>
      </c>
      <c r="D22" s="122"/>
      <c r="E22" s="123">
        <f t="shared" si="8"/>
        <v>9.4080000000005271E-3</v>
      </c>
      <c r="F22" s="122"/>
    </row>
    <row r="23" spans="1:6" x14ac:dyDescent="0.25">
      <c r="A23" s="123">
        <v>-1</v>
      </c>
      <c r="B23" s="122"/>
      <c r="C23" s="123">
        <f t="shared" si="7"/>
        <v>-1</v>
      </c>
      <c r="D23" s="122"/>
      <c r="E23" s="123">
        <f t="shared" si="8"/>
        <v>-0.99999999999999822</v>
      </c>
      <c r="F23" s="122"/>
    </row>
    <row r="24" spans="1:6" x14ac:dyDescent="0.25">
      <c r="A24" s="123">
        <v>-0.8</v>
      </c>
      <c r="B24" s="122"/>
      <c r="C24" s="123">
        <f t="shared" si="7"/>
        <v>-2.0254079999999997</v>
      </c>
      <c r="D24" s="122"/>
      <c r="E24" s="123">
        <f t="shared" si="8"/>
        <v>-2.0254079999999988</v>
      </c>
      <c r="F24" s="122"/>
    </row>
    <row r="25" spans="1:6" x14ac:dyDescent="0.25">
      <c r="A25" s="123">
        <v>-0.6</v>
      </c>
      <c r="B25" s="122"/>
      <c r="C25" s="123">
        <f t="shared" si="7"/>
        <v>-2.9490560000000001</v>
      </c>
      <c r="D25" s="122"/>
      <c r="E25" s="123">
        <f t="shared" ref="E25:E38" si="9">CanonCramer(A25,$B$2:$B$7,$C$2:$C$7)</f>
        <v>-2.9490559999999997</v>
      </c>
      <c r="F25" s="122"/>
    </row>
    <row r="26" spans="1:6" x14ac:dyDescent="0.25">
      <c r="A26" s="123">
        <v>-0.4</v>
      </c>
      <c r="B26" s="122"/>
      <c r="C26" s="123">
        <f t="shared" si="7"/>
        <v>-3.6541439999999996</v>
      </c>
      <c r="D26" s="122"/>
      <c r="E26" s="123">
        <f t="shared" si="9"/>
        <v>-3.6541439999999996</v>
      </c>
      <c r="F26" s="122"/>
    </row>
    <row r="27" spans="1:6" x14ac:dyDescent="0.25">
      <c r="A27" s="123">
        <v>-0.2</v>
      </c>
      <c r="B27" s="122"/>
      <c r="C27" s="123">
        <f t="shared" si="7"/>
        <v>-4.033792</v>
      </c>
      <c r="D27" s="122"/>
      <c r="E27" s="123">
        <f t="shared" si="9"/>
        <v>-4.033792</v>
      </c>
      <c r="F27" s="122"/>
    </row>
    <row r="28" spans="1:6" x14ac:dyDescent="0.25">
      <c r="A28" s="123">
        <v>0</v>
      </c>
      <c r="B28" s="122"/>
      <c r="C28" s="123">
        <f t="shared" si="7"/>
        <v>-4</v>
      </c>
      <c r="D28" s="122"/>
      <c r="E28" s="123">
        <f t="shared" si="9"/>
        <v>-4</v>
      </c>
      <c r="F28" s="122"/>
    </row>
    <row r="29" spans="1:6" x14ac:dyDescent="0.25">
      <c r="A29" s="123">
        <v>0.2</v>
      </c>
      <c r="B29" s="122"/>
      <c r="C29" s="123">
        <f t="shared" si="7"/>
        <v>-3.4926079999999997</v>
      </c>
      <c r="D29" s="122"/>
      <c r="E29" s="123">
        <f t="shared" si="9"/>
        <v>-3.4926079999999997</v>
      </c>
      <c r="F29" s="122"/>
    </row>
    <row r="30" spans="1:6" x14ac:dyDescent="0.25">
      <c r="A30" s="123">
        <v>0.4</v>
      </c>
      <c r="B30" s="122"/>
      <c r="C30" s="123">
        <f t="shared" si="7"/>
        <v>-2.4882559999999998</v>
      </c>
      <c r="D30" s="122"/>
      <c r="E30" s="123">
        <f t="shared" si="9"/>
        <v>-2.4882559999999994</v>
      </c>
      <c r="F30" s="122"/>
    </row>
    <row r="31" spans="1:6" x14ac:dyDescent="0.25">
      <c r="A31" s="123">
        <v>0.6</v>
      </c>
      <c r="B31" s="122"/>
      <c r="C31" s="123">
        <f t="shared" si="7"/>
        <v>-1.009344</v>
      </c>
      <c r="D31" s="122"/>
      <c r="E31" s="123">
        <f t="shared" si="9"/>
        <v>-1.0093439999999996</v>
      </c>
      <c r="F31" s="122"/>
    </row>
    <row r="32" spans="1:6" x14ac:dyDescent="0.25">
      <c r="A32" s="123">
        <v>0.8</v>
      </c>
      <c r="B32" s="122"/>
      <c r="C32" s="123">
        <f t="shared" si="7"/>
        <v>0.86700800000000111</v>
      </c>
      <c r="D32" s="122"/>
      <c r="E32" s="123">
        <f t="shared" si="9"/>
        <v>0.867008000000002</v>
      </c>
      <c r="F32" s="122"/>
    </row>
    <row r="33" spans="1:6" x14ac:dyDescent="0.25">
      <c r="A33" s="123">
        <v>1</v>
      </c>
      <c r="B33" s="122"/>
      <c r="C33" s="123">
        <f t="shared" si="7"/>
        <v>3.0000000000000009</v>
      </c>
      <c r="D33" s="122"/>
      <c r="E33" s="123">
        <f t="shared" si="9"/>
        <v>3.0000000000000018</v>
      </c>
      <c r="F33" s="122"/>
    </row>
    <row r="34" spans="1:6" x14ac:dyDescent="0.25">
      <c r="A34" s="123">
        <v>1.2</v>
      </c>
      <c r="B34" s="122"/>
      <c r="C34" s="123">
        <f t="shared" ref="C34:C37" si="10">$O$2*A34^5+$O$3*A34^4+$O$4*A34^3+$O$5*A34^2+$O$6*A34+$O$7</f>
        <v>5.1761920000000003</v>
      </c>
      <c r="D34" s="122"/>
      <c r="E34" s="123">
        <f t="shared" si="9"/>
        <v>5.1761920000000021</v>
      </c>
      <c r="F34" s="122"/>
    </row>
    <row r="35" spans="1:6" x14ac:dyDescent="0.25">
      <c r="A35" s="123">
        <v>1.4</v>
      </c>
      <c r="B35" s="122"/>
      <c r="C35" s="123">
        <f t="shared" si="10"/>
        <v>7.1005440000000011</v>
      </c>
      <c r="D35" s="122"/>
      <c r="E35" s="123">
        <f t="shared" si="9"/>
        <v>7.1005440000000029</v>
      </c>
      <c r="F35" s="122"/>
    </row>
    <row r="36" spans="1:6" x14ac:dyDescent="0.25">
      <c r="A36" s="123">
        <v>1.6</v>
      </c>
      <c r="B36" s="122"/>
      <c r="C36" s="123">
        <f t="shared" si="10"/>
        <v>8.387456000000002</v>
      </c>
      <c r="D36" s="122"/>
      <c r="E36" s="123">
        <f t="shared" si="9"/>
        <v>8.3874560000000074</v>
      </c>
      <c r="F36" s="122"/>
    </row>
    <row r="37" spans="1:6" x14ac:dyDescent="0.25">
      <c r="A37" s="123">
        <v>1.8</v>
      </c>
      <c r="B37" s="122"/>
      <c r="C37" s="123">
        <f t="shared" si="10"/>
        <v>8.5518080000000012</v>
      </c>
      <c r="D37" s="122"/>
      <c r="E37" s="123">
        <f t="shared" si="9"/>
        <v>8.5518080000000083</v>
      </c>
      <c r="F37" s="122"/>
    </row>
    <row r="38" spans="1:6" ht="15.75" thickBot="1" x14ac:dyDescent="0.3">
      <c r="A38" s="123">
        <v>2</v>
      </c>
      <c r="B38" s="122"/>
      <c r="C38" s="123">
        <f t="shared" ref="C38" si="11">$O$2*A38^5+$O$3*A38^4+$O$4*A38^3+$O$5*A38^2+$O$6*A38+$O$7</f>
        <v>7.0000000000000036</v>
      </c>
      <c r="D38" s="122"/>
      <c r="E38" s="125">
        <f t="shared" si="9"/>
        <v>7.0000000000000036</v>
      </c>
      <c r="F38" s="128"/>
    </row>
    <row r="39" spans="1:6" ht="15.75" thickBot="1" x14ac:dyDescent="0.3">
      <c r="A39" s="138">
        <v>-2.5</v>
      </c>
      <c r="B39" s="139"/>
      <c r="C39" s="140">
        <f t="shared" ref="C39" si="12">$O$2*A39^5+$O$3*A39^4+$O$4*A39^3+$O$5*A39^2+$O$6*A39+$O$7</f>
        <v>0.97656249999999112</v>
      </c>
      <c r="D39" s="141"/>
      <c r="E39" s="140">
        <f t="shared" ref="E39" si="13">CanonCramer(A39,$B$2:$B$7,$C$2:$C$7)</f>
        <v>0.97656250000001243</v>
      </c>
      <c r="F39" s="141"/>
    </row>
    <row r="101" spans="1:3" x14ac:dyDescent="0.25">
      <c r="A101">
        <v>0.01</v>
      </c>
      <c r="B101">
        <v>4.6490700682136787E-2</v>
      </c>
      <c r="C101">
        <v>10</v>
      </c>
    </row>
    <row r="102" spans="1:3" x14ac:dyDescent="0.25">
      <c r="A102">
        <v>0.02</v>
      </c>
      <c r="B102">
        <v>4.7674843513841422E-2</v>
      </c>
      <c r="C102">
        <v>9.2200000000000006</v>
      </c>
    </row>
    <row r="103" spans="1:3" x14ac:dyDescent="0.25">
      <c r="A103">
        <v>0.10199999999999999</v>
      </c>
      <c r="B103">
        <v>5.8594842245701467E-2</v>
      </c>
      <c r="C103">
        <v>8.5</v>
      </c>
    </row>
    <row r="104" spans="1:3" x14ac:dyDescent="0.25">
      <c r="A104">
        <v>0.20300000000000001</v>
      </c>
      <c r="B104">
        <v>7.5541143229500701E-2</v>
      </c>
      <c r="C104">
        <v>6.12</v>
      </c>
    </row>
    <row r="105" spans="1:3" x14ac:dyDescent="0.25">
      <c r="A105">
        <v>0.34</v>
      </c>
      <c r="B105">
        <v>0.10661815948013048</v>
      </c>
      <c r="C105">
        <v>4.3</v>
      </c>
    </row>
    <row r="106" spans="1:3" x14ac:dyDescent="0.25">
      <c r="A106">
        <v>0.40400000000000003</v>
      </c>
      <c r="B106">
        <v>0.12523899160909205</v>
      </c>
      <c r="C106">
        <v>3.4</v>
      </c>
    </row>
    <row r="107" spans="1:3" x14ac:dyDescent="0.25">
      <c r="A107">
        <v>0.55500000000000005</v>
      </c>
      <c r="B107">
        <v>0.18309633387007124</v>
      </c>
      <c r="C107">
        <v>3.33</v>
      </c>
    </row>
    <row r="108" spans="1:3" x14ac:dyDescent="0.25">
      <c r="A108">
        <v>0.6</v>
      </c>
      <c r="B108">
        <v>0.20503782151542685</v>
      </c>
      <c r="C108">
        <v>2.5</v>
      </c>
    </row>
    <row r="109" spans="1:3" x14ac:dyDescent="0.25">
      <c r="A109">
        <v>0.77700000000000002</v>
      </c>
      <c r="B109">
        <v>0.32001795459688948</v>
      </c>
      <c r="C109">
        <v>2.2200000000000002</v>
      </c>
    </row>
    <row r="110" spans="1:3" x14ac:dyDescent="0.25">
      <c r="A110">
        <v>0.87</v>
      </c>
      <c r="B110">
        <v>0.40435234044155277</v>
      </c>
      <c r="C110">
        <v>1.5</v>
      </c>
    </row>
    <row r="111" spans="1:3" x14ac:dyDescent="0.25">
      <c r="A111">
        <v>0.90500000000000003</v>
      </c>
      <c r="B111">
        <v>0.44156140551478418</v>
      </c>
      <c r="C111">
        <v>1.1100000000000001</v>
      </c>
    </row>
    <row r="112" spans="1:3" x14ac:dyDescent="0.25">
      <c r="A112">
        <v>1</v>
      </c>
      <c r="B112">
        <v>0.56073977119005625</v>
      </c>
      <c r="C112">
        <v>0.1</v>
      </c>
    </row>
  </sheetData>
  <mergeCells count="85">
    <mergeCell ref="E36:F36"/>
    <mergeCell ref="E37:F37"/>
    <mergeCell ref="E38:F38"/>
    <mergeCell ref="A39:B39"/>
    <mergeCell ref="C39:D39"/>
    <mergeCell ref="E39:F39"/>
    <mergeCell ref="A36:B36"/>
    <mergeCell ref="A37:B37"/>
    <mergeCell ref="C36:D36"/>
    <mergeCell ref="C37:D37"/>
    <mergeCell ref="E28:F28"/>
    <mergeCell ref="E29:F29"/>
    <mergeCell ref="E30:F30"/>
    <mergeCell ref="E31:F31"/>
    <mergeCell ref="E32:F32"/>
    <mergeCell ref="E33:F33"/>
    <mergeCell ref="C38:D38"/>
    <mergeCell ref="H1:M1"/>
    <mergeCell ref="A12:B12"/>
    <mergeCell ref="C12:D12"/>
    <mergeCell ref="E12:F12"/>
    <mergeCell ref="E13:F13"/>
    <mergeCell ref="E14:F14"/>
    <mergeCell ref="E15:F15"/>
    <mergeCell ref="E16:F16"/>
    <mergeCell ref="E17:F17"/>
    <mergeCell ref="C28:D28"/>
    <mergeCell ref="C29:D29"/>
    <mergeCell ref="C30:D30"/>
    <mergeCell ref="C31:D31"/>
    <mergeCell ref="C32:D32"/>
    <mergeCell ref="C33:D33"/>
    <mergeCell ref="A38:B38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A30:B30"/>
    <mergeCell ref="A31:B31"/>
    <mergeCell ref="A32:B32"/>
    <mergeCell ref="A33:B33"/>
    <mergeCell ref="A34:B34"/>
    <mergeCell ref="A35:B35"/>
    <mergeCell ref="A24:B24"/>
    <mergeCell ref="A25:B25"/>
    <mergeCell ref="A26:B26"/>
    <mergeCell ref="A27:B27"/>
    <mergeCell ref="A28:B28"/>
    <mergeCell ref="A29:B29"/>
    <mergeCell ref="A13:B13"/>
    <mergeCell ref="A14:B14"/>
    <mergeCell ref="A15:B15"/>
    <mergeCell ref="A16:B16"/>
    <mergeCell ref="A17:B17"/>
    <mergeCell ref="A18:B18"/>
    <mergeCell ref="A19:B19"/>
    <mergeCell ref="E34:F34"/>
    <mergeCell ref="E35:F35"/>
    <mergeCell ref="E24:F24"/>
    <mergeCell ref="E25:F25"/>
    <mergeCell ref="E26:F26"/>
    <mergeCell ref="E27:F27"/>
    <mergeCell ref="E18:F18"/>
    <mergeCell ref="E19:F19"/>
    <mergeCell ref="E20:F20"/>
    <mergeCell ref="E21:F21"/>
    <mergeCell ref="C34:D34"/>
    <mergeCell ref="C35:D35"/>
    <mergeCell ref="C24:D24"/>
    <mergeCell ref="C25:D25"/>
    <mergeCell ref="C27:D27"/>
    <mergeCell ref="C22:D22"/>
    <mergeCell ref="C23:D23"/>
    <mergeCell ref="E22:F22"/>
    <mergeCell ref="E23:F23"/>
    <mergeCell ref="A20:B20"/>
    <mergeCell ref="A21:B21"/>
    <mergeCell ref="A22:B22"/>
    <mergeCell ref="A23:B23"/>
    <mergeCell ref="C26:D2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3</xdr:col>
                <xdr:colOff>609600</xdr:colOff>
                <xdr:row>0</xdr:row>
                <xdr:rowOff>0</xdr:rowOff>
              </from>
              <to>
                <xdr:col>6</xdr:col>
                <xdr:colOff>600075</xdr:colOff>
                <xdr:row>10</xdr:row>
                <xdr:rowOff>190500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37"/>
  <sheetViews>
    <sheetView workbookViewId="0">
      <selection activeCell="K11" sqref="K11:K37"/>
    </sheetView>
  </sheetViews>
  <sheetFormatPr defaultRowHeight="15" x14ac:dyDescent="0.25"/>
  <sheetData>
    <row r="1" spans="1:11" ht="15.75" thickBot="1" x14ac:dyDescent="0.3">
      <c r="A1" s="3" t="s">
        <v>31</v>
      </c>
      <c r="B1" s="60" t="s">
        <v>21</v>
      </c>
      <c r="C1" s="3" t="s">
        <v>22</v>
      </c>
      <c r="D1" s="64" t="s">
        <v>36</v>
      </c>
      <c r="E1" s="64" t="s">
        <v>37</v>
      </c>
      <c r="F1" s="64" t="s">
        <v>38</v>
      </c>
      <c r="G1" s="64" t="s">
        <v>39</v>
      </c>
      <c r="H1" s="64" t="s">
        <v>40</v>
      </c>
      <c r="I1" s="64" t="s">
        <v>34</v>
      </c>
      <c r="J1" s="65" t="s">
        <v>41</v>
      </c>
    </row>
    <row r="2" spans="1:11" x14ac:dyDescent="0.25">
      <c r="A2" s="61">
        <v>0</v>
      </c>
      <c r="B2" s="61">
        <v>-3</v>
      </c>
      <c r="C2" s="61">
        <v>0</v>
      </c>
      <c r="D2" s="29">
        <f>(B2-$B$3)*(B2-$B$4)*(B2-$B$5)*(B2-$B$6)*(B2-$B$7)/(($B$2-$B$3)*($B$2-$B$4)*($B$2-$B$5)*($B$2-$B$6)*($B$2-$B$7))</f>
        <v>1</v>
      </c>
      <c r="E2" s="20">
        <f>(B2-$B$2)*(B2-$B$4)*(B2-$B$5)*(B2-$B$6)*(B2-$B$7)/(($B$3-$B$2)*($B$3-$B$4)*($B$3-$B$5)*($B$3-$B$6)*($B$3-$B$7))</f>
        <v>0</v>
      </c>
      <c r="F2" s="20">
        <f>(B2-$B$3)*(B2-$B$2)*(B2-$B$5)*(B2-$B$6)*(B2-$B$7)/(($B$4-$B$3)*($B$4-$B$2)*($B$4-$B$5)*($B$4-$B$6)*($B$4-$B$7))</f>
        <v>0</v>
      </c>
      <c r="G2" s="20">
        <f>(B2-$B$3)*(B2-$B$4)*(B2-$B$2)*(B2-$B$6)*(B2-$B$7)/(($B$5-$B$3)*($B$5-$B$4)*($B$5-$B$2)*($B$5-$B$6)*($B$5-$B$7))</f>
        <v>0</v>
      </c>
      <c r="H2" s="20">
        <f>(B2-$B$3)*(B2-$B$4)*(B2-$B$5)*(B2-$B$2)*(B2-$B$7)/(($B$6-$B$3)*($B$6-$B$4)*($B$6-$B$5)*($B$6-$B$2)*($B$6-$B$7))</f>
        <v>0</v>
      </c>
      <c r="I2" s="11">
        <f>(B2-$B$3)*(B2-$B$4)*(B2-$B$5)*(B2-$B$6)*(B2-$B$2)/(($B$7-$B$3)*($B$7-$B$4)*($B$7-$B$5)*($B$7-$B$6)*($B$7-$B$2))</f>
        <v>0</v>
      </c>
      <c r="J2" s="7">
        <f>$C$2*D2+$C$3*E2+$C$4*F2+$C$5*G2+$C$6*H2+$C$7*I2</f>
        <v>0</v>
      </c>
    </row>
    <row r="3" spans="1:11" x14ac:dyDescent="0.25">
      <c r="A3" s="62">
        <v>1</v>
      </c>
      <c r="B3" s="62">
        <v>-2</v>
      </c>
      <c r="C3" s="62">
        <v>2</v>
      </c>
      <c r="D3" s="26">
        <f t="shared" ref="D3:D7" si="0">(B3-$B$3)*(B3-$B$4)*(B3-$B$5)*(B3-$B$6)*(B3-$B$7)/(($B$2-$B$3)*($B$2-$B$4)*($B$2-$B$5)*($B$2-$B$6)*($B$2-$B$7))</f>
        <v>0</v>
      </c>
      <c r="E3" s="19">
        <f t="shared" ref="E3:E7" si="1">(B3-$B$2)*(B3-$B$4)*(B3-$B$5)*(B3-$B$6)*(B3-$B$7)/(($B$3-$B$2)*($B$3-$B$4)*($B$3-$B$5)*($B$3-$B$6)*($B$3-$B$7))</f>
        <v>1</v>
      </c>
      <c r="F3" s="19">
        <f t="shared" ref="F3:F7" si="2">(B3-$B$3)*(B3-$B$2)*(B3-$B$5)*(B3-$B$6)*(B3-$B$7)/(($B$4-$B$3)*($B$4-$B$2)*($B$4-$B$5)*($B$4-$B$6)*($B$4-$B$7))</f>
        <v>0</v>
      </c>
      <c r="G3" s="19">
        <f t="shared" ref="G3:G7" si="3">(B3-$B$3)*(B3-$B$4)*(B3-$B$2)*(B3-$B$6)*(B3-$B$7)/(($B$5-$B$3)*($B$5-$B$4)*($B$5-$B$2)*($B$5-$B$6)*($B$5-$B$7))</f>
        <v>0</v>
      </c>
      <c r="H3" s="19">
        <f t="shared" ref="H3:H7" si="4">(B3-$B$3)*(B3-$B$4)*(B3-$B$5)*(B3-$B$2)*(B3-$B$7)/(($B$6-$B$3)*($B$6-$B$4)*($B$6-$B$5)*($B$6-$B$2)*($B$6-$B$7))</f>
        <v>0</v>
      </c>
      <c r="I3" s="12">
        <f t="shared" ref="I3:I7" si="5">(B3-$B$3)*(B3-$B$4)*(B3-$B$5)*(B3-$B$6)*(B3-$B$2)/(($B$7-$B$3)*($B$7-$B$4)*($B$7-$B$5)*($B$7-$B$6)*($B$7-$B$2))</f>
        <v>0</v>
      </c>
      <c r="J3" s="8">
        <f t="shared" ref="J3:J7" si="6">$C$2*D3+$C$3*E3+$C$4*F3+$C$5*G3+$C$6*H3+$C$7*I3</f>
        <v>2</v>
      </c>
    </row>
    <row r="4" spans="1:11" x14ac:dyDescent="0.25">
      <c r="A4" s="62">
        <v>2</v>
      </c>
      <c r="B4" s="62">
        <v>-1</v>
      </c>
      <c r="C4" s="62">
        <v>-1</v>
      </c>
      <c r="D4" s="26">
        <f t="shared" si="0"/>
        <v>0</v>
      </c>
      <c r="E4" s="19">
        <f t="shared" si="1"/>
        <v>0</v>
      </c>
      <c r="F4" s="19">
        <f t="shared" si="2"/>
        <v>1</v>
      </c>
      <c r="G4" s="19">
        <f t="shared" si="3"/>
        <v>0</v>
      </c>
      <c r="H4" s="19">
        <f t="shared" si="4"/>
        <v>0</v>
      </c>
      <c r="I4" s="12">
        <f t="shared" si="5"/>
        <v>0</v>
      </c>
      <c r="J4" s="8">
        <f t="shared" si="6"/>
        <v>-1</v>
      </c>
    </row>
    <row r="5" spans="1:11" x14ac:dyDescent="0.25">
      <c r="A5" s="62">
        <v>3</v>
      </c>
      <c r="B5" s="62">
        <v>0</v>
      </c>
      <c r="C5" s="62">
        <v>-4</v>
      </c>
      <c r="D5" s="26">
        <f t="shared" si="0"/>
        <v>0</v>
      </c>
      <c r="E5" s="19">
        <f t="shared" si="1"/>
        <v>0</v>
      </c>
      <c r="F5" s="19">
        <f t="shared" si="2"/>
        <v>0</v>
      </c>
      <c r="G5" s="19">
        <f t="shared" si="3"/>
        <v>1</v>
      </c>
      <c r="H5" s="19">
        <f t="shared" si="4"/>
        <v>0</v>
      </c>
      <c r="I5" s="12">
        <f t="shared" si="5"/>
        <v>0</v>
      </c>
      <c r="J5" s="8">
        <f t="shared" si="6"/>
        <v>-4</v>
      </c>
    </row>
    <row r="6" spans="1:11" x14ac:dyDescent="0.25">
      <c r="A6" s="62">
        <v>4</v>
      </c>
      <c r="B6" s="62">
        <v>1</v>
      </c>
      <c r="C6" s="62">
        <v>3</v>
      </c>
      <c r="D6" s="26">
        <f t="shared" si="0"/>
        <v>0</v>
      </c>
      <c r="E6" s="19">
        <f t="shared" si="1"/>
        <v>0</v>
      </c>
      <c r="F6" s="19">
        <f t="shared" si="2"/>
        <v>0</v>
      </c>
      <c r="G6" s="19">
        <f t="shared" si="3"/>
        <v>0</v>
      </c>
      <c r="H6" s="19">
        <f t="shared" si="4"/>
        <v>1</v>
      </c>
      <c r="I6" s="12">
        <f t="shared" si="5"/>
        <v>0</v>
      </c>
      <c r="J6" s="8">
        <f t="shared" si="6"/>
        <v>3</v>
      </c>
    </row>
    <row r="7" spans="1:11" ht="15.75" thickBot="1" x14ac:dyDescent="0.3">
      <c r="A7" s="63">
        <v>5</v>
      </c>
      <c r="B7" s="9">
        <v>2</v>
      </c>
      <c r="C7" s="9">
        <v>7</v>
      </c>
      <c r="D7" s="27">
        <f t="shared" si="0"/>
        <v>0</v>
      </c>
      <c r="E7" s="21">
        <f t="shared" si="1"/>
        <v>0</v>
      </c>
      <c r="F7" s="21">
        <f t="shared" si="2"/>
        <v>0</v>
      </c>
      <c r="G7" s="21">
        <f t="shared" si="3"/>
        <v>0</v>
      </c>
      <c r="H7" s="21">
        <f t="shared" si="4"/>
        <v>0</v>
      </c>
      <c r="I7" s="13">
        <f t="shared" si="5"/>
        <v>1</v>
      </c>
      <c r="J7" s="9">
        <f t="shared" si="6"/>
        <v>7</v>
      </c>
    </row>
    <row r="9" spans="1:11" ht="15.75" thickBot="1" x14ac:dyDescent="0.3"/>
    <row r="10" spans="1:11" ht="15.75" thickBot="1" x14ac:dyDescent="0.3">
      <c r="A10" s="142" t="s">
        <v>26</v>
      </c>
      <c r="B10" s="143"/>
      <c r="C10" s="144"/>
      <c r="J10" s="65" t="s">
        <v>42</v>
      </c>
      <c r="K10" s="3" t="s">
        <v>12</v>
      </c>
    </row>
    <row r="11" spans="1:11" x14ac:dyDescent="0.25">
      <c r="A11" s="124">
        <v>-3</v>
      </c>
      <c r="B11" s="119"/>
      <c r="C11" s="120"/>
      <c r="D11" s="29">
        <f>(A11-$B$3)*(A11-$B$4)*(A11-$B$5)*(A11-$B$6)*(A11-$B$7)/(($B$2-$B$3)*($B$2-$B$4)*($B$2-$B$5)*($B$2-$B$6)*($B$2-$B$7))</f>
        <v>1</v>
      </c>
      <c r="E11" s="20">
        <f>(A11-$B$2)*(A11-$B$4)*(A11-$B$5)*(A11-$B$6)*(A11-$B$7)/(($B$3-$B$2)*($B$3-$B$4)*($B$3-$B$5)*($B$3-$B$6)*($B$3-$B$7))</f>
        <v>0</v>
      </c>
      <c r="F11" s="20">
        <f>(A11-$B$3)*(A11-$B$2)*(A11-$B$5)*(A11-$B$6)*(A11-$B$7)/(($B$4-$B$3)*($B$4-$B$2)*($B$4-$B$5)*($B$4-$B$6)*($B$4-$B$7))</f>
        <v>0</v>
      </c>
      <c r="G11" s="20">
        <f>(A11-$B$3)*(A11-$B$4)*(A11-$B$2)*(A11-$B$6)*(A11-$B$7)/(($B$5-$B$3)*($B$5-$B$4)*($B$5-$B$2)*($B$5-$B$6)*($B$5-$B$7))</f>
        <v>0</v>
      </c>
      <c r="H11" s="20">
        <f>(A11-$B$3)*(A11-$B$4)*(A11-$B$5)*(A11-$B$2)*(A11-$B$7)/(($B$6-$B$3)*($B$6-$B$4)*($B$6-$B$5)*($B$6-$B$2)*($B$6-$B$7))</f>
        <v>0</v>
      </c>
      <c r="I11" s="11">
        <f>(A11-$B$3)*(A11-$B$4)*(A11-$B$5)*(A11-$B$6)*(A11-$B$2)/(($B$7-$B$3)*($B$7-$B$4)*($B$7-$B$5)*($B$7-$B$6)*($B$7-$B$2))</f>
        <v>0</v>
      </c>
      <c r="J11" s="7">
        <f>$C$2*D11+$C$3*E11+$C$4*F11+$C$5*G11+$C$6*H11+$C$7*I11</f>
        <v>0</v>
      </c>
      <c r="K11" s="7">
        <f>lagrang(A11,$B$2:$B$7,$C$2:$C$7)</f>
        <v>0</v>
      </c>
    </row>
    <row r="12" spans="1:11" x14ac:dyDescent="0.25">
      <c r="A12" s="123">
        <v>-2.8</v>
      </c>
      <c r="B12" s="121"/>
      <c r="C12" s="122"/>
      <c r="D12" s="26">
        <f t="shared" ref="D12:D18" si="7">(A12-$B$3)*(A12-$B$4)*(A12-$B$5)*(A12-$B$6)*(A12-$B$7)/(($B$2-$B$3)*($B$2-$B$4)*($B$2-$B$5)*($B$2-$B$6)*($B$2-$B$7))</f>
        <v>0.61286399999999974</v>
      </c>
      <c r="E12" s="19">
        <f t="shared" ref="E12:E18" si="8">(A12-$B$2)*(A12-$B$4)*(A12-$B$5)*(A12-$B$6)*(A12-$B$7)/(($B$3-$B$2)*($B$3-$B$4)*($B$3-$B$5)*($B$3-$B$6)*($B$3-$B$7))</f>
        <v>0.76608000000000043</v>
      </c>
      <c r="F12" s="19">
        <f t="shared" ref="F12:F18" si="9">(A12-$B$3)*(A12-$B$2)*(A12-$B$5)*(A12-$B$6)*(A12-$B$7)/(($B$4-$B$3)*($B$4-$B$2)*($B$4-$B$5)*($B$4-$B$6)*($B$4-$B$7))</f>
        <v>-0.68096000000000034</v>
      </c>
      <c r="G12" s="19">
        <f t="shared" ref="G12:G18" si="10">(A12-$B$3)*(A12-$B$4)*(A12-$B$2)*(A12-$B$6)*(A12-$B$7)/(($B$5-$B$3)*($B$5-$B$4)*($B$5-$B$2)*($B$5-$B$6)*($B$5-$B$7))</f>
        <v>0.43776000000000015</v>
      </c>
      <c r="H12" s="19">
        <f t="shared" ref="H12:H18" si="11">(A12-$B$3)*(A12-$B$4)*(A12-$B$5)*(A12-$B$2)*(A12-$B$7)/(($B$6-$B$3)*($B$6-$B$4)*($B$6-$B$5)*($B$6-$B$2)*($B$6-$B$7))</f>
        <v>-0.16128000000000006</v>
      </c>
      <c r="I12" s="12">
        <f t="shared" ref="I12:I18" si="12">(A12-$B$3)*(A12-$B$4)*(A12-$B$5)*(A12-$B$6)*(A12-$B$2)/(($B$7-$B$3)*($B$7-$B$4)*($B$7-$B$5)*($B$7-$B$6)*($B$7-$B$2))</f>
        <v>2.553600000000001E-2</v>
      </c>
      <c r="J12" s="8">
        <f t="shared" ref="J12:J37" si="13">$C$2*D12+$C$3*E12+$C$4*F12+$C$5*G12+$C$6*H12+$C$7*I12</f>
        <v>0.15699200000000063</v>
      </c>
      <c r="K12" s="8">
        <f t="shared" ref="K12:K37" si="14">lagrang(A12,$B$2:$B$7,$C$2:$C$7)</f>
        <v>0.1569919999999998</v>
      </c>
    </row>
    <row r="13" spans="1:11" x14ac:dyDescent="0.25">
      <c r="A13" s="123">
        <v>-2.6</v>
      </c>
      <c r="B13" s="121"/>
      <c r="C13" s="122"/>
      <c r="D13" s="26">
        <f t="shared" si="7"/>
        <v>0.34444800000000003</v>
      </c>
      <c r="E13" s="19">
        <f t="shared" si="8"/>
        <v>1.1481599999999998</v>
      </c>
      <c r="F13" s="19">
        <f t="shared" si="9"/>
        <v>-0.86112</v>
      </c>
      <c r="G13" s="19">
        <f t="shared" si="10"/>
        <v>0.52992000000000006</v>
      </c>
      <c r="H13" s="19">
        <f t="shared" si="11"/>
        <v>-0.19135999999999997</v>
      </c>
      <c r="I13" s="12">
        <f t="shared" si="12"/>
        <v>2.9951999999999996E-2</v>
      </c>
      <c r="J13" s="8">
        <f t="shared" si="13"/>
        <v>0.67334399999999961</v>
      </c>
      <c r="K13" s="8">
        <f t="shared" si="14"/>
        <v>0.6733439999999995</v>
      </c>
    </row>
    <row r="14" spans="1:11" x14ac:dyDescent="0.25">
      <c r="A14" s="123">
        <v>-2.4</v>
      </c>
      <c r="B14" s="121"/>
      <c r="C14" s="122"/>
      <c r="D14" s="26">
        <f t="shared" si="7"/>
        <v>0.16755199999999998</v>
      </c>
      <c r="E14" s="19">
        <f t="shared" si="8"/>
        <v>1.2566400000000002</v>
      </c>
      <c r="F14" s="19">
        <f t="shared" si="9"/>
        <v>-0.71807999999999994</v>
      </c>
      <c r="G14" s="19">
        <f t="shared" si="10"/>
        <v>0.41887999999999997</v>
      </c>
      <c r="H14" s="19">
        <f t="shared" si="11"/>
        <v>-0.14784</v>
      </c>
      <c r="I14" s="12">
        <f t="shared" si="12"/>
        <v>2.2847999999999997E-2</v>
      </c>
      <c r="J14" s="8">
        <f t="shared" si="13"/>
        <v>1.2722560000000005</v>
      </c>
      <c r="K14" s="8">
        <f t="shared" si="14"/>
        <v>1.2722560000000005</v>
      </c>
    </row>
    <row r="15" spans="1:11" x14ac:dyDescent="0.25">
      <c r="A15" s="123">
        <v>-2.2000000000000002</v>
      </c>
      <c r="B15" s="121"/>
      <c r="C15" s="122"/>
      <c r="D15" s="26">
        <f t="shared" si="7"/>
        <v>5.913600000000007E-2</v>
      </c>
      <c r="E15" s="19">
        <f t="shared" si="8"/>
        <v>1.1827200000000002</v>
      </c>
      <c r="F15" s="19">
        <f t="shared" si="9"/>
        <v>-0.39424000000000037</v>
      </c>
      <c r="G15" s="19">
        <f t="shared" si="10"/>
        <v>0.2150400000000002</v>
      </c>
      <c r="H15" s="19">
        <f t="shared" si="11"/>
        <v>-7.3920000000000069E-2</v>
      </c>
      <c r="I15" s="12">
        <f t="shared" si="12"/>
        <v>1.1264000000000012E-2</v>
      </c>
      <c r="J15" s="8">
        <f t="shared" si="13"/>
        <v>1.7566079999999997</v>
      </c>
      <c r="K15" s="8">
        <f t="shared" si="14"/>
        <v>1.7566079999999997</v>
      </c>
    </row>
    <row r="16" spans="1:11" x14ac:dyDescent="0.25">
      <c r="A16" s="123">
        <v>-2</v>
      </c>
      <c r="B16" s="121"/>
      <c r="C16" s="122"/>
      <c r="D16" s="26">
        <f t="shared" si="7"/>
        <v>0</v>
      </c>
      <c r="E16" s="19">
        <f t="shared" si="8"/>
        <v>1</v>
      </c>
      <c r="F16" s="19">
        <f t="shared" si="9"/>
        <v>0</v>
      </c>
      <c r="G16" s="19">
        <f t="shared" si="10"/>
        <v>0</v>
      </c>
      <c r="H16" s="19">
        <f t="shared" si="11"/>
        <v>0</v>
      </c>
      <c r="I16" s="12">
        <f t="shared" si="12"/>
        <v>0</v>
      </c>
      <c r="J16" s="8">
        <f t="shared" si="13"/>
        <v>2</v>
      </c>
      <c r="K16" s="8">
        <f t="shared" si="14"/>
        <v>2</v>
      </c>
    </row>
    <row r="17" spans="1:11" x14ac:dyDescent="0.25">
      <c r="A17" s="123">
        <v>-1.8</v>
      </c>
      <c r="B17" s="121"/>
      <c r="C17" s="122"/>
      <c r="D17" s="26">
        <f t="shared" si="7"/>
        <v>-2.5535999999999996E-2</v>
      </c>
      <c r="E17" s="19">
        <f t="shared" si="8"/>
        <v>0.76607999999999998</v>
      </c>
      <c r="F17" s="19">
        <f t="shared" si="9"/>
        <v>0.38303999999999983</v>
      </c>
      <c r="G17" s="19">
        <f t="shared" si="10"/>
        <v>-0.17023999999999995</v>
      </c>
      <c r="H17" s="19">
        <f t="shared" si="11"/>
        <v>5.4719999999999991E-2</v>
      </c>
      <c r="I17" s="12">
        <f t="shared" si="12"/>
        <v>-8.0639999999999983E-3</v>
      </c>
      <c r="J17" s="8">
        <f t="shared" si="13"/>
        <v>1.937792</v>
      </c>
      <c r="K17" s="8">
        <f t="shared" si="14"/>
        <v>1.9377919999999995</v>
      </c>
    </row>
    <row r="18" spans="1:11" x14ac:dyDescent="0.25">
      <c r="A18" s="123">
        <v>-1.6</v>
      </c>
      <c r="B18" s="121"/>
      <c r="C18" s="122"/>
      <c r="D18" s="26">
        <f t="shared" si="7"/>
        <v>-2.9951999999999999E-2</v>
      </c>
      <c r="E18" s="19">
        <f t="shared" si="8"/>
        <v>0.52416000000000018</v>
      </c>
      <c r="F18" s="19">
        <f t="shared" si="9"/>
        <v>0.69887999999999995</v>
      </c>
      <c r="G18" s="19">
        <f t="shared" si="10"/>
        <v>-0.26207999999999998</v>
      </c>
      <c r="H18" s="19">
        <f t="shared" si="11"/>
        <v>8.0640000000000003E-2</v>
      </c>
      <c r="I18" s="12">
        <f t="shared" si="12"/>
        <v>-1.1648E-2</v>
      </c>
      <c r="J18" s="8">
        <f t="shared" si="13"/>
        <v>1.5581440000000002</v>
      </c>
      <c r="K18" s="8">
        <f t="shared" si="14"/>
        <v>1.5581440000000002</v>
      </c>
    </row>
    <row r="19" spans="1:11" x14ac:dyDescent="0.25">
      <c r="A19" s="123">
        <v>-1.4</v>
      </c>
      <c r="B19" s="121"/>
      <c r="C19" s="122"/>
      <c r="D19" s="26">
        <f t="shared" ref="D19:D28" si="15">(A19-$B$3)*(A19-$B$4)*(A19-$B$5)*(A19-$B$6)*(A19-$B$7)/(($B$2-$B$3)*($B$2-$B$4)*($B$2-$B$5)*($B$2-$B$6)*($B$2-$B$7))</f>
        <v>-2.2847999999999997E-2</v>
      </c>
      <c r="E19" s="19">
        <f t="shared" ref="E19:E28" si="16">(A19-$B$2)*(A19-$B$4)*(A19-$B$5)*(A19-$B$6)*(A19-$B$7)/(($B$3-$B$2)*($B$3-$B$4)*($B$3-$B$5)*($B$3-$B$6)*($B$3-$B$7))</f>
        <v>0.30463999999999991</v>
      </c>
      <c r="F19" s="19">
        <f t="shared" ref="F19:F28" si="17">(A19-$B$3)*(A19-$B$2)*(A19-$B$5)*(A19-$B$6)*(A19-$B$7)/(($B$4-$B$3)*($B$4-$B$2)*($B$4-$B$5)*($B$4-$B$6)*($B$4-$B$7))</f>
        <v>0.91391999999999995</v>
      </c>
      <c r="G19" s="19">
        <f t="shared" ref="G19:G28" si="18">(A19-$B$3)*(A19-$B$4)*(A19-$B$2)*(A19-$B$6)*(A19-$B$7)/(($B$5-$B$3)*($B$5-$B$4)*($B$5-$B$2)*($B$5-$B$6)*($B$5-$B$7))</f>
        <v>-0.26111999999999996</v>
      </c>
      <c r="H19" s="19">
        <f t="shared" ref="H19:H28" si="19">(A19-$B$3)*(A19-$B$4)*(A19-$B$5)*(A19-$B$2)*(A19-$B$7)/(($B$6-$B$3)*($B$6-$B$4)*($B$6-$B$5)*($B$6-$B$2)*($B$6-$B$7))</f>
        <v>7.6159999999999992E-2</v>
      </c>
      <c r="I19" s="12">
        <f t="shared" ref="I19:I28" si="20">(A19-$B$3)*(A19-$B$4)*(A19-$B$5)*(A19-$B$6)*(A19-$B$2)/(($B$7-$B$3)*($B$7-$B$4)*($B$7-$B$5)*($B$7-$B$6)*($B$7-$B$2))</f>
        <v>-1.0751999999999999E-2</v>
      </c>
      <c r="J19" s="8">
        <f t="shared" si="13"/>
        <v>0.89305599999999963</v>
      </c>
      <c r="K19" s="8">
        <f t="shared" si="14"/>
        <v>0.89305599999999963</v>
      </c>
    </row>
    <row r="20" spans="1:11" x14ac:dyDescent="0.25">
      <c r="A20" s="123">
        <v>-1.2</v>
      </c>
      <c r="B20" s="121"/>
      <c r="C20" s="122"/>
      <c r="D20" s="26">
        <f t="shared" si="15"/>
        <v>-1.1264E-2</v>
      </c>
      <c r="E20" s="19">
        <f t="shared" si="16"/>
        <v>0.12671999999999997</v>
      </c>
      <c r="F20" s="19">
        <f t="shared" si="17"/>
        <v>1.0137600000000002</v>
      </c>
      <c r="G20" s="19">
        <f t="shared" si="18"/>
        <v>-0.16896000000000003</v>
      </c>
      <c r="H20" s="19">
        <f t="shared" si="19"/>
        <v>4.6080000000000003E-2</v>
      </c>
      <c r="I20" s="12">
        <f t="shared" si="20"/>
        <v>-6.3359999999999996E-3</v>
      </c>
      <c r="J20" s="8">
        <f t="shared" si="13"/>
        <v>9.4079999999997846E-3</v>
      </c>
      <c r="K20" s="8">
        <f t="shared" si="14"/>
        <v>9.4079999999996528E-3</v>
      </c>
    </row>
    <row r="21" spans="1:11" x14ac:dyDescent="0.25">
      <c r="A21" s="123">
        <v>-1</v>
      </c>
      <c r="B21" s="121"/>
      <c r="C21" s="122"/>
      <c r="D21" s="26">
        <f t="shared" si="15"/>
        <v>0</v>
      </c>
      <c r="E21" s="19">
        <f t="shared" si="16"/>
        <v>0</v>
      </c>
      <c r="F21" s="19">
        <f t="shared" si="17"/>
        <v>1</v>
      </c>
      <c r="G21" s="19">
        <f t="shared" si="18"/>
        <v>0</v>
      </c>
      <c r="H21" s="19">
        <f t="shared" si="19"/>
        <v>0</v>
      </c>
      <c r="I21" s="12">
        <f t="shared" si="20"/>
        <v>0</v>
      </c>
      <c r="J21" s="8">
        <f t="shared" si="13"/>
        <v>-1</v>
      </c>
      <c r="K21" s="8">
        <f t="shared" si="14"/>
        <v>-1</v>
      </c>
    </row>
    <row r="22" spans="1:11" x14ac:dyDescent="0.25">
      <c r="A22" s="123">
        <v>-0.8</v>
      </c>
      <c r="B22" s="121"/>
      <c r="C22" s="122"/>
      <c r="D22" s="26">
        <f t="shared" si="15"/>
        <v>8.0639999999999965E-3</v>
      </c>
      <c r="E22" s="19">
        <f t="shared" si="16"/>
        <v>-7.3919999999999986E-2</v>
      </c>
      <c r="F22" s="19">
        <f t="shared" si="17"/>
        <v>0.88703999999999994</v>
      </c>
      <c r="G22" s="19">
        <f t="shared" si="18"/>
        <v>0.22175999999999996</v>
      </c>
      <c r="H22" s="19">
        <f t="shared" si="19"/>
        <v>-4.927999999999999E-2</v>
      </c>
      <c r="I22" s="12">
        <f t="shared" si="20"/>
        <v>6.3359999999999988E-3</v>
      </c>
      <c r="J22" s="8">
        <f t="shared" si="13"/>
        <v>-2.0254079999999997</v>
      </c>
      <c r="K22" s="8">
        <f t="shared" si="14"/>
        <v>-2.0254080000000001</v>
      </c>
    </row>
    <row r="23" spans="1:11" x14ac:dyDescent="0.25">
      <c r="A23" s="123">
        <v>-0.6</v>
      </c>
      <c r="B23" s="121"/>
      <c r="C23" s="122"/>
      <c r="D23" s="26">
        <f t="shared" si="15"/>
        <v>1.1647999999999999E-2</v>
      </c>
      <c r="E23" s="19">
        <f t="shared" si="16"/>
        <v>-9.9839999999999998E-2</v>
      </c>
      <c r="F23" s="19">
        <f t="shared" si="17"/>
        <v>0.69888000000000006</v>
      </c>
      <c r="G23" s="19">
        <f t="shared" si="18"/>
        <v>0.46591999999999995</v>
      </c>
      <c r="H23" s="19">
        <f t="shared" si="19"/>
        <v>-8.7359999999999993E-2</v>
      </c>
      <c r="I23" s="12">
        <f t="shared" si="20"/>
        <v>1.0751999999999999E-2</v>
      </c>
      <c r="J23" s="8">
        <f t="shared" si="13"/>
        <v>-2.9490559999999997</v>
      </c>
      <c r="K23" s="8">
        <f t="shared" si="14"/>
        <v>-2.9490560000000001</v>
      </c>
    </row>
    <row r="24" spans="1:11" x14ac:dyDescent="0.25">
      <c r="A24" s="123">
        <v>-0.4</v>
      </c>
      <c r="B24" s="121"/>
      <c r="C24" s="122"/>
      <c r="D24" s="26">
        <f t="shared" si="15"/>
        <v>1.0751999999999999E-2</v>
      </c>
      <c r="E24" s="19">
        <f t="shared" si="16"/>
        <v>-8.7360000000000007E-2</v>
      </c>
      <c r="F24" s="19">
        <f t="shared" si="17"/>
        <v>0.46592000000000006</v>
      </c>
      <c r="G24" s="19">
        <f t="shared" si="18"/>
        <v>0.69887999999999995</v>
      </c>
      <c r="H24" s="19">
        <f t="shared" si="19"/>
        <v>-9.9839999999999998E-2</v>
      </c>
      <c r="I24" s="12">
        <f t="shared" si="20"/>
        <v>1.1647999999999999E-2</v>
      </c>
      <c r="J24" s="8">
        <f t="shared" si="13"/>
        <v>-3.6541440000000005</v>
      </c>
      <c r="K24" s="8">
        <f t="shared" si="14"/>
        <v>-3.6541440000000005</v>
      </c>
    </row>
    <row r="25" spans="1:11" x14ac:dyDescent="0.25">
      <c r="A25" s="123">
        <v>-0.2</v>
      </c>
      <c r="B25" s="121"/>
      <c r="C25" s="122"/>
      <c r="D25" s="26">
        <f t="shared" si="15"/>
        <v>6.3360000000000005E-3</v>
      </c>
      <c r="E25" s="19">
        <f t="shared" si="16"/>
        <v>-4.9279999999999997E-2</v>
      </c>
      <c r="F25" s="19">
        <f t="shared" si="17"/>
        <v>0.22176000000000004</v>
      </c>
      <c r="G25" s="19">
        <f t="shared" si="18"/>
        <v>0.88704000000000016</v>
      </c>
      <c r="H25" s="19">
        <f t="shared" si="19"/>
        <v>-7.392E-2</v>
      </c>
      <c r="I25" s="12">
        <f t="shared" si="20"/>
        <v>8.064E-3</v>
      </c>
      <c r="J25" s="8">
        <f t="shared" si="13"/>
        <v>-4.0337920000000009</v>
      </c>
      <c r="K25" s="8">
        <f t="shared" si="14"/>
        <v>-4.033792</v>
      </c>
    </row>
    <row r="26" spans="1:11" x14ac:dyDescent="0.25">
      <c r="A26" s="123">
        <v>0</v>
      </c>
      <c r="B26" s="121"/>
      <c r="C26" s="122"/>
      <c r="D26" s="26">
        <f t="shared" si="15"/>
        <v>0</v>
      </c>
      <c r="E26" s="19">
        <f t="shared" si="16"/>
        <v>0</v>
      </c>
      <c r="F26" s="19">
        <f t="shared" si="17"/>
        <v>0</v>
      </c>
      <c r="G26" s="19">
        <f t="shared" si="18"/>
        <v>1</v>
      </c>
      <c r="H26" s="19">
        <f t="shared" si="19"/>
        <v>0</v>
      </c>
      <c r="I26" s="12">
        <f t="shared" si="20"/>
        <v>0</v>
      </c>
      <c r="J26" s="8">
        <f t="shared" si="13"/>
        <v>-4</v>
      </c>
      <c r="K26" s="8">
        <f t="shared" si="14"/>
        <v>-4</v>
      </c>
    </row>
    <row r="27" spans="1:11" x14ac:dyDescent="0.25">
      <c r="A27" s="123">
        <v>0.2</v>
      </c>
      <c r="B27" s="121"/>
      <c r="C27" s="122"/>
      <c r="D27" s="26">
        <f t="shared" si="15"/>
        <v>-6.3360000000000005E-3</v>
      </c>
      <c r="E27" s="19">
        <f t="shared" si="16"/>
        <v>4.608000000000001E-2</v>
      </c>
      <c r="F27" s="19">
        <f t="shared" si="17"/>
        <v>-0.16896000000000003</v>
      </c>
      <c r="G27" s="19">
        <f t="shared" si="18"/>
        <v>1.0137600000000002</v>
      </c>
      <c r="H27" s="19">
        <f t="shared" si="19"/>
        <v>0.12672000000000003</v>
      </c>
      <c r="I27" s="12">
        <f t="shared" si="20"/>
        <v>-1.1264000000000001E-2</v>
      </c>
      <c r="J27" s="8">
        <f t="shared" si="13"/>
        <v>-3.4926080000000006</v>
      </c>
      <c r="K27" s="8">
        <f t="shared" si="14"/>
        <v>-3.4926079999999997</v>
      </c>
    </row>
    <row r="28" spans="1:11" x14ac:dyDescent="0.25">
      <c r="A28" s="123">
        <v>0.4</v>
      </c>
      <c r="B28" s="121"/>
      <c r="C28" s="122"/>
      <c r="D28" s="26">
        <f t="shared" si="15"/>
        <v>-1.0752000000000001E-2</v>
      </c>
      <c r="E28" s="19">
        <f t="shared" si="16"/>
        <v>7.6159999999999992E-2</v>
      </c>
      <c r="F28" s="19">
        <f t="shared" si="17"/>
        <v>-0.26112000000000002</v>
      </c>
      <c r="G28" s="19">
        <f t="shared" si="18"/>
        <v>0.91391999999999995</v>
      </c>
      <c r="H28" s="19">
        <f t="shared" si="19"/>
        <v>0.30464000000000002</v>
      </c>
      <c r="I28" s="12">
        <f t="shared" si="20"/>
        <v>-2.2847999999999997E-2</v>
      </c>
      <c r="J28" s="8">
        <f t="shared" si="13"/>
        <v>-2.4882559999999998</v>
      </c>
      <c r="K28" s="8">
        <f t="shared" si="14"/>
        <v>-2.4882560000000002</v>
      </c>
    </row>
    <row r="29" spans="1:11" x14ac:dyDescent="0.25">
      <c r="A29" s="123">
        <v>0.6</v>
      </c>
      <c r="B29" s="121"/>
      <c r="C29" s="122"/>
      <c r="D29" s="26">
        <f>(A29-$B$3)*(A29-$B$4)*(A29-$B$5)*(A29-$B$6)*(A29-$B$7)/(($B$2-$B$3)*($B$2-$B$4)*($B$2-$B$5)*($B$2-$B$6)*($B$2-$B$7))</f>
        <v>-1.1648E-2</v>
      </c>
      <c r="E29" s="19">
        <f>(A29-$B$2)*(A29-$B$4)*(A29-$B$5)*(A29-$B$6)*(A29-$B$7)/(($B$3-$B$2)*($B$3-$B$4)*($B$3-$B$5)*($B$3-$B$6)*($B$3-$B$7))</f>
        <v>8.0640000000000003E-2</v>
      </c>
      <c r="F29" s="19">
        <f>(A29-$B$3)*(A29-$B$2)*(A29-$B$5)*(A29-$B$6)*(A29-$B$7)/(($B$4-$B$3)*($B$4-$B$2)*($B$4-$B$5)*($B$4-$B$6)*($B$4-$B$7))</f>
        <v>-0.26208000000000004</v>
      </c>
      <c r="G29" s="19">
        <f>(A29-$B$3)*(A29-$B$4)*(A29-$B$2)*(A29-$B$6)*(A29-$B$7)/(($B$5-$B$3)*($B$5-$B$4)*($B$5-$B$2)*($B$5-$B$6)*($B$5-$B$7))</f>
        <v>0.69888000000000006</v>
      </c>
      <c r="H29" s="19">
        <f>(A29-$B$3)*(A29-$B$4)*(A29-$B$5)*(A29-$B$2)*(A29-$B$7)/(($B$6-$B$3)*($B$6-$B$4)*($B$6-$B$5)*($B$6-$B$2)*($B$6-$B$7))</f>
        <v>0.52415999999999996</v>
      </c>
      <c r="I29" s="12">
        <f>(A29-$B$3)*(A29-$B$4)*(A29-$B$5)*(A29-$B$6)*(A29-$B$2)/(($B$7-$B$3)*($B$7-$B$4)*($B$7-$B$5)*($B$7-$B$6)*($B$7-$B$2))</f>
        <v>-2.9951999999999999E-2</v>
      </c>
      <c r="J29" s="8">
        <f t="shared" si="13"/>
        <v>-1.0093440000000002</v>
      </c>
      <c r="K29" s="8">
        <f t="shared" si="14"/>
        <v>-1.009344</v>
      </c>
    </row>
    <row r="30" spans="1:11" x14ac:dyDescent="0.25">
      <c r="A30" s="123">
        <v>0.8</v>
      </c>
      <c r="B30" s="121"/>
      <c r="C30" s="122"/>
      <c r="D30" s="26">
        <f t="shared" ref="D30:D37" si="21">(A30-$B$3)*(A30-$B$4)*(A30-$B$5)*(A30-$B$6)*(A30-$B$7)/(($B$2-$B$3)*($B$2-$B$4)*($B$2-$B$5)*($B$2-$B$6)*($B$2-$B$7))</f>
        <v>-8.0639999999999965E-3</v>
      </c>
      <c r="E30" s="19">
        <f t="shared" ref="E30:E37" si="22">(A30-$B$2)*(A30-$B$4)*(A30-$B$5)*(A30-$B$6)*(A30-$B$7)/(($B$3-$B$2)*($B$3-$B$4)*($B$3-$B$5)*($B$3-$B$6)*($B$3-$B$7))</f>
        <v>5.4719999999999991E-2</v>
      </c>
      <c r="F30" s="19">
        <f t="shared" ref="F30:F37" si="23">(A30-$B$3)*(A30-$B$2)*(A30-$B$5)*(A30-$B$6)*(A30-$B$7)/(($B$4-$B$3)*($B$4-$B$2)*($B$4-$B$5)*($B$4-$B$6)*($B$4-$B$7))</f>
        <v>-0.17023999999999992</v>
      </c>
      <c r="G30" s="19">
        <f t="shared" ref="G30:G37" si="24">(A30-$B$3)*(A30-$B$4)*(A30-$B$2)*(A30-$B$6)*(A30-$B$7)/(($B$5-$B$3)*($B$5-$B$4)*($B$5-$B$2)*($B$5-$B$6)*($B$5-$B$7))</f>
        <v>0.38303999999999983</v>
      </c>
      <c r="H30" s="19">
        <f t="shared" ref="H30:H37" si="25">(A30-$B$3)*(A30-$B$4)*(A30-$B$5)*(A30-$B$2)*(A30-$B$7)/(($B$6-$B$3)*($B$6-$B$4)*($B$6-$B$5)*($B$6-$B$2)*($B$6-$B$7))</f>
        <v>0.76607999999999998</v>
      </c>
      <c r="I30" s="12">
        <f t="shared" ref="I30:I37" si="26">(A30-$B$3)*(A30-$B$4)*(A30-$B$5)*(A30-$B$6)*(A30-$B$2)/(($B$7-$B$3)*($B$7-$B$4)*($B$7-$B$5)*($B$7-$B$6)*($B$7-$B$2))</f>
        <v>-2.5535999999999993E-2</v>
      </c>
      <c r="J30" s="8">
        <f t="shared" si="13"/>
        <v>0.86700800000000056</v>
      </c>
      <c r="K30" s="8">
        <f t="shared" si="14"/>
        <v>0.86700800000000056</v>
      </c>
    </row>
    <row r="31" spans="1:11" x14ac:dyDescent="0.25">
      <c r="A31" s="123">
        <v>1</v>
      </c>
      <c r="B31" s="121"/>
      <c r="C31" s="122"/>
      <c r="D31" s="26">
        <f t="shared" si="21"/>
        <v>0</v>
      </c>
      <c r="E31" s="19">
        <f t="shared" si="22"/>
        <v>0</v>
      </c>
      <c r="F31" s="19">
        <f t="shared" si="23"/>
        <v>0</v>
      </c>
      <c r="G31" s="19">
        <f t="shared" si="24"/>
        <v>0</v>
      </c>
      <c r="H31" s="19">
        <f t="shared" si="25"/>
        <v>1</v>
      </c>
      <c r="I31" s="12">
        <f t="shared" si="26"/>
        <v>0</v>
      </c>
      <c r="J31" s="8">
        <f t="shared" si="13"/>
        <v>3</v>
      </c>
      <c r="K31" s="8">
        <f t="shared" si="14"/>
        <v>3</v>
      </c>
    </row>
    <row r="32" spans="1:11" x14ac:dyDescent="0.25">
      <c r="A32" s="123">
        <v>1.2</v>
      </c>
      <c r="B32" s="121"/>
      <c r="C32" s="122"/>
      <c r="D32" s="26">
        <f t="shared" si="21"/>
        <v>1.1264E-2</v>
      </c>
      <c r="E32" s="19">
        <f t="shared" si="22"/>
        <v>-7.392E-2</v>
      </c>
      <c r="F32" s="19">
        <f t="shared" si="23"/>
        <v>0.21503999999999998</v>
      </c>
      <c r="G32" s="19">
        <f t="shared" si="24"/>
        <v>-0.39423999999999998</v>
      </c>
      <c r="H32" s="19">
        <f t="shared" si="25"/>
        <v>1.18272</v>
      </c>
      <c r="I32" s="12">
        <f t="shared" si="26"/>
        <v>5.9135999999999994E-2</v>
      </c>
      <c r="J32" s="8">
        <f t="shared" si="13"/>
        <v>5.1761920000000003</v>
      </c>
      <c r="K32" s="8">
        <f t="shared" si="14"/>
        <v>5.1761919999999986</v>
      </c>
    </row>
    <row r="33" spans="1:11" x14ac:dyDescent="0.25">
      <c r="A33" s="123">
        <v>1.4</v>
      </c>
      <c r="B33" s="121"/>
      <c r="C33" s="122"/>
      <c r="D33" s="26">
        <f t="shared" si="21"/>
        <v>2.2847999999999997E-2</v>
      </c>
      <c r="E33" s="19">
        <f t="shared" si="22"/>
        <v>-0.14783999999999997</v>
      </c>
      <c r="F33" s="19">
        <f t="shared" si="23"/>
        <v>0.41887999999999992</v>
      </c>
      <c r="G33" s="19">
        <f t="shared" si="24"/>
        <v>-0.71808000000000005</v>
      </c>
      <c r="H33" s="19">
        <f t="shared" si="25"/>
        <v>1.2566400000000002</v>
      </c>
      <c r="I33" s="12">
        <f t="shared" si="26"/>
        <v>0.16755199999999998</v>
      </c>
      <c r="J33" s="8">
        <f t="shared" si="13"/>
        <v>7.1005440000000011</v>
      </c>
      <c r="K33" s="8">
        <f t="shared" si="14"/>
        <v>7.1005440000000011</v>
      </c>
    </row>
    <row r="34" spans="1:11" x14ac:dyDescent="0.25">
      <c r="A34" s="123">
        <v>1.6</v>
      </c>
      <c r="B34" s="121"/>
      <c r="C34" s="122"/>
      <c r="D34" s="26">
        <f t="shared" si="21"/>
        <v>2.9952000000000003E-2</v>
      </c>
      <c r="E34" s="19">
        <f t="shared" si="22"/>
        <v>-0.19135999999999997</v>
      </c>
      <c r="F34" s="19">
        <f t="shared" si="23"/>
        <v>0.52991999999999995</v>
      </c>
      <c r="G34" s="19">
        <f t="shared" si="24"/>
        <v>-0.86112000000000011</v>
      </c>
      <c r="H34" s="19">
        <f t="shared" si="25"/>
        <v>1.1481599999999996</v>
      </c>
      <c r="I34" s="12">
        <f t="shared" si="26"/>
        <v>0.34444800000000009</v>
      </c>
      <c r="J34" s="8">
        <f t="shared" si="13"/>
        <v>8.3874560000000002</v>
      </c>
      <c r="K34" s="8">
        <f t="shared" si="14"/>
        <v>8.3874559999999985</v>
      </c>
    </row>
    <row r="35" spans="1:11" x14ac:dyDescent="0.25">
      <c r="A35" s="123">
        <v>1.8</v>
      </c>
      <c r="B35" s="121"/>
      <c r="C35" s="122"/>
      <c r="D35" s="26">
        <f t="shared" si="21"/>
        <v>2.5535999999999993E-2</v>
      </c>
      <c r="E35" s="19">
        <f t="shared" si="22"/>
        <v>-0.16127999999999995</v>
      </c>
      <c r="F35" s="19">
        <f t="shared" si="23"/>
        <v>0.43775999999999993</v>
      </c>
      <c r="G35" s="19">
        <f t="shared" si="24"/>
        <v>-0.68095999999999979</v>
      </c>
      <c r="H35" s="19">
        <f t="shared" si="25"/>
        <v>0.76607999999999965</v>
      </c>
      <c r="I35" s="12">
        <f t="shared" si="26"/>
        <v>0.61286399999999996</v>
      </c>
      <c r="J35" s="8">
        <f t="shared" si="13"/>
        <v>8.5518079999999976</v>
      </c>
      <c r="K35" s="8">
        <f t="shared" si="14"/>
        <v>8.5518079999999976</v>
      </c>
    </row>
    <row r="36" spans="1:11" ht="15.75" thickBot="1" x14ac:dyDescent="0.3">
      <c r="A36" s="125">
        <v>2</v>
      </c>
      <c r="B36" s="126"/>
      <c r="C36" s="128"/>
      <c r="D36" s="26">
        <f t="shared" si="21"/>
        <v>0</v>
      </c>
      <c r="E36" s="19">
        <f t="shared" si="22"/>
        <v>0</v>
      </c>
      <c r="F36" s="19">
        <f t="shared" si="23"/>
        <v>0</v>
      </c>
      <c r="G36" s="19">
        <f t="shared" si="24"/>
        <v>0</v>
      </c>
      <c r="H36" s="19">
        <f t="shared" si="25"/>
        <v>0</v>
      </c>
      <c r="I36" s="12">
        <f t="shared" si="26"/>
        <v>1</v>
      </c>
      <c r="J36" s="9">
        <f t="shared" si="13"/>
        <v>7</v>
      </c>
      <c r="K36" s="8">
        <f t="shared" si="14"/>
        <v>7</v>
      </c>
    </row>
    <row r="37" spans="1:11" ht="15.75" thickBot="1" x14ac:dyDescent="0.3">
      <c r="A37" s="140">
        <v>-2.5</v>
      </c>
      <c r="B37" s="145"/>
      <c r="C37" s="141"/>
      <c r="D37" s="66">
        <f t="shared" si="21"/>
        <v>0.24609375</v>
      </c>
      <c r="E37" s="67">
        <f t="shared" si="22"/>
        <v>1.23046875</v>
      </c>
      <c r="F37" s="67">
        <f t="shared" si="23"/>
        <v>-0.8203125</v>
      </c>
      <c r="G37" s="67">
        <f t="shared" si="24"/>
        <v>0.4921875</v>
      </c>
      <c r="H37" s="67">
        <f t="shared" si="25"/>
        <v>-0.17578125</v>
      </c>
      <c r="I37" s="68">
        <f t="shared" si="26"/>
        <v>2.734375E-2</v>
      </c>
      <c r="J37" s="69">
        <f t="shared" si="13"/>
        <v>0.9765625</v>
      </c>
      <c r="K37" s="69">
        <f t="shared" si="14"/>
        <v>0.9765625</v>
      </c>
    </row>
  </sheetData>
  <mergeCells count="28">
    <mergeCell ref="A37:C37"/>
    <mergeCell ref="A36:C36"/>
    <mergeCell ref="A29:C29"/>
    <mergeCell ref="A28:C28"/>
    <mergeCell ref="A27:C27"/>
    <mergeCell ref="A30:C30"/>
    <mergeCell ref="A35:C35"/>
    <mergeCell ref="A34:C34"/>
    <mergeCell ref="A33:C33"/>
    <mergeCell ref="A32:C32"/>
    <mergeCell ref="A31:C31"/>
    <mergeCell ref="A26:C26"/>
    <mergeCell ref="A25:C25"/>
    <mergeCell ref="A16:C16"/>
    <mergeCell ref="A17:C17"/>
    <mergeCell ref="A18:C18"/>
    <mergeCell ref="A19:C19"/>
    <mergeCell ref="A20:C20"/>
    <mergeCell ref="A21:C21"/>
    <mergeCell ref="A22:C22"/>
    <mergeCell ref="A23:C23"/>
    <mergeCell ref="A24:C24"/>
    <mergeCell ref="A15:C15"/>
    <mergeCell ref="A10:C10"/>
    <mergeCell ref="A11:C11"/>
    <mergeCell ref="A12:C12"/>
    <mergeCell ref="A13:C13"/>
    <mergeCell ref="A14:C1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R38"/>
  <sheetViews>
    <sheetView workbookViewId="0">
      <selection activeCell="T13" sqref="T13"/>
    </sheetView>
  </sheetViews>
  <sheetFormatPr defaultRowHeight="15" x14ac:dyDescent="0.25"/>
  <sheetData>
    <row r="1" spans="1:18" ht="15.75" thickBot="1" x14ac:dyDescent="0.3">
      <c r="A1" s="3" t="s">
        <v>31</v>
      </c>
      <c r="B1" s="60" t="s">
        <v>21</v>
      </c>
      <c r="C1" s="3" t="s">
        <v>22</v>
      </c>
      <c r="D1" s="74" t="s">
        <v>43</v>
      </c>
      <c r="E1" s="75" t="s">
        <v>44</v>
      </c>
      <c r="F1" s="75" t="s">
        <v>45</v>
      </c>
      <c r="G1" s="75" t="s">
        <v>46</v>
      </c>
      <c r="H1" s="70" t="s">
        <v>47</v>
      </c>
      <c r="I1" s="79" t="s">
        <v>54</v>
      </c>
      <c r="J1" s="76" t="s">
        <v>48</v>
      </c>
      <c r="K1" s="77" t="s">
        <v>49</v>
      </c>
      <c r="L1" s="78" t="s">
        <v>50</v>
      </c>
      <c r="M1" s="77" t="s">
        <v>51</v>
      </c>
      <c r="N1" s="78" t="s">
        <v>52</v>
      </c>
      <c r="O1" s="77" t="s">
        <v>53</v>
      </c>
      <c r="Q1" s="146" t="s">
        <v>3</v>
      </c>
      <c r="R1" s="146">
        <v>1</v>
      </c>
    </row>
    <row r="2" spans="1:18" x14ac:dyDescent="0.25">
      <c r="A2" s="61">
        <v>0</v>
      </c>
      <c r="B2" s="61">
        <v>-3</v>
      </c>
      <c r="C2" s="61">
        <v>0</v>
      </c>
      <c r="D2">
        <f>C3-C2</f>
        <v>2</v>
      </c>
      <c r="E2">
        <f>D3-D2</f>
        <v>-5</v>
      </c>
      <c r="F2">
        <f>E3-E2</f>
        <v>5</v>
      </c>
      <c r="G2">
        <f>F3-F2</f>
        <v>5</v>
      </c>
      <c r="H2" s="71">
        <f>G3-G2</f>
        <v>-28</v>
      </c>
      <c r="I2" s="61">
        <f>$J$2+$K$2*(B2-$B$2)+$L$2*(B2-$B$2)*(B2-$B$3)+$M$2*(B2-$B$2)*(B2-$B$3)*(B2-$B$4)+$N$2*(B2-$B$2)*(B2-$B$3)*(B2-$B$4)*(B2-$B$5)+$O$2*(B2-$B$2)*(B2-$B$3)*(B2-$B$4)*(B2-$B$5)*(B2-$B$6)</f>
        <v>0</v>
      </c>
      <c r="J2">
        <f>C2</f>
        <v>0</v>
      </c>
      <c r="K2">
        <f>D2/R1</f>
        <v>2</v>
      </c>
      <c r="L2">
        <f>E2/(2*R1^2)</f>
        <v>-2.5</v>
      </c>
      <c r="M2">
        <f>F2/(6*R1^3)</f>
        <v>0.83333333333333337</v>
      </c>
      <c r="N2">
        <f>G2/(24*R1^4)</f>
        <v>0.20833333333333334</v>
      </c>
      <c r="O2">
        <f>H2/(120*R1^5)</f>
        <v>-0.23333333333333334</v>
      </c>
      <c r="Q2" s="146"/>
      <c r="R2" s="146"/>
    </row>
    <row r="3" spans="1:18" x14ac:dyDescent="0.25">
      <c r="A3" s="62">
        <v>1</v>
      </c>
      <c r="B3" s="62">
        <v>-2</v>
      </c>
      <c r="C3" s="62">
        <v>2</v>
      </c>
      <c r="D3">
        <f>C4-C3</f>
        <v>-3</v>
      </c>
      <c r="E3">
        <f t="shared" ref="E3:F5" si="0">D4-D3</f>
        <v>0</v>
      </c>
      <c r="F3">
        <f t="shared" si="0"/>
        <v>10</v>
      </c>
      <c r="G3" s="72">
        <f>F4-F3</f>
        <v>-23</v>
      </c>
      <c r="I3" s="62">
        <f t="shared" ref="I3:I7" si="1">$J$2+$K$2*(B3-$B$2)+$L$2*(B3-$B$2)*(B3-$B$3)+$M$2*(B3-$B$2)*(B3-$B$3)*(B3-$B$4)+$N$2*(B3-$B$2)*(B3-$B$3)*(B3-$B$4)*(B3-$B$5)+$O$2*(B3-$B$2)*(B3-$B$3)*(B3-$B$4)*(B3-$B$5)*(B3-$B$6)</f>
        <v>2</v>
      </c>
    </row>
    <row r="4" spans="1:18" x14ac:dyDescent="0.25">
      <c r="A4" s="62">
        <v>2</v>
      </c>
      <c r="B4" s="62">
        <v>-1</v>
      </c>
      <c r="C4" s="62">
        <v>-1</v>
      </c>
      <c r="D4">
        <f t="shared" ref="D4:D5" si="2">C5-C4</f>
        <v>-3</v>
      </c>
      <c r="E4">
        <f t="shared" si="0"/>
        <v>10</v>
      </c>
      <c r="F4" s="72">
        <f t="shared" si="0"/>
        <v>-13</v>
      </c>
      <c r="I4" s="62">
        <f t="shared" si="1"/>
        <v>-1</v>
      </c>
    </row>
    <row r="5" spans="1:18" x14ac:dyDescent="0.25">
      <c r="A5" s="62">
        <v>3</v>
      </c>
      <c r="B5" s="62">
        <v>0</v>
      </c>
      <c r="C5" s="62">
        <v>-4</v>
      </c>
      <c r="D5">
        <f t="shared" si="2"/>
        <v>7</v>
      </c>
      <c r="E5" s="72">
        <f t="shared" si="0"/>
        <v>-3</v>
      </c>
      <c r="I5" s="62">
        <f t="shared" si="1"/>
        <v>-4</v>
      </c>
    </row>
    <row r="6" spans="1:18" x14ac:dyDescent="0.25">
      <c r="A6" s="62">
        <v>4</v>
      </c>
      <c r="B6" s="62">
        <v>1</v>
      </c>
      <c r="C6" s="62">
        <v>3</v>
      </c>
      <c r="D6" s="73">
        <f>C7-C6</f>
        <v>4</v>
      </c>
      <c r="I6" s="62">
        <f t="shared" si="1"/>
        <v>3</v>
      </c>
    </row>
    <row r="7" spans="1:18" ht="15.75" thickBot="1" x14ac:dyDescent="0.3">
      <c r="A7" s="63">
        <v>5</v>
      </c>
      <c r="B7" s="9">
        <v>2</v>
      </c>
      <c r="C7" s="9">
        <v>7</v>
      </c>
      <c r="I7" s="63">
        <f t="shared" si="1"/>
        <v>7</v>
      </c>
    </row>
    <row r="10" spans="1:18" ht="15.75" thickBot="1" x14ac:dyDescent="0.3"/>
    <row r="11" spans="1:18" ht="15.75" thickBot="1" x14ac:dyDescent="0.3">
      <c r="A11" s="142" t="s">
        <v>26</v>
      </c>
      <c r="B11" s="144"/>
      <c r="C11" s="80" t="s">
        <v>55</v>
      </c>
      <c r="D11" s="3" t="s">
        <v>12</v>
      </c>
    </row>
    <row r="12" spans="1:18" x14ac:dyDescent="0.25">
      <c r="A12" s="124">
        <v>-3</v>
      </c>
      <c r="B12" s="120"/>
      <c r="C12">
        <f>$J$2+$K$2*(A12-$B$2)+$L$2*(A12-$B$2)*(A12-$B$3)+$M$2*(A12-$B$2)*(A12-$B$3)*(A12-$B$4)+$N$2*(A12-$B$2)*(A12-$B$3)*(A12-$B$4)*(A12-$B$5)+$O$2*(A12-$B$2)*(A12-$B$3)*(A12-$B$4)*(A12-$B$5)*(A12-$B$6)</f>
        <v>0</v>
      </c>
      <c r="D12" s="7">
        <f>newton(A12,$B$2:$B$7,$C$2:$C$7,$R$1)</f>
        <v>0</v>
      </c>
    </row>
    <row r="13" spans="1:18" x14ac:dyDescent="0.25">
      <c r="A13" s="123">
        <v>-2.8</v>
      </c>
      <c r="B13" s="122"/>
      <c r="C13">
        <f t="shared" ref="C13:C38" si="3">$J$2+$K$2*(A13-$B$2)+$L$2*(A13-$B$2)*(A13-$B$3)+$M$2*(A13-$B$2)*(A13-$B$3)*(A13-$B$4)+$N$2*(A13-$B$2)*(A13-$B$3)*(A13-$B$4)*(A13-$B$5)+$O$2*(A13-$B$2)*(A13-$B$3)*(A13-$B$4)*(A13-$B$5)*(A13-$B$6)</f>
        <v>0.15699200000000024</v>
      </c>
      <c r="D13" s="8">
        <f t="shared" ref="D13:D38" si="4">newton(A13,$B$2:$B$7,$C$2:$C$7,$R$1)</f>
        <v>0.15699200000000024</v>
      </c>
    </row>
    <row r="14" spans="1:18" x14ac:dyDescent="0.25">
      <c r="A14" s="123">
        <v>-2.6</v>
      </c>
      <c r="B14" s="122"/>
      <c r="C14">
        <f t="shared" si="3"/>
        <v>0.67334399999999994</v>
      </c>
      <c r="D14" s="8">
        <f t="shared" si="4"/>
        <v>0.67334399999999983</v>
      </c>
    </row>
    <row r="15" spans="1:18" x14ac:dyDescent="0.25">
      <c r="A15" s="123">
        <v>-2.4</v>
      </c>
      <c r="B15" s="122"/>
      <c r="C15">
        <f t="shared" si="3"/>
        <v>1.2722560000000003</v>
      </c>
      <c r="D15" s="8">
        <f t="shared" si="4"/>
        <v>1.2722560000000001</v>
      </c>
    </row>
    <row r="16" spans="1:18" x14ac:dyDescent="0.25">
      <c r="A16" s="123">
        <v>-2.2000000000000002</v>
      </c>
      <c r="B16" s="122"/>
      <c r="C16">
        <f t="shared" si="3"/>
        <v>1.7566079999999997</v>
      </c>
      <c r="D16" s="8">
        <f t="shared" si="4"/>
        <v>1.7566079999999997</v>
      </c>
    </row>
    <row r="17" spans="1:4" x14ac:dyDescent="0.25">
      <c r="A17" s="123">
        <v>-2</v>
      </c>
      <c r="B17" s="122"/>
      <c r="C17">
        <f t="shared" si="3"/>
        <v>2</v>
      </c>
      <c r="D17" s="8">
        <f t="shared" si="4"/>
        <v>2</v>
      </c>
    </row>
    <row r="18" spans="1:4" x14ac:dyDescent="0.25">
      <c r="A18" s="123">
        <v>-1.8</v>
      </c>
      <c r="B18" s="122"/>
      <c r="C18">
        <f t="shared" si="3"/>
        <v>1.9377920000000002</v>
      </c>
      <c r="D18" s="8">
        <f t="shared" si="4"/>
        <v>1.9377920000000002</v>
      </c>
    </row>
    <row r="19" spans="1:4" x14ac:dyDescent="0.25">
      <c r="A19" s="123">
        <v>-1.6</v>
      </c>
      <c r="B19" s="122"/>
      <c r="C19">
        <f t="shared" si="3"/>
        <v>1.5581440000000002</v>
      </c>
      <c r="D19" s="8">
        <f t="shared" si="4"/>
        <v>1.5581440000000004</v>
      </c>
    </row>
    <row r="20" spans="1:4" x14ac:dyDescent="0.25">
      <c r="A20" s="123">
        <v>-1.4</v>
      </c>
      <c r="B20" s="122"/>
      <c r="C20">
        <f t="shared" si="3"/>
        <v>0.89305599999999985</v>
      </c>
      <c r="D20" s="8">
        <f t="shared" si="4"/>
        <v>0.89305599999999985</v>
      </c>
    </row>
    <row r="21" spans="1:4" x14ac:dyDescent="0.25">
      <c r="A21" s="123">
        <v>-1.2</v>
      </c>
      <c r="B21" s="122"/>
      <c r="C21">
        <f t="shared" si="3"/>
        <v>9.4079999999999997E-3</v>
      </c>
      <c r="D21" s="8">
        <f t="shared" si="4"/>
        <v>9.4079999999995556E-3</v>
      </c>
    </row>
    <row r="22" spans="1:4" x14ac:dyDescent="0.25">
      <c r="A22" s="123">
        <v>-1</v>
      </c>
      <c r="B22" s="122"/>
      <c r="C22">
        <f t="shared" si="3"/>
        <v>-1</v>
      </c>
      <c r="D22" s="8">
        <f t="shared" si="4"/>
        <v>-1</v>
      </c>
    </row>
    <row r="23" spans="1:4" x14ac:dyDescent="0.25">
      <c r="A23" s="123">
        <v>-0.8</v>
      </c>
      <c r="B23" s="122"/>
      <c r="C23">
        <f t="shared" si="3"/>
        <v>-2.0254079999999992</v>
      </c>
      <c r="D23" s="8">
        <f t="shared" si="4"/>
        <v>-2.0254080000000001</v>
      </c>
    </row>
    <row r="24" spans="1:4" x14ac:dyDescent="0.25">
      <c r="A24" s="123">
        <v>-0.6</v>
      </c>
      <c r="B24" s="122"/>
      <c r="C24">
        <f t="shared" si="3"/>
        <v>-2.9490559999999988</v>
      </c>
      <c r="D24" s="8">
        <f t="shared" si="4"/>
        <v>-2.9490560000000006</v>
      </c>
    </row>
    <row r="25" spans="1:4" x14ac:dyDescent="0.25">
      <c r="A25" s="123">
        <v>-0.4</v>
      </c>
      <c r="B25" s="122"/>
      <c r="C25">
        <f t="shared" si="3"/>
        <v>-3.6541440000000005</v>
      </c>
      <c r="D25" s="8">
        <f t="shared" si="4"/>
        <v>-3.6541440000000005</v>
      </c>
    </row>
    <row r="26" spans="1:4" x14ac:dyDescent="0.25">
      <c r="A26" s="123">
        <v>-0.2</v>
      </c>
      <c r="B26" s="122"/>
      <c r="C26">
        <f t="shared" si="3"/>
        <v>-4.033792</v>
      </c>
      <c r="D26" s="8">
        <f t="shared" si="4"/>
        <v>-4.033792</v>
      </c>
    </row>
    <row r="27" spans="1:4" x14ac:dyDescent="0.25">
      <c r="A27" s="123">
        <v>0</v>
      </c>
      <c r="B27" s="122"/>
      <c r="C27">
        <f t="shared" si="3"/>
        <v>-4</v>
      </c>
      <c r="D27" s="8">
        <f t="shared" si="4"/>
        <v>-4</v>
      </c>
    </row>
    <row r="28" spans="1:4" x14ac:dyDescent="0.25">
      <c r="A28" s="123">
        <v>0.2</v>
      </c>
      <c r="B28" s="122"/>
      <c r="C28">
        <f t="shared" si="3"/>
        <v>-3.4926079999999988</v>
      </c>
      <c r="D28" s="8">
        <f t="shared" si="4"/>
        <v>-3.4926080000000002</v>
      </c>
    </row>
    <row r="29" spans="1:4" x14ac:dyDescent="0.25">
      <c r="A29" s="123">
        <v>0.4</v>
      </c>
      <c r="B29" s="122"/>
      <c r="C29">
        <f t="shared" si="3"/>
        <v>-2.4882559999999985</v>
      </c>
      <c r="D29" s="8">
        <f t="shared" si="4"/>
        <v>-2.4882559999999985</v>
      </c>
    </row>
    <row r="30" spans="1:4" x14ac:dyDescent="0.25">
      <c r="A30" s="123">
        <v>0.6</v>
      </c>
      <c r="B30" s="122"/>
      <c r="C30">
        <f t="shared" si="3"/>
        <v>-1.009344</v>
      </c>
      <c r="D30" s="8">
        <f t="shared" si="4"/>
        <v>-1.009344</v>
      </c>
    </row>
    <row r="31" spans="1:4" x14ac:dyDescent="0.25">
      <c r="A31" s="123">
        <v>0.8</v>
      </c>
      <c r="B31" s="122"/>
      <c r="C31">
        <f t="shared" si="3"/>
        <v>0.86700799999999689</v>
      </c>
      <c r="D31" s="8">
        <f t="shared" si="4"/>
        <v>0.86700799999999856</v>
      </c>
    </row>
    <row r="32" spans="1:4" x14ac:dyDescent="0.25">
      <c r="A32" s="123">
        <v>1</v>
      </c>
      <c r="B32" s="122"/>
      <c r="C32">
        <f t="shared" si="3"/>
        <v>3</v>
      </c>
      <c r="D32" s="8">
        <f t="shared" si="4"/>
        <v>3</v>
      </c>
    </row>
    <row r="33" spans="1:4" x14ac:dyDescent="0.25">
      <c r="A33" s="123">
        <v>1.2</v>
      </c>
      <c r="B33" s="122"/>
      <c r="C33">
        <f t="shared" si="3"/>
        <v>5.1761920000000075</v>
      </c>
      <c r="D33" s="8">
        <f t="shared" si="4"/>
        <v>5.176192000000003</v>
      </c>
    </row>
    <row r="34" spans="1:4" x14ac:dyDescent="0.25">
      <c r="A34" s="123">
        <v>1.4</v>
      </c>
      <c r="B34" s="122"/>
      <c r="C34">
        <f t="shared" si="3"/>
        <v>7.1005440000000011</v>
      </c>
      <c r="D34" s="8">
        <f t="shared" si="4"/>
        <v>7.100544000000002</v>
      </c>
    </row>
    <row r="35" spans="1:4" x14ac:dyDescent="0.25">
      <c r="A35" s="123">
        <v>1.6</v>
      </c>
      <c r="B35" s="122"/>
      <c r="C35">
        <f t="shared" si="3"/>
        <v>8.3874559999999878</v>
      </c>
      <c r="D35" s="8">
        <f t="shared" si="4"/>
        <v>8.3874559999999914</v>
      </c>
    </row>
    <row r="36" spans="1:4" x14ac:dyDescent="0.25">
      <c r="A36" s="123">
        <v>1.8</v>
      </c>
      <c r="B36" s="122"/>
      <c r="C36">
        <f t="shared" si="3"/>
        <v>8.5518080000000047</v>
      </c>
      <c r="D36" s="8">
        <f t="shared" si="4"/>
        <v>8.5518080000000012</v>
      </c>
    </row>
    <row r="37" spans="1:4" ht="15.75" thickBot="1" x14ac:dyDescent="0.3">
      <c r="A37" s="125">
        <v>2</v>
      </c>
      <c r="B37" s="128"/>
      <c r="C37">
        <f t="shared" si="3"/>
        <v>7</v>
      </c>
      <c r="D37" s="8">
        <f t="shared" si="4"/>
        <v>7</v>
      </c>
    </row>
    <row r="38" spans="1:4" ht="15.75" thickBot="1" x14ac:dyDescent="0.3">
      <c r="A38" s="140">
        <v>-2.5</v>
      </c>
      <c r="B38" s="141"/>
      <c r="C38" s="69">
        <f t="shared" si="3"/>
        <v>0.9765625</v>
      </c>
      <c r="D38" s="69">
        <f t="shared" si="4"/>
        <v>0.9765625</v>
      </c>
    </row>
  </sheetData>
  <mergeCells count="30">
    <mergeCell ref="A14:B14"/>
    <mergeCell ref="Q1:Q2"/>
    <mergeCell ref="R1:R2"/>
    <mergeCell ref="A11:B11"/>
    <mergeCell ref="A12:B12"/>
    <mergeCell ref="A13:B13"/>
    <mergeCell ref="A26:B26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38:B38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T112"/>
  <sheetViews>
    <sheetView workbookViewId="0">
      <selection activeCell="N29" sqref="N29"/>
    </sheetView>
  </sheetViews>
  <sheetFormatPr defaultRowHeight="15" x14ac:dyDescent="0.25"/>
  <cols>
    <col min="5" max="5" width="11" bestFit="1" customWidth="1"/>
    <col min="10" max="10" width="10" bestFit="1" customWidth="1"/>
    <col min="14" max="14" width="11.28515625" customWidth="1"/>
    <col min="15" max="15" width="10.7109375" customWidth="1"/>
    <col min="16" max="16" width="12.5703125" customWidth="1"/>
    <col min="17" max="17" width="13.7109375" customWidth="1"/>
    <col min="18" max="18" width="11.42578125" customWidth="1"/>
    <col min="19" max="19" width="10.140625" customWidth="1"/>
    <col min="20" max="20" width="10.42578125" customWidth="1"/>
  </cols>
  <sheetData>
    <row r="1" spans="1:20" ht="15.75" thickBot="1" x14ac:dyDescent="0.3">
      <c r="A1" s="3" t="s">
        <v>31</v>
      </c>
      <c r="B1" s="3" t="s">
        <v>21</v>
      </c>
      <c r="C1" s="3" t="s">
        <v>22</v>
      </c>
      <c r="D1" s="82" t="s">
        <v>56</v>
      </c>
      <c r="E1" s="82" t="s">
        <v>57</v>
      </c>
      <c r="F1" s="82" t="s">
        <v>58</v>
      </c>
      <c r="G1" s="83" t="s">
        <v>59</v>
      </c>
      <c r="H1" s="83" t="s">
        <v>60</v>
      </c>
      <c r="I1" s="3" t="s">
        <v>79</v>
      </c>
      <c r="J1" s="3" t="s">
        <v>80</v>
      </c>
      <c r="O1" s="91" t="s">
        <v>71</v>
      </c>
      <c r="P1" s="92" t="s">
        <v>72</v>
      </c>
      <c r="Q1" s="91" t="s">
        <v>70</v>
      </c>
      <c r="R1" s="92" t="s">
        <v>72</v>
      </c>
      <c r="S1" s="91" t="s">
        <v>73</v>
      </c>
      <c r="T1" s="92" t="s">
        <v>72</v>
      </c>
    </row>
    <row r="2" spans="1:20" x14ac:dyDescent="0.25">
      <c r="A2" s="81">
        <v>1</v>
      </c>
      <c r="B2" s="7">
        <v>0.01</v>
      </c>
      <c r="C2" s="7">
        <v>10</v>
      </c>
      <c r="D2" s="7">
        <f>B2^2</f>
        <v>1E-4</v>
      </c>
      <c r="E2" s="7">
        <f>B2^3</f>
        <v>1.0000000000000002E-6</v>
      </c>
      <c r="F2" s="7">
        <f>B2^4</f>
        <v>1E-8</v>
      </c>
      <c r="G2" s="7">
        <f t="shared" ref="G2:G13" si="0">B2*C2</f>
        <v>0.1</v>
      </c>
      <c r="H2" s="7">
        <f t="shared" ref="H2:H13" si="1">C2*B2^2</f>
        <v>1E-3</v>
      </c>
      <c r="I2" s="7">
        <f>LN(C2)</f>
        <v>2.3025850929940459</v>
      </c>
      <c r="J2" s="7">
        <f>I2*B2</f>
        <v>2.3025850929940458E-2</v>
      </c>
      <c r="O2" s="29">
        <f t="shared" ref="O2:O13" si="2">B2*$F$17+$F$18</f>
        <v>8.6099383996879784</v>
      </c>
      <c r="P2" s="7">
        <f t="shared" ref="P2:P13" si="3">(O2-$C2)^2</f>
        <v>1.9322712526620185</v>
      </c>
      <c r="Q2" s="7">
        <f t="shared" ref="Q2:Q13" si="4">$G$21*D2+$G$22*B2+$G$23</f>
        <v>9.5526100292120102</v>
      </c>
      <c r="R2" s="7">
        <f t="shared" ref="R2:R13" si="5">(Q2-$C2)^2</f>
        <v>0.20015778596167838</v>
      </c>
      <c r="S2" s="7">
        <f>$H$26*EXP(-$H$27*B2)</f>
        <v>4.6490700682136787E-2</v>
      </c>
      <c r="T2" s="7">
        <f t="shared" ref="T2:T13" si="6">(S2-$C2)^2</f>
        <v>99.072347371607179</v>
      </c>
    </row>
    <row r="3" spans="1:20" x14ac:dyDescent="0.25">
      <c r="A3" s="81">
        <v>2</v>
      </c>
      <c r="B3" s="8">
        <v>0.02</v>
      </c>
      <c r="C3" s="8">
        <v>9.2200000000000006</v>
      </c>
      <c r="D3" s="8">
        <f t="shared" ref="D3:D13" si="7">B3^2</f>
        <v>4.0000000000000002E-4</v>
      </c>
      <c r="E3" s="8">
        <f t="shared" ref="E3:E13" si="8">B3^3</f>
        <v>8.0000000000000013E-6</v>
      </c>
      <c r="F3" s="8">
        <f t="shared" ref="F3:F13" si="9">B3^4</f>
        <v>1.6E-7</v>
      </c>
      <c r="G3" s="8">
        <f t="shared" si="0"/>
        <v>0.18440000000000001</v>
      </c>
      <c r="H3" s="8">
        <f t="shared" si="1"/>
        <v>3.6880000000000003E-3</v>
      </c>
      <c r="I3" s="8">
        <f t="shared" ref="I3:I13" si="10">LN(C3)</f>
        <v>2.2213750375685026</v>
      </c>
      <c r="J3" s="8">
        <f t="shared" ref="J3:J13" si="11">I3*B3</f>
        <v>4.4427500751370051E-2</v>
      </c>
      <c r="O3" s="26">
        <f t="shared" si="2"/>
        <v>8.5198938165671603</v>
      </c>
      <c r="P3" s="8">
        <f t="shared" si="3"/>
        <v>0.49014866808089791</v>
      </c>
      <c r="Q3" s="8">
        <f t="shared" si="4"/>
        <v>9.3834865694370055</v>
      </c>
      <c r="R3" s="8">
        <f t="shared" si="5"/>
        <v>2.6727858386280626E-2</v>
      </c>
      <c r="S3" s="8">
        <f t="shared" ref="S3:S13" si="12">$H$26*EXP(-$H$27*B3)</f>
        <v>4.7674843513841422E-2</v>
      </c>
      <c r="T3" s="8">
        <f t="shared" si="6"/>
        <v>84.131548776308861</v>
      </c>
    </row>
    <row r="4" spans="1:20" x14ac:dyDescent="0.25">
      <c r="A4" s="81">
        <v>3</v>
      </c>
      <c r="B4" s="8">
        <v>0.10199999999999999</v>
      </c>
      <c r="C4" s="8">
        <v>8.5</v>
      </c>
      <c r="D4" s="8">
        <f t="shared" si="7"/>
        <v>1.0403999999999998E-2</v>
      </c>
      <c r="E4" s="8">
        <f t="shared" si="8"/>
        <v>1.0612079999999997E-3</v>
      </c>
      <c r="F4" s="8">
        <f t="shared" si="9"/>
        <v>1.0824321599999996E-4</v>
      </c>
      <c r="G4" s="8">
        <f t="shared" si="0"/>
        <v>0.86699999999999999</v>
      </c>
      <c r="H4" s="8">
        <f t="shared" si="1"/>
        <v>8.8433999999999985E-2</v>
      </c>
      <c r="I4" s="8">
        <f t="shared" si="10"/>
        <v>2.1400661634962708</v>
      </c>
      <c r="J4" s="8">
        <f t="shared" si="11"/>
        <v>0.2182867486766196</v>
      </c>
      <c r="O4" s="26">
        <f t="shared" si="2"/>
        <v>7.7815282349764479</v>
      </c>
      <c r="P4" s="8">
        <f t="shared" si="3"/>
        <v>0.51620167713605836</v>
      </c>
      <c r="Q4" s="8">
        <f t="shared" si="4"/>
        <v>8.0597268547734604</v>
      </c>
      <c r="R4" s="8">
        <f t="shared" si="5"/>
        <v>0.19384044240766962</v>
      </c>
      <c r="S4" s="8">
        <f t="shared" si="12"/>
        <v>5.8594842245701467E-2</v>
      </c>
      <c r="T4" s="8">
        <f t="shared" si="6"/>
        <v>71.257321037360867</v>
      </c>
    </row>
    <row r="5" spans="1:20" ht="15.75" thickBot="1" x14ac:dyDescent="0.3">
      <c r="A5" s="81">
        <v>4</v>
      </c>
      <c r="B5" s="8">
        <v>0.20300000000000001</v>
      </c>
      <c r="C5" s="8">
        <v>6.12</v>
      </c>
      <c r="D5" s="8">
        <f t="shared" si="7"/>
        <v>4.1209000000000003E-2</v>
      </c>
      <c r="E5" s="8">
        <f t="shared" si="8"/>
        <v>8.3654270000000017E-3</v>
      </c>
      <c r="F5" s="8">
        <f t="shared" si="9"/>
        <v>1.6981816810000003E-3</v>
      </c>
      <c r="G5" s="8">
        <f t="shared" si="0"/>
        <v>1.2423600000000001</v>
      </c>
      <c r="H5" s="8">
        <f t="shared" si="1"/>
        <v>0.25219908000000002</v>
      </c>
      <c r="I5" s="8">
        <f t="shared" si="10"/>
        <v>1.8115620965242347</v>
      </c>
      <c r="J5" s="8">
        <f t="shared" si="11"/>
        <v>0.3677471055944197</v>
      </c>
      <c r="O5" s="26">
        <f t="shared" si="2"/>
        <v>6.8720779454561818</v>
      </c>
      <c r="P5" s="8">
        <f t="shared" si="3"/>
        <v>0.56562123604159142</v>
      </c>
      <c r="Q5" s="8">
        <f t="shared" si="4"/>
        <v>6.5837230057272702</v>
      </c>
      <c r="R5" s="8">
        <f t="shared" si="5"/>
        <v>0.21503902604073377</v>
      </c>
      <c r="S5" s="8">
        <f t="shared" si="12"/>
        <v>7.5541143229500701E-2</v>
      </c>
      <c r="T5" s="8">
        <f t="shared" si="6"/>
        <v>36.535482871191334</v>
      </c>
    </row>
    <row r="6" spans="1:20" ht="15.75" thickBot="1" x14ac:dyDescent="0.3">
      <c r="A6" s="81">
        <v>5</v>
      </c>
      <c r="B6" s="8">
        <v>0.34</v>
      </c>
      <c r="C6" s="8">
        <v>4.3</v>
      </c>
      <c r="D6" s="8">
        <f t="shared" si="7"/>
        <v>0.11560000000000002</v>
      </c>
      <c r="E6" s="8">
        <f t="shared" si="8"/>
        <v>3.9304000000000013E-2</v>
      </c>
      <c r="F6" s="8">
        <f t="shared" si="9"/>
        <v>1.3363360000000005E-2</v>
      </c>
      <c r="G6" s="8">
        <f t="shared" si="0"/>
        <v>1.462</v>
      </c>
      <c r="H6" s="8">
        <f t="shared" si="1"/>
        <v>0.49708000000000008</v>
      </c>
      <c r="I6" s="8">
        <f t="shared" si="10"/>
        <v>1.4586150226995167</v>
      </c>
      <c r="J6" s="8">
        <f t="shared" si="11"/>
        <v>0.49592910771783572</v>
      </c>
      <c r="L6" s="150" t="s">
        <v>81</v>
      </c>
      <c r="M6" s="151"/>
      <c r="O6" s="26">
        <f t="shared" si="2"/>
        <v>5.638467156700969</v>
      </c>
      <c r="P6" s="8">
        <f t="shared" si="3"/>
        <v>1.7914943295671768</v>
      </c>
      <c r="Q6" s="8">
        <f t="shared" si="4"/>
        <v>4.8541393057224109</v>
      </c>
      <c r="R6" s="8">
        <f t="shared" si="5"/>
        <v>0.30707037014651578</v>
      </c>
      <c r="S6" s="8">
        <f t="shared" si="12"/>
        <v>0.10661815948013047</v>
      </c>
      <c r="T6" s="8">
        <f t="shared" si="6"/>
        <v>17.584451260401806</v>
      </c>
    </row>
    <row r="7" spans="1:20" x14ac:dyDescent="0.25">
      <c r="A7" s="81">
        <v>6</v>
      </c>
      <c r="B7" s="8">
        <v>0.40400000000000003</v>
      </c>
      <c r="C7" s="8">
        <v>3.4</v>
      </c>
      <c r="D7" s="8">
        <f t="shared" si="7"/>
        <v>0.16321600000000003</v>
      </c>
      <c r="E7" s="8">
        <f t="shared" si="8"/>
        <v>6.5939264000000011E-2</v>
      </c>
      <c r="F7" s="8">
        <f t="shared" si="9"/>
        <v>2.663946265600001E-2</v>
      </c>
      <c r="G7" s="8">
        <f t="shared" si="0"/>
        <v>1.3736000000000002</v>
      </c>
      <c r="H7" s="8">
        <f t="shared" si="1"/>
        <v>0.55493440000000005</v>
      </c>
      <c r="I7" s="8">
        <f t="shared" si="10"/>
        <v>1.2237754316221157</v>
      </c>
      <c r="J7" s="8">
        <f t="shared" si="11"/>
        <v>0.49440527437533477</v>
      </c>
      <c r="L7" s="96" t="s">
        <v>75</v>
      </c>
      <c r="M7" s="97"/>
      <c r="O7" s="26">
        <f t="shared" si="2"/>
        <v>5.0621818247277304</v>
      </c>
      <c r="P7" s="8">
        <f t="shared" si="3"/>
        <v>2.7628484184552078</v>
      </c>
      <c r="Q7" s="8">
        <f t="shared" si="4"/>
        <v>4.1536757465848559</v>
      </c>
      <c r="R7" s="8">
        <f t="shared" si="5"/>
        <v>0.56802713099024016</v>
      </c>
      <c r="S7" s="8">
        <f t="shared" si="12"/>
        <v>0.12523899160909205</v>
      </c>
      <c r="T7" s="8">
        <f t="shared" si="6"/>
        <v>10.724059662077435</v>
      </c>
    </row>
    <row r="8" spans="1:20" x14ac:dyDescent="0.25">
      <c r="A8" s="81">
        <v>7</v>
      </c>
      <c r="B8" s="8">
        <v>0.55500000000000005</v>
      </c>
      <c r="C8" s="8">
        <v>3.33</v>
      </c>
      <c r="D8" s="8">
        <f t="shared" si="7"/>
        <v>0.30802500000000005</v>
      </c>
      <c r="E8" s="8">
        <f t="shared" si="8"/>
        <v>0.17095387500000003</v>
      </c>
      <c r="F8" s="8">
        <f t="shared" si="9"/>
        <v>9.4879400625000027E-2</v>
      </c>
      <c r="G8" s="8">
        <f t="shared" si="0"/>
        <v>1.8481500000000002</v>
      </c>
      <c r="H8" s="8">
        <f t="shared" si="1"/>
        <v>1.0257232500000002</v>
      </c>
      <c r="I8" s="8">
        <f t="shared" si="10"/>
        <v>1.2029723039923526</v>
      </c>
      <c r="J8" s="8">
        <f t="shared" si="11"/>
        <v>0.66764962871575573</v>
      </c>
      <c r="L8" s="98" t="s">
        <v>76</v>
      </c>
      <c r="M8" s="99" t="s">
        <v>78</v>
      </c>
      <c r="O8" s="26">
        <f t="shared" si="2"/>
        <v>3.7025086196033712</v>
      </c>
      <c r="P8" s="8">
        <f t="shared" si="3"/>
        <v>0.13876267167880904</v>
      </c>
      <c r="Q8" s="8">
        <f t="shared" si="4"/>
        <v>2.7723615914280408</v>
      </c>
      <c r="R8" s="8">
        <f t="shared" si="5"/>
        <v>0.31096059471466736</v>
      </c>
      <c r="S8" s="8">
        <f t="shared" si="12"/>
        <v>0.18309633387007115</v>
      </c>
      <c r="T8" s="8">
        <f t="shared" si="6"/>
        <v>9.9030026839019882</v>
      </c>
    </row>
    <row r="9" spans="1:20" ht="15.75" thickBot="1" x14ac:dyDescent="0.3">
      <c r="A9" s="81">
        <v>8</v>
      </c>
      <c r="B9" s="8">
        <v>0.6</v>
      </c>
      <c r="C9" s="8">
        <v>2.5</v>
      </c>
      <c r="D9" s="8">
        <f t="shared" si="7"/>
        <v>0.36</v>
      </c>
      <c r="E9" s="8">
        <f t="shared" si="8"/>
        <v>0.216</v>
      </c>
      <c r="F9" s="8">
        <f t="shared" si="9"/>
        <v>0.12959999999999999</v>
      </c>
      <c r="G9" s="8">
        <f t="shared" si="0"/>
        <v>1.5</v>
      </c>
      <c r="H9" s="8">
        <f t="shared" si="1"/>
        <v>0.89999999999999991</v>
      </c>
      <c r="I9" s="8">
        <f t="shared" si="10"/>
        <v>0.91629073187415511</v>
      </c>
      <c r="J9" s="8">
        <f t="shared" si="11"/>
        <v>0.54977443912449309</v>
      </c>
      <c r="L9" s="100" t="s">
        <v>77</v>
      </c>
      <c r="M9" s="101"/>
      <c r="O9" s="26">
        <f t="shared" si="2"/>
        <v>3.2973079955596889</v>
      </c>
      <c r="P9" s="8">
        <f t="shared" si="3"/>
        <v>0.63570003978340894</v>
      </c>
      <c r="Q9" s="8">
        <f t="shared" si="4"/>
        <v>2.4344291248075285</v>
      </c>
      <c r="R9" s="8">
        <f t="shared" si="5"/>
        <v>4.2995396735066756E-3</v>
      </c>
      <c r="S9" s="8">
        <f t="shared" si="12"/>
        <v>0.20503782151542679</v>
      </c>
      <c r="T9" s="8">
        <f t="shared" si="6"/>
        <v>5.2668514006746587</v>
      </c>
    </row>
    <row r="10" spans="1:20" x14ac:dyDescent="0.25">
      <c r="A10" s="81">
        <v>9</v>
      </c>
      <c r="B10" s="8">
        <v>0.77700000000000002</v>
      </c>
      <c r="C10" s="8">
        <v>2.2200000000000002</v>
      </c>
      <c r="D10" s="8">
        <f t="shared" si="7"/>
        <v>0.60372900000000007</v>
      </c>
      <c r="E10" s="8">
        <f t="shared" si="8"/>
        <v>0.46909743300000006</v>
      </c>
      <c r="F10" s="8">
        <f t="shared" si="9"/>
        <v>0.36448870544100009</v>
      </c>
      <c r="G10" s="8">
        <f t="shared" si="0"/>
        <v>1.7249400000000001</v>
      </c>
      <c r="H10" s="8">
        <f t="shared" si="1"/>
        <v>1.3402783800000002</v>
      </c>
      <c r="I10" s="8">
        <f t="shared" si="10"/>
        <v>0.79750719588418817</v>
      </c>
      <c r="J10" s="8">
        <f t="shared" si="11"/>
        <v>0.61966309120201424</v>
      </c>
      <c r="O10" s="26">
        <f t="shared" si="2"/>
        <v>1.703518874321202</v>
      </c>
      <c r="P10" s="8">
        <f t="shared" si="3"/>
        <v>0.26675275318243857</v>
      </c>
      <c r="Q10" s="8">
        <f t="shared" si="4"/>
        <v>1.4336468387551662</v>
      </c>
      <c r="R10" s="8">
        <f t="shared" si="5"/>
        <v>0.61835129419974388</v>
      </c>
      <c r="S10" s="8">
        <f t="shared" si="12"/>
        <v>0.32001795459688936</v>
      </c>
      <c r="T10" s="8">
        <f t="shared" si="6"/>
        <v>3.6099317728541891</v>
      </c>
    </row>
    <row r="11" spans="1:20" x14ac:dyDescent="0.25">
      <c r="A11" s="81">
        <v>10</v>
      </c>
      <c r="B11" s="8">
        <v>0.87</v>
      </c>
      <c r="C11" s="8">
        <v>1.5</v>
      </c>
      <c r="D11" s="8">
        <f t="shared" si="7"/>
        <v>0.75690000000000002</v>
      </c>
      <c r="E11" s="8">
        <f t="shared" si="8"/>
        <v>0.65850300000000006</v>
      </c>
      <c r="F11" s="8">
        <f t="shared" si="9"/>
        <v>0.57289761000000006</v>
      </c>
      <c r="G11" s="8">
        <f t="shared" si="0"/>
        <v>1.3049999999999999</v>
      </c>
      <c r="H11" s="8">
        <f t="shared" si="1"/>
        <v>1.1353500000000001</v>
      </c>
      <c r="I11" s="8">
        <f t="shared" si="10"/>
        <v>0.40546510810816438</v>
      </c>
      <c r="J11" s="8">
        <f t="shared" si="11"/>
        <v>0.35275464405410301</v>
      </c>
      <c r="O11" s="26">
        <f t="shared" si="2"/>
        <v>0.86610425129759072</v>
      </c>
      <c r="P11" s="8">
        <f t="shared" si="3"/>
        <v>0.40182382022298802</v>
      </c>
      <c r="Q11" s="8">
        <f t="shared" si="4"/>
        <v>1.1176811370610125</v>
      </c>
      <c r="R11" s="8">
        <f t="shared" si="5"/>
        <v>0.14616771295896033</v>
      </c>
      <c r="S11" s="8">
        <f t="shared" si="12"/>
        <v>0.4043523404415526</v>
      </c>
      <c r="T11" s="8">
        <f t="shared" si="6"/>
        <v>1.2004437938959036</v>
      </c>
    </row>
    <row r="12" spans="1:20" x14ac:dyDescent="0.25">
      <c r="A12" s="81">
        <v>11</v>
      </c>
      <c r="B12" s="8">
        <v>0.90500000000000003</v>
      </c>
      <c r="C12" s="8">
        <v>1.1100000000000001</v>
      </c>
      <c r="D12" s="8">
        <f t="shared" si="7"/>
        <v>0.819025</v>
      </c>
      <c r="E12" s="8">
        <f t="shared" si="8"/>
        <v>0.74121762499999999</v>
      </c>
      <c r="F12" s="8">
        <f t="shared" si="9"/>
        <v>0.67080195062500003</v>
      </c>
      <c r="G12" s="8">
        <f t="shared" si="0"/>
        <v>1.0045500000000001</v>
      </c>
      <c r="H12" s="8">
        <f t="shared" si="1"/>
        <v>0.90911775000000006</v>
      </c>
      <c r="I12" s="8">
        <f t="shared" si="10"/>
        <v>0.10436001532424286</v>
      </c>
      <c r="J12" s="8">
        <f t="shared" si="11"/>
        <v>9.4445813868439782E-2</v>
      </c>
      <c r="O12" s="26">
        <f t="shared" si="2"/>
        <v>0.55094821037472563</v>
      </c>
      <c r="P12" s="8">
        <f t="shared" si="3"/>
        <v>0.31253890348322216</v>
      </c>
      <c r="Q12" s="8">
        <f t="shared" si="4"/>
        <v>1.0362130965312595</v>
      </c>
      <c r="R12" s="8">
        <f t="shared" si="5"/>
        <v>5.4445071235052463E-3</v>
      </c>
      <c r="S12" s="8">
        <f t="shared" si="12"/>
        <v>0.44156140551478401</v>
      </c>
      <c r="T12" s="8">
        <f t="shared" si="6"/>
        <v>0.44681015459737106</v>
      </c>
    </row>
    <row r="13" spans="1:20" ht="15.75" thickBot="1" x14ac:dyDescent="0.3">
      <c r="A13" s="81">
        <v>12</v>
      </c>
      <c r="B13" s="9">
        <v>1</v>
      </c>
      <c r="C13" s="9">
        <v>0.1</v>
      </c>
      <c r="D13" s="9">
        <f t="shared" si="7"/>
        <v>1</v>
      </c>
      <c r="E13" s="9">
        <f t="shared" si="8"/>
        <v>1</v>
      </c>
      <c r="F13" s="9">
        <f t="shared" si="9"/>
        <v>1</v>
      </c>
      <c r="G13" s="9">
        <f t="shared" si="0"/>
        <v>0.1</v>
      </c>
      <c r="H13" s="9">
        <f t="shared" si="1"/>
        <v>0.1</v>
      </c>
      <c r="I13" s="9">
        <f t="shared" si="10"/>
        <v>-2.3025850929940455</v>
      </c>
      <c r="J13" s="9">
        <f t="shared" si="11"/>
        <v>-2.3025850929940455</v>
      </c>
      <c r="O13" s="27">
        <f t="shared" si="2"/>
        <v>-0.30447532927304977</v>
      </c>
      <c r="P13" s="9">
        <f t="shared" si="3"/>
        <v>0.16360029199054202</v>
      </c>
      <c r="Q13" s="9">
        <f t="shared" si="4"/>
        <v>0.91830669996003422</v>
      </c>
      <c r="R13" s="9">
        <f t="shared" si="5"/>
        <v>0.66962585519948148</v>
      </c>
      <c r="S13" s="9">
        <f t="shared" si="12"/>
        <v>0.56073977119005602</v>
      </c>
      <c r="T13" s="9">
        <f t="shared" si="6"/>
        <v>0.2122811367562652</v>
      </c>
    </row>
    <row r="14" spans="1:20" ht="15.75" thickBot="1" x14ac:dyDescent="0.3">
      <c r="A14" s="85" t="s">
        <v>61</v>
      </c>
      <c r="B14" s="66">
        <f>SUM(B2:B13)</f>
        <v>5.7860000000000005</v>
      </c>
      <c r="C14" s="67">
        <f t="shared" ref="C14" si="13">SUM(C2:C13)</f>
        <v>52.29999999999999</v>
      </c>
      <c r="D14" s="67">
        <f t="shared" ref="D14:F14" si="14">SUM(D2:D13)</f>
        <v>4.1786080000000005</v>
      </c>
      <c r="E14" s="67">
        <f t="shared" si="14"/>
        <v>3.3704508320000004</v>
      </c>
      <c r="F14" s="67">
        <f t="shared" si="14"/>
        <v>2.8744770842439999</v>
      </c>
      <c r="G14" s="67">
        <f>SUM(G2:G13)</f>
        <v>12.712</v>
      </c>
      <c r="H14" s="67">
        <f t="shared" ref="H14:J14" si="15">SUM(H2:H13)</f>
        <v>6.8078048600000001</v>
      </c>
      <c r="I14" s="67">
        <f t="shared" si="15"/>
        <v>12.281989107093743</v>
      </c>
      <c r="J14" s="68">
        <f t="shared" si="15"/>
        <v>1.6255241120162802</v>
      </c>
      <c r="O14" s="66"/>
      <c r="P14" s="93">
        <f>SUM(P2:P13)</f>
        <v>9.9777640622843613</v>
      </c>
      <c r="Q14" s="67"/>
      <c r="R14" s="93">
        <f t="shared" ref="R14:T14" si="16">SUM(R2:R13)</f>
        <v>3.2657121178029835</v>
      </c>
      <c r="S14" s="67"/>
      <c r="T14" s="94">
        <f t="shared" si="16"/>
        <v>339.94453192162786</v>
      </c>
    </row>
    <row r="15" spans="1:20" ht="15.75" thickBot="1" x14ac:dyDescent="0.3"/>
    <row r="16" spans="1:20" ht="15.75" thickBot="1" x14ac:dyDescent="0.3">
      <c r="A16" s="147" t="s">
        <v>62</v>
      </c>
      <c r="B16" s="148"/>
      <c r="C16" s="86"/>
    </row>
    <row r="17" spans="1:8" ht="15.75" thickBot="1" x14ac:dyDescent="0.3">
      <c r="A17" s="29">
        <f>D14</f>
        <v>4.1786080000000005</v>
      </c>
      <c r="B17" s="11">
        <f>B14</f>
        <v>5.7860000000000005</v>
      </c>
      <c r="C17" s="87" t="s">
        <v>64</v>
      </c>
      <c r="D17" s="29">
        <f>G14</f>
        <v>12.712</v>
      </c>
      <c r="E17" s="88" t="s">
        <v>66</v>
      </c>
      <c r="F17" s="68">
        <f t="array" ref="F17:F18">MMULT(MINVERSE(A17:B18),D17:D18)</f>
        <v>-9.0044583120818462</v>
      </c>
    </row>
    <row r="18" spans="1:8" ht="15.75" thickBot="1" x14ac:dyDescent="0.3">
      <c r="A18" s="27">
        <f>B14</f>
        <v>5.7860000000000005</v>
      </c>
      <c r="B18" s="13">
        <v>12</v>
      </c>
      <c r="C18" s="87" t="s">
        <v>65</v>
      </c>
      <c r="D18" s="33">
        <f>C14</f>
        <v>52.29999999999999</v>
      </c>
      <c r="E18" s="89" t="s">
        <v>67</v>
      </c>
      <c r="F18" s="33">
        <v>8.6999829828087965</v>
      </c>
    </row>
    <row r="19" spans="1:8" ht="15.75" thickBot="1" x14ac:dyDescent="0.3"/>
    <row r="20" spans="1:8" ht="15.75" thickBot="1" x14ac:dyDescent="0.3">
      <c r="A20" s="147" t="s">
        <v>63</v>
      </c>
      <c r="B20" s="149"/>
      <c r="C20" s="148"/>
    </row>
    <row r="21" spans="1:8" ht="15.75" thickBot="1" x14ac:dyDescent="0.3">
      <c r="A21" s="29">
        <f>F14</f>
        <v>2.8744770842439999</v>
      </c>
      <c r="B21" s="20">
        <f>E14</f>
        <v>3.3704508320000004</v>
      </c>
      <c r="C21" s="11">
        <f>D14</f>
        <v>4.1786080000000005</v>
      </c>
      <c r="D21" s="88" t="s">
        <v>64</v>
      </c>
      <c r="E21" s="33">
        <f>H14</f>
        <v>6.8078048600000001</v>
      </c>
      <c r="F21" s="90" t="s">
        <v>66</v>
      </c>
      <c r="G21" s="33">
        <f t="array" ref="G21:G23">MMULT(MINVERSE(A21:C23),E21:E23)</f>
        <v>8.3579872072494936</v>
      </c>
    </row>
    <row r="22" spans="1:8" ht="15.75" thickBot="1" x14ac:dyDescent="0.3">
      <c r="A22" s="26">
        <f>E14</f>
        <v>3.3704508320000004</v>
      </c>
      <c r="B22" s="19">
        <f>D14</f>
        <v>4.1786080000000005</v>
      </c>
      <c r="C22" s="12">
        <f>B14</f>
        <v>5.7860000000000005</v>
      </c>
      <c r="D22" s="88" t="s">
        <v>65</v>
      </c>
      <c r="E22" s="33">
        <f>G14</f>
        <v>12.712</v>
      </c>
      <c r="F22" s="90" t="s">
        <v>67</v>
      </c>
      <c r="G22" s="33">
        <v>-17.163085593717923</v>
      </c>
    </row>
    <row r="23" spans="1:8" ht="15.75" thickBot="1" x14ac:dyDescent="0.3">
      <c r="A23" s="27">
        <f>D14</f>
        <v>4.1786080000000005</v>
      </c>
      <c r="B23" s="21">
        <f>B14</f>
        <v>5.7860000000000005</v>
      </c>
      <c r="C23" s="13">
        <v>12</v>
      </c>
      <c r="D23" s="88" t="s">
        <v>68</v>
      </c>
      <c r="E23" s="33">
        <f>C14</f>
        <v>52.29999999999999</v>
      </c>
      <c r="F23" s="90" t="s">
        <v>69</v>
      </c>
      <c r="G23" s="33">
        <v>9.723405086428464</v>
      </c>
    </row>
    <row r="24" spans="1:8" ht="15.75" thickBot="1" x14ac:dyDescent="0.3"/>
    <row r="25" spans="1:8" ht="15.75" thickBot="1" x14ac:dyDescent="0.3">
      <c r="A25" s="147" t="s">
        <v>74</v>
      </c>
      <c r="B25" s="148"/>
    </row>
    <row r="26" spans="1:8" ht="15.75" thickBot="1" x14ac:dyDescent="0.3">
      <c r="A26" s="29">
        <f>D14</f>
        <v>4.1786080000000005</v>
      </c>
      <c r="B26" s="11">
        <f>B14</f>
        <v>5.7860000000000005</v>
      </c>
      <c r="C26" s="88" t="s">
        <v>64</v>
      </c>
      <c r="D26" s="33">
        <f>J14</f>
        <v>1.6255241120162802</v>
      </c>
      <c r="E26" s="90" t="s">
        <v>66</v>
      </c>
      <c r="F26" s="33">
        <f t="array" ref="F26:F27">MMULT(MINVERSE(A26:B27),D26:D27)</f>
        <v>-3.0936545335842944</v>
      </c>
      <c r="G26" s="84" t="s">
        <v>13</v>
      </c>
      <c r="H26" s="33">
        <f>EXP(F26)</f>
        <v>4.5335969467598138E-2</v>
      </c>
    </row>
    <row r="27" spans="1:8" ht="15.75" thickBot="1" x14ac:dyDescent="0.3">
      <c r="A27" s="27">
        <f>B14</f>
        <v>5.7860000000000005</v>
      </c>
      <c r="B27" s="13">
        <v>12</v>
      </c>
      <c r="C27" s="88" t="s">
        <v>65</v>
      </c>
      <c r="D27" s="33">
        <f>I14</f>
        <v>12.281989107093743</v>
      </c>
      <c r="E27" s="90" t="s">
        <v>67</v>
      </c>
      <c r="F27" s="33">
        <v>2.5151561865343726</v>
      </c>
      <c r="G27" s="84" t="s">
        <v>14</v>
      </c>
      <c r="H27" s="33">
        <f>-F27</f>
        <v>-2.5151561865343726</v>
      </c>
    </row>
    <row r="101" spans="3:3" x14ac:dyDescent="0.25">
      <c r="C101">
        <v>3</v>
      </c>
    </row>
    <row r="102" spans="3:3" x14ac:dyDescent="0.25">
      <c r="C102">
        <v>-3</v>
      </c>
    </row>
    <row r="103" spans="3:3" x14ac:dyDescent="0.25">
      <c r="C103">
        <v>3</v>
      </c>
    </row>
    <row r="104" spans="3:3" x14ac:dyDescent="0.25">
      <c r="C104">
        <v>6.12</v>
      </c>
    </row>
    <row r="105" spans="3:3" x14ac:dyDescent="0.25">
      <c r="C105">
        <v>4.3</v>
      </c>
    </row>
    <row r="106" spans="3:3" x14ac:dyDescent="0.25">
      <c r="C106">
        <v>3.4</v>
      </c>
    </row>
    <row r="107" spans="3:3" x14ac:dyDescent="0.25">
      <c r="C107">
        <v>3.33</v>
      </c>
    </row>
    <row r="108" spans="3:3" x14ac:dyDescent="0.25">
      <c r="C108">
        <v>2.5</v>
      </c>
    </row>
    <row r="109" spans="3:3" x14ac:dyDescent="0.25">
      <c r="C109">
        <v>2.2200000000000002</v>
      </c>
    </row>
    <row r="110" spans="3:3" x14ac:dyDescent="0.25">
      <c r="C110">
        <v>1.5</v>
      </c>
    </row>
    <row r="111" spans="3:3" x14ac:dyDescent="0.25">
      <c r="C111">
        <v>1.1100000000000001</v>
      </c>
    </row>
    <row r="112" spans="3:3" x14ac:dyDescent="0.25">
      <c r="C112">
        <v>0.1</v>
      </c>
    </row>
  </sheetData>
  <mergeCells count="4">
    <mergeCell ref="A16:B16"/>
    <mergeCell ref="A20:C20"/>
    <mergeCell ref="A25:B25"/>
    <mergeCell ref="L6:M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11</xdr:col>
                <xdr:colOff>9525</xdr:colOff>
                <xdr:row>10</xdr:row>
                <xdr:rowOff>9525</xdr:rowOff>
              </from>
              <to>
                <xdr:col>13</xdr:col>
                <xdr:colOff>0</xdr:colOff>
                <xdr:row>12</xdr:row>
                <xdr:rowOff>190500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R24"/>
  <sheetViews>
    <sheetView workbookViewId="0">
      <selection activeCell="L16" sqref="L16"/>
    </sheetView>
  </sheetViews>
  <sheetFormatPr defaultRowHeight="15" x14ac:dyDescent="0.25"/>
  <sheetData>
    <row r="1" spans="1:18" ht="15.75" thickBot="1" x14ac:dyDescent="0.3">
      <c r="A1" s="102" t="s">
        <v>31</v>
      </c>
      <c r="B1" s="95" t="s">
        <v>83</v>
      </c>
      <c r="C1" s="104" t="s">
        <v>84</v>
      </c>
      <c r="D1" s="104" t="s">
        <v>85</v>
      </c>
      <c r="E1" s="104" t="s">
        <v>86</v>
      </c>
      <c r="F1" s="105" t="s">
        <v>13</v>
      </c>
      <c r="G1" s="105" t="s">
        <v>15</v>
      </c>
      <c r="H1" s="105" t="s">
        <v>14</v>
      </c>
      <c r="I1" s="106" t="s">
        <v>87</v>
      </c>
      <c r="J1" s="103" t="s">
        <v>82</v>
      </c>
      <c r="K1" s="68">
        <v>0.1</v>
      </c>
    </row>
    <row r="2" spans="1:18" x14ac:dyDescent="0.25">
      <c r="A2" s="29">
        <v>0</v>
      </c>
      <c r="B2" s="7">
        <v>1</v>
      </c>
      <c r="C2" s="107">
        <f>-B2</f>
        <v>-1</v>
      </c>
      <c r="D2" s="108">
        <v>1</v>
      </c>
      <c r="E2" s="109">
        <f>(B2)^2</f>
        <v>1</v>
      </c>
      <c r="F2" s="107">
        <v>1</v>
      </c>
      <c r="G2" s="113">
        <v>-2</v>
      </c>
      <c r="H2" s="113">
        <v>1</v>
      </c>
      <c r="I2" s="7">
        <v>1</v>
      </c>
    </row>
    <row r="3" spans="1:18" x14ac:dyDescent="0.25">
      <c r="A3" s="26">
        <v>1</v>
      </c>
      <c r="B3" s="8">
        <v>1.1000000000000001</v>
      </c>
      <c r="C3" s="26">
        <f>-B3</f>
        <v>-1.1000000000000001</v>
      </c>
      <c r="D3" s="19">
        <v>1</v>
      </c>
      <c r="E3" s="12">
        <f>(B3)^2</f>
        <v>1.2100000000000002</v>
      </c>
      <c r="F3" s="26">
        <f>1-(C3*$K$1/2)</f>
        <v>1.0549999999999999</v>
      </c>
      <c r="G3" s="8">
        <f>2-(D3*(($K$1)^2))</f>
        <v>1.99</v>
      </c>
      <c r="H3" s="8">
        <f>1+(C3*$K$1/2)</f>
        <v>0.94499999999999995</v>
      </c>
      <c r="I3" s="8">
        <f>E3*$K$1*$K$1</f>
        <v>1.2100000000000003E-2</v>
      </c>
    </row>
    <row r="4" spans="1:18" x14ac:dyDescent="0.25">
      <c r="A4" s="26">
        <v>2</v>
      </c>
      <c r="B4" s="8">
        <v>1.2</v>
      </c>
      <c r="C4" s="26">
        <f t="shared" ref="C4:C12" si="0">-B4</f>
        <v>-1.2</v>
      </c>
      <c r="D4" s="19">
        <v>1</v>
      </c>
      <c r="E4" s="12">
        <f t="shared" ref="E4:E12" si="1">(B4)^2</f>
        <v>1.44</v>
      </c>
      <c r="F4" s="26">
        <f t="shared" ref="F4:F11" si="2">1-(C4*$K$1/2)</f>
        <v>1.06</v>
      </c>
      <c r="G4" s="8">
        <f t="shared" ref="G4:G11" si="3">2-(D4*(($K$1)^2))</f>
        <v>1.99</v>
      </c>
      <c r="H4" s="8">
        <f t="shared" ref="H4:H11" si="4">1+(C4*$K$1/2)</f>
        <v>0.94</v>
      </c>
      <c r="I4" s="8">
        <f t="shared" ref="I4:I11" si="5">E4*$K$1*$K$1</f>
        <v>1.44E-2</v>
      </c>
    </row>
    <row r="5" spans="1:18" x14ac:dyDescent="0.25">
      <c r="A5" s="26">
        <v>3</v>
      </c>
      <c r="B5" s="8">
        <v>1.3</v>
      </c>
      <c r="C5" s="26">
        <f t="shared" si="0"/>
        <v>-1.3</v>
      </c>
      <c r="D5" s="19">
        <v>1</v>
      </c>
      <c r="E5" s="12">
        <f t="shared" si="1"/>
        <v>1.6900000000000002</v>
      </c>
      <c r="F5" s="26">
        <f t="shared" si="2"/>
        <v>1.0649999999999999</v>
      </c>
      <c r="G5" s="8">
        <f t="shared" si="3"/>
        <v>1.99</v>
      </c>
      <c r="H5" s="8">
        <f t="shared" si="4"/>
        <v>0.93500000000000005</v>
      </c>
      <c r="I5" s="8">
        <f t="shared" si="5"/>
        <v>1.6900000000000005E-2</v>
      </c>
    </row>
    <row r="6" spans="1:18" x14ac:dyDescent="0.25">
      <c r="A6" s="26">
        <v>4</v>
      </c>
      <c r="B6" s="8">
        <v>1.4</v>
      </c>
      <c r="C6" s="26">
        <f t="shared" si="0"/>
        <v>-1.4</v>
      </c>
      <c r="D6" s="19">
        <v>1</v>
      </c>
      <c r="E6" s="12">
        <f t="shared" si="1"/>
        <v>1.9599999999999997</v>
      </c>
      <c r="F6" s="26">
        <f t="shared" si="2"/>
        <v>1.07</v>
      </c>
      <c r="G6" s="8">
        <f t="shared" si="3"/>
        <v>1.99</v>
      </c>
      <c r="H6" s="8">
        <f t="shared" si="4"/>
        <v>0.93</v>
      </c>
      <c r="I6" s="8">
        <f t="shared" si="5"/>
        <v>1.9599999999999999E-2</v>
      </c>
    </row>
    <row r="7" spans="1:18" x14ac:dyDescent="0.25">
      <c r="A7" s="26">
        <v>5</v>
      </c>
      <c r="B7" s="8">
        <v>1.5</v>
      </c>
      <c r="C7" s="26">
        <f t="shared" si="0"/>
        <v>-1.5</v>
      </c>
      <c r="D7" s="19">
        <v>1</v>
      </c>
      <c r="E7" s="12">
        <f t="shared" si="1"/>
        <v>2.25</v>
      </c>
      <c r="F7" s="26">
        <f t="shared" si="2"/>
        <v>1.075</v>
      </c>
      <c r="G7" s="8">
        <f t="shared" si="3"/>
        <v>1.99</v>
      </c>
      <c r="H7" s="8">
        <f t="shared" si="4"/>
        <v>0.92500000000000004</v>
      </c>
      <c r="I7" s="8">
        <f t="shared" si="5"/>
        <v>2.2500000000000003E-2</v>
      </c>
    </row>
    <row r="8" spans="1:18" x14ac:dyDescent="0.25">
      <c r="A8" s="26">
        <v>6</v>
      </c>
      <c r="B8" s="8">
        <v>1.6</v>
      </c>
      <c r="C8" s="26">
        <f t="shared" si="0"/>
        <v>-1.6</v>
      </c>
      <c r="D8" s="19">
        <v>1</v>
      </c>
      <c r="E8" s="12">
        <f t="shared" si="1"/>
        <v>2.5600000000000005</v>
      </c>
      <c r="F8" s="26">
        <f t="shared" si="2"/>
        <v>1.08</v>
      </c>
      <c r="G8" s="8">
        <f t="shared" si="3"/>
        <v>1.99</v>
      </c>
      <c r="H8" s="8">
        <f t="shared" si="4"/>
        <v>0.91999999999999993</v>
      </c>
      <c r="I8" s="8">
        <f t="shared" si="5"/>
        <v>2.5600000000000008E-2</v>
      </c>
      <c r="L8" s="19"/>
    </row>
    <row r="9" spans="1:18" x14ac:dyDescent="0.25">
      <c r="A9" s="26">
        <v>7</v>
      </c>
      <c r="B9" s="8">
        <v>1.7</v>
      </c>
      <c r="C9" s="26">
        <f t="shared" si="0"/>
        <v>-1.7</v>
      </c>
      <c r="D9" s="19">
        <v>1</v>
      </c>
      <c r="E9" s="12">
        <f t="shared" si="1"/>
        <v>2.8899999999999997</v>
      </c>
      <c r="F9" s="26">
        <f t="shared" si="2"/>
        <v>1.085</v>
      </c>
      <c r="G9" s="8">
        <f t="shared" si="3"/>
        <v>1.99</v>
      </c>
      <c r="H9" s="8">
        <f t="shared" si="4"/>
        <v>0.91500000000000004</v>
      </c>
      <c r="I9" s="8">
        <f t="shared" si="5"/>
        <v>2.8899999999999999E-2</v>
      </c>
    </row>
    <row r="10" spans="1:18" x14ac:dyDescent="0.25">
      <c r="A10" s="26">
        <v>8</v>
      </c>
      <c r="B10" s="8">
        <v>1.8</v>
      </c>
      <c r="C10" s="26">
        <f t="shared" si="0"/>
        <v>-1.8</v>
      </c>
      <c r="D10" s="19">
        <v>1</v>
      </c>
      <c r="E10" s="12">
        <f t="shared" si="1"/>
        <v>3.24</v>
      </c>
      <c r="F10" s="26">
        <f t="shared" si="2"/>
        <v>1.0900000000000001</v>
      </c>
      <c r="G10" s="8">
        <f t="shared" si="3"/>
        <v>1.99</v>
      </c>
      <c r="H10" s="8">
        <f t="shared" si="4"/>
        <v>0.91</v>
      </c>
      <c r="I10" s="8">
        <f t="shared" si="5"/>
        <v>3.2400000000000005E-2</v>
      </c>
    </row>
    <row r="11" spans="1:18" x14ac:dyDescent="0.25">
      <c r="A11" s="26">
        <v>9</v>
      </c>
      <c r="B11" s="8">
        <v>1.9</v>
      </c>
      <c r="C11" s="26">
        <f t="shared" si="0"/>
        <v>-1.9</v>
      </c>
      <c r="D11" s="19">
        <v>1</v>
      </c>
      <c r="E11" s="12">
        <f t="shared" si="1"/>
        <v>3.61</v>
      </c>
      <c r="F11" s="26">
        <f t="shared" si="2"/>
        <v>1.095</v>
      </c>
      <c r="G11" s="8">
        <f t="shared" si="3"/>
        <v>1.99</v>
      </c>
      <c r="H11" s="8">
        <f t="shared" si="4"/>
        <v>0.90500000000000003</v>
      </c>
      <c r="I11" s="8">
        <f t="shared" si="5"/>
        <v>3.61E-2</v>
      </c>
    </row>
    <row r="12" spans="1:18" ht="15.75" thickBot="1" x14ac:dyDescent="0.3">
      <c r="A12" s="27">
        <v>10</v>
      </c>
      <c r="B12" s="9">
        <v>2</v>
      </c>
      <c r="C12" s="110">
        <f t="shared" si="0"/>
        <v>-2</v>
      </c>
      <c r="D12" s="111">
        <v>1</v>
      </c>
      <c r="E12" s="112">
        <f t="shared" si="1"/>
        <v>4</v>
      </c>
      <c r="F12" s="110">
        <v>1</v>
      </c>
      <c r="G12" s="114">
        <v>-2</v>
      </c>
      <c r="H12" s="114">
        <v>1</v>
      </c>
      <c r="I12" s="9">
        <v>4</v>
      </c>
    </row>
    <row r="13" spans="1:18" ht="15.75" thickBot="1" x14ac:dyDescent="0.3">
      <c r="L13" s="19"/>
    </row>
    <row r="14" spans="1:18" x14ac:dyDescent="0.25">
      <c r="A14" s="29">
        <v>1</v>
      </c>
      <c r="B14" s="20">
        <v>0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11">
        <v>0</v>
      </c>
      <c r="L14" s="19"/>
      <c r="M14" s="115">
        <f t="array" ref="M14:M24">MMULT(MINVERSE(A14:K24),I2:I12)</f>
        <v>1.0000000000000002</v>
      </c>
      <c r="O14" s="19"/>
      <c r="R14" s="19"/>
    </row>
    <row r="15" spans="1:18" x14ac:dyDescent="0.25">
      <c r="A15" s="26">
        <f>F3</f>
        <v>1.0549999999999999</v>
      </c>
      <c r="B15" s="19">
        <f>G3</f>
        <v>1.99</v>
      </c>
      <c r="C15" s="19">
        <f>H3</f>
        <v>0.94499999999999995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2">
        <v>0</v>
      </c>
      <c r="L15" s="19"/>
      <c r="M15" s="116">
        <v>-1.2103729362141258</v>
      </c>
      <c r="O15" s="19"/>
      <c r="R15" s="19"/>
    </row>
    <row r="16" spans="1:18" x14ac:dyDescent="0.25">
      <c r="A16" s="26">
        <v>0</v>
      </c>
      <c r="B16" s="19">
        <f>F4</f>
        <v>1.06</v>
      </c>
      <c r="C16" s="19">
        <f>G4</f>
        <v>1.99</v>
      </c>
      <c r="D16" s="19">
        <f>H4</f>
        <v>0.94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19">
        <v>0</v>
      </c>
      <c r="K16" s="12">
        <v>0</v>
      </c>
      <c r="L16" s="19"/>
      <c r="M16" s="116">
        <v>1.4452297810223387</v>
      </c>
      <c r="O16" s="19"/>
      <c r="R16" s="19"/>
    </row>
    <row r="17" spans="1:18" x14ac:dyDescent="0.25">
      <c r="A17" s="26">
        <v>0</v>
      </c>
      <c r="B17" s="19">
        <v>0</v>
      </c>
      <c r="C17" s="19">
        <f>F5</f>
        <v>1.0649999999999999</v>
      </c>
      <c r="D17" s="19">
        <f>G5</f>
        <v>1.99</v>
      </c>
      <c r="E17" s="19">
        <f>H5</f>
        <v>0.93500000000000005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2">
        <v>0</v>
      </c>
      <c r="L17" s="19"/>
      <c r="M17" s="116">
        <v>-1.6793744168590226</v>
      </c>
      <c r="O17" s="19"/>
      <c r="R17" s="19"/>
    </row>
    <row r="18" spans="1:18" x14ac:dyDescent="0.25">
      <c r="A18" s="26">
        <v>0</v>
      </c>
      <c r="B18" s="19">
        <v>0</v>
      </c>
      <c r="C18" s="19">
        <v>0</v>
      </c>
      <c r="D18" s="19">
        <f>F6</f>
        <v>1.07</v>
      </c>
      <c r="E18" s="19">
        <f>G6</f>
        <v>1.99</v>
      </c>
      <c r="F18" s="19">
        <f>H6</f>
        <v>0.93</v>
      </c>
      <c r="G18" s="19">
        <v>0</v>
      </c>
      <c r="H18" s="19">
        <v>0</v>
      </c>
      <c r="I18" s="19">
        <v>0</v>
      </c>
      <c r="J18" s="19">
        <v>0</v>
      </c>
      <c r="K18" s="12">
        <v>0</v>
      </c>
      <c r="L18" s="19"/>
      <c r="M18" s="116">
        <v>1.9461875644499085</v>
      </c>
      <c r="O18" s="19"/>
      <c r="R18" s="19"/>
    </row>
    <row r="19" spans="1:18" x14ac:dyDescent="0.25">
      <c r="A19" s="26">
        <v>0</v>
      </c>
      <c r="B19" s="19">
        <v>0</v>
      </c>
      <c r="C19" s="19">
        <v>0</v>
      </c>
      <c r="D19" s="19">
        <v>0</v>
      </c>
      <c r="E19" s="19">
        <f>F7</f>
        <v>1.075</v>
      </c>
      <c r="F19" s="19">
        <f>G7</f>
        <v>1.99</v>
      </c>
      <c r="G19" s="19">
        <f>H7</f>
        <v>0.92500000000000004</v>
      </c>
      <c r="H19" s="19">
        <v>0</v>
      </c>
      <c r="I19" s="19">
        <v>0</v>
      </c>
      <c r="J19" s="19">
        <v>0</v>
      </c>
      <c r="K19" s="12">
        <v>0</v>
      </c>
      <c r="L19" s="19"/>
      <c r="M19" s="116">
        <v>-2.2111641152861972</v>
      </c>
      <c r="O19" s="19"/>
      <c r="R19" s="19"/>
    </row>
    <row r="20" spans="1:18" x14ac:dyDescent="0.25">
      <c r="A20" s="26">
        <v>0</v>
      </c>
      <c r="B20" s="19">
        <v>0</v>
      </c>
      <c r="C20" s="19">
        <v>0</v>
      </c>
      <c r="D20" s="19">
        <v>0</v>
      </c>
      <c r="E20" s="19">
        <v>0</v>
      </c>
      <c r="F20" s="19">
        <f>F8</f>
        <v>1.08</v>
      </c>
      <c r="G20" s="19">
        <f>G8</f>
        <v>1.99</v>
      </c>
      <c r="H20" s="19">
        <f>H8</f>
        <v>0.91999999999999993</v>
      </c>
      <c r="I20" s="19">
        <v>0</v>
      </c>
      <c r="J20" s="19">
        <v>0</v>
      </c>
      <c r="K20" s="12">
        <v>0</v>
      </c>
      <c r="L20" s="19"/>
      <c r="M20" s="116">
        <v>2.5195296839306822</v>
      </c>
      <c r="O20" s="19"/>
      <c r="R20" s="19"/>
    </row>
    <row r="21" spans="1:18" x14ac:dyDescent="0.25">
      <c r="A21" s="26">
        <v>0</v>
      </c>
      <c r="B21" s="19">
        <v>0</v>
      </c>
      <c r="C21" s="19">
        <v>0</v>
      </c>
      <c r="D21" s="19">
        <v>0</v>
      </c>
      <c r="E21" s="19">
        <v>0</v>
      </c>
      <c r="F21" s="19">
        <v>0</v>
      </c>
      <c r="G21" s="19">
        <f>F9</f>
        <v>1.085</v>
      </c>
      <c r="H21" s="19">
        <f>G9</f>
        <v>1.99</v>
      </c>
      <c r="I21" s="19">
        <f>H9</f>
        <v>0.91500000000000004</v>
      </c>
      <c r="J21" s="19">
        <v>0</v>
      </c>
      <c r="K21" s="12">
        <v>0</v>
      </c>
      <c r="L21" s="19"/>
      <c r="M21" s="116">
        <v>-2.8263117679488747</v>
      </c>
      <c r="O21" s="19"/>
      <c r="R21" s="19"/>
    </row>
    <row r="22" spans="1:18" x14ac:dyDescent="0.25">
      <c r="A22" s="26">
        <v>0</v>
      </c>
      <c r="B22" s="19">
        <v>0</v>
      </c>
      <c r="C22" s="19">
        <v>0</v>
      </c>
      <c r="D22" s="19">
        <v>0</v>
      </c>
      <c r="E22" s="19">
        <v>0</v>
      </c>
      <c r="F22" s="19">
        <v>0</v>
      </c>
      <c r="G22" s="19">
        <v>0</v>
      </c>
      <c r="H22" s="19">
        <f>F10</f>
        <v>1.0900000000000001</v>
      </c>
      <c r="I22" s="19">
        <f>G10</f>
        <v>1.99</v>
      </c>
      <c r="J22" s="19">
        <f>H10</f>
        <v>0.91</v>
      </c>
      <c r="K22" s="12">
        <v>0</v>
      </c>
      <c r="L22" s="19"/>
      <c r="M22" s="116">
        <v>3.1907876624628098</v>
      </c>
      <c r="O22" s="19"/>
      <c r="R22" s="19"/>
    </row>
    <row r="23" spans="1:18" x14ac:dyDescent="0.25">
      <c r="A23" s="26">
        <v>0</v>
      </c>
      <c r="B23" s="19">
        <v>0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f>F11</f>
        <v>1.095</v>
      </c>
      <c r="J23" s="19">
        <f>G11</f>
        <v>1.99</v>
      </c>
      <c r="K23" s="12">
        <f>H11</f>
        <v>0.90500000000000003</v>
      </c>
      <c r="L23" s="19"/>
      <c r="M23" s="116">
        <v>-3.5566896936667223</v>
      </c>
      <c r="O23" s="19"/>
      <c r="R23" s="19"/>
    </row>
    <row r="24" spans="1:18" ht="15.75" thickBot="1" x14ac:dyDescent="0.3">
      <c r="A24" s="27">
        <v>0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13">
        <v>1</v>
      </c>
      <c r="L24" s="19"/>
      <c r="M24" s="117">
        <v>4</v>
      </c>
      <c r="O24" s="19"/>
      <c r="R24" s="1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15</xdr:col>
                <xdr:colOff>0</xdr:colOff>
                <xdr:row>0</xdr:row>
                <xdr:rowOff>9525</xdr:rowOff>
              </from>
              <to>
                <xdr:col>18</xdr:col>
                <xdr:colOff>0</xdr:colOff>
                <xdr:row>4</xdr:row>
                <xdr:rowOff>180975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T31"/>
  <sheetViews>
    <sheetView topLeftCell="A11" workbookViewId="0">
      <selection activeCell="H29" sqref="H29"/>
    </sheetView>
  </sheetViews>
  <sheetFormatPr defaultRowHeight="15" x14ac:dyDescent="0.25"/>
  <cols>
    <col min="4" max="4" width="9.28515625" customWidth="1"/>
    <col min="16" max="16" width="12.7109375" bestFit="1" customWidth="1"/>
    <col min="17" max="17" width="9.7109375" bestFit="1" customWidth="1"/>
    <col min="18" max="18" width="12" bestFit="1" customWidth="1"/>
  </cols>
  <sheetData>
    <row r="1" spans="1:15" x14ac:dyDescent="0.25">
      <c r="A1">
        <v>48</v>
      </c>
      <c r="B1">
        <v>52</v>
      </c>
      <c r="C1">
        <f>(A1+B1)/2</f>
        <v>50</v>
      </c>
      <c r="D1">
        <f>fun_2(A1)</f>
        <v>-1.1959605764496197</v>
      </c>
      <c r="E1">
        <f t="shared" ref="D1:F2" si="0">fun_2(B1)</f>
        <v>6.0571185366389928</v>
      </c>
      <c r="F1">
        <f t="shared" si="0"/>
        <v>0.27590061199763072</v>
      </c>
      <c r="G1">
        <f>ABS(B1-A1)</f>
        <v>4</v>
      </c>
      <c r="I1">
        <f>fun_2pp(A1)</f>
        <v>-5.8573503664370978</v>
      </c>
      <c r="J1">
        <f>fun_2pp(B1)</f>
        <v>455.71585074566366</v>
      </c>
      <c r="K1">
        <f>I1*J1*D1*E1</f>
        <v>19336.518098768622</v>
      </c>
    </row>
    <row r="2" spans="1:15" x14ac:dyDescent="0.25">
      <c r="A2">
        <f>IF(AND(D1*F1&lt;0,fun_2p(A1)*fun_2p(C1)&lt;0),A1,C1)</f>
        <v>50</v>
      </c>
      <c r="B2">
        <f>IF(AND(D1*F1&lt;0,fun_2p(A1)*fun_2p(C1)&lt;0),C1,B1)</f>
        <v>52</v>
      </c>
      <c r="C2">
        <f>(A2+B2)/2</f>
        <v>51</v>
      </c>
      <c r="D2">
        <f t="shared" si="0"/>
        <v>0.27590061199763072</v>
      </c>
      <c r="E2">
        <f t="shared" si="0"/>
        <v>6.0571185366389928</v>
      </c>
      <c r="F2">
        <f t="shared" si="0"/>
        <v>-0.89916458074798011</v>
      </c>
      <c r="G2">
        <f>ABS(B2-A2)</f>
        <v>2</v>
      </c>
      <c r="I2">
        <f>fun_2pp(A2)</f>
        <v>0.5840076173823493</v>
      </c>
      <c r="J2">
        <f>fun_2pp(B2)</f>
        <v>455.71585074566366</v>
      </c>
      <c r="K2">
        <f t="shared" ref="K2:K3" si="1">I2*J2*D2*E2</f>
        <v>444.76579782542416</v>
      </c>
    </row>
    <row r="3" spans="1:15" x14ac:dyDescent="0.25">
      <c r="A3">
        <f>IF(AND(D2*F2&lt;0,fun_2p(A2)*fun_2p(C2)&lt;0),A2,C2)</f>
        <v>51</v>
      </c>
      <c r="B3">
        <f>IF(AND(D2*F2&lt;0,fun_2p(A2)*fun_2p(C2)&lt;0),C2,B2)</f>
        <v>52</v>
      </c>
      <c r="C3">
        <f t="shared" ref="C3:C5" si="2">(A3+B3)/2</f>
        <v>51.5</v>
      </c>
      <c r="D3">
        <f t="shared" ref="D3:D5" si="3">fun_2(A3)</f>
        <v>-0.89916458074798011</v>
      </c>
      <c r="E3">
        <f t="shared" ref="E3:E5" si="4">fun_2(B3)</f>
        <v>6.0571185366389928</v>
      </c>
      <c r="F3">
        <f t="shared" ref="F3:F5" si="5">fun_2(C3)</f>
        <v>-2.856892448326851</v>
      </c>
      <c r="G3">
        <f t="shared" ref="G3:G5" si="6">ABS(B3-A3)</f>
        <v>1</v>
      </c>
      <c r="I3">
        <f>fun_2pp(A3)</f>
        <v>-3.2792194593879462</v>
      </c>
      <c r="J3">
        <f>fun_2pp(B3)</f>
        <v>455.71585074566366</v>
      </c>
      <c r="K3">
        <f t="shared" si="1"/>
        <v>8138.9781195299256</v>
      </c>
    </row>
    <row r="4" spans="1:15" x14ac:dyDescent="0.25">
      <c r="A4">
        <f>IF(AND(D3*F3&lt;0,fun_2p(A3)*fun_2p(C3)&lt;0),A3,C3)</f>
        <v>51.5</v>
      </c>
      <c r="B4">
        <f>IF(AND(D3*F3&lt;0,fun_2p(A3)*fun_2p(C3)&lt;0),C3,B3)</f>
        <v>52</v>
      </c>
      <c r="C4">
        <f t="shared" si="2"/>
        <v>51.75</v>
      </c>
      <c r="D4">
        <f t="shared" si="3"/>
        <v>-2.856892448326851</v>
      </c>
      <c r="E4">
        <f t="shared" si="4"/>
        <v>6.0571185366389928</v>
      </c>
      <c r="F4">
        <f t="shared" si="5"/>
        <v>-11.5576962418824</v>
      </c>
      <c r="G4">
        <f t="shared" si="6"/>
        <v>0.5</v>
      </c>
    </row>
    <row r="5" spans="1:15" x14ac:dyDescent="0.25">
      <c r="A5">
        <f>IF(AND(D4*F4&lt;0,fun_2p(A4)*fun_2p(C4)&lt;0),A4,C4)</f>
        <v>51.75</v>
      </c>
      <c r="B5">
        <f>IF(AND(D4*F4&lt;0,fun_2p(A4)*fun_2p(C4)&lt;0),C4,B4)</f>
        <v>52</v>
      </c>
      <c r="C5">
        <f t="shared" si="2"/>
        <v>51.875</v>
      </c>
      <c r="D5">
        <f t="shared" si="3"/>
        <v>-11.5576962418824</v>
      </c>
      <c r="E5">
        <f t="shared" si="4"/>
        <v>6.0571185366389928</v>
      </c>
      <c r="F5">
        <f t="shared" si="5"/>
        <v>25.816582441892418</v>
      </c>
      <c r="G5">
        <f t="shared" si="6"/>
        <v>0.25</v>
      </c>
      <c r="N5">
        <v>-2</v>
      </c>
      <c r="O5">
        <v>3</v>
      </c>
    </row>
    <row r="6" spans="1:15" x14ac:dyDescent="0.25">
      <c r="A6">
        <f>IF(AND(D5*F5&lt;0,fun_2p(A5)*fun_2p(C5)&lt;0),A5,C5)</f>
        <v>51.875</v>
      </c>
      <c r="B6">
        <f>IF(AND(D5*F5&lt;0,fun_2p(A5)*fun_2p(C5)&lt;0),C5,B5)</f>
        <v>52</v>
      </c>
      <c r="C6">
        <f>(A6+B6)/2</f>
        <v>51.9375</v>
      </c>
      <c r="D6">
        <f>fun_2(A6)</f>
        <v>25.816582441892418</v>
      </c>
      <c r="E6">
        <f>fun_2(B6)</f>
        <v>6.0571185366389928</v>
      </c>
      <c r="F6">
        <f>fun_2(C6)</f>
        <v>9.8494391060993323</v>
      </c>
      <c r="G6">
        <f>ABS(B6-A6)</f>
        <v>0.125</v>
      </c>
      <c r="J6" t="s">
        <v>13</v>
      </c>
      <c r="K6" t="s">
        <v>14</v>
      </c>
      <c r="L6" t="s">
        <v>30</v>
      </c>
    </row>
    <row r="7" spans="1:15" x14ac:dyDescent="0.25">
      <c r="A7">
        <f>IF(AND(D6*F6&lt;0,fun_2p(A6)*fun_2p(C6)&lt;0),A6,C6)</f>
        <v>51.9375</v>
      </c>
      <c r="B7">
        <f>IF(AND(D6*F6&lt;0,fun_2p(A6)*fun_2p(C6)&lt;0),C6,B6)</f>
        <v>52</v>
      </c>
      <c r="C7">
        <f t="shared" ref="C7" si="7">(A7+B7)/2</f>
        <v>51.96875</v>
      </c>
      <c r="D7">
        <f t="shared" ref="D7" si="8">fun_2(A7)</f>
        <v>9.8494391060993323</v>
      </c>
      <c r="E7">
        <f t="shared" ref="E7" si="9">fun_2(B7)</f>
        <v>6.0571185366389928</v>
      </c>
      <c r="F7">
        <f t="shared" ref="F7" si="10">fun_2(C7)</f>
        <v>7.5084493593374679</v>
      </c>
      <c r="G7">
        <f t="shared" ref="G7" si="11">ABS(B7-A7)</f>
        <v>6.25E-2</v>
      </c>
      <c r="J7">
        <v>0.1</v>
      </c>
      <c r="K7">
        <v>1.5</v>
      </c>
      <c r="L7">
        <v>-200</v>
      </c>
      <c r="N7">
        <f>fun_1(N5)</f>
        <v>-9.1999999999999993</v>
      </c>
      <c r="O7">
        <f>fun_1(O5)</f>
        <v>15.8</v>
      </c>
    </row>
    <row r="8" spans="1:15" x14ac:dyDescent="0.25">
      <c r="A8">
        <f>IF(AND(D7*F7&lt;0,fun_2p(A7)*fun_2p(C7)&lt;0),A7,C7)</f>
        <v>51.96875</v>
      </c>
      <c r="B8">
        <f>IF(AND(D7*F7&lt;0,fun_2p(A7)*fun_2p(C7)&lt;0),C7,B7)</f>
        <v>52</v>
      </c>
      <c r="C8">
        <f>(A8+B8)/2</f>
        <v>51.984375</v>
      </c>
      <c r="D8">
        <f>fun_2(A8)</f>
        <v>7.5084493593374679</v>
      </c>
      <c r="E8">
        <f>fun_2(B8)</f>
        <v>6.0571185366389928</v>
      </c>
      <c r="F8">
        <f>fun_2(C8)</f>
        <v>6.7067765719038528</v>
      </c>
      <c r="G8">
        <f>ABS(B8-A8)</f>
        <v>3.125E-2</v>
      </c>
      <c r="J8">
        <f>fun_2(J7)</f>
        <v>1.8996653279145495</v>
      </c>
      <c r="N8">
        <f>fun_1pp(N5)</f>
        <v>-12</v>
      </c>
      <c r="O8">
        <f>fun_1pp(O5)</f>
        <v>18</v>
      </c>
    </row>
    <row r="9" spans="1:15" x14ac:dyDescent="0.25">
      <c r="A9">
        <f>IF(AND(D8*F8&lt;0,fun_2p(A8)*fun_2p(C8)&lt;0),A8,C8)</f>
        <v>51.984375</v>
      </c>
      <c r="B9">
        <f>IF(AND(D8*F8&lt;0,fun_2p(A8)*fun_2p(C8)&lt;0),C8,B8)</f>
        <v>52</v>
      </c>
      <c r="C9">
        <f t="shared" ref="C9" si="12">(A9+B9)/2</f>
        <v>51.9921875</v>
      </c>
      <c r="D9">
        <f t="shared" ref="D9" si="13">fun_2(A9)</f>
        <v>6.7067765719038528</v>
      </c>
      <c r="E9">
        <f t="shared" ref="E9" si="14">fun_2(B9)</f>
        <v>6.0571185366389928</v>
      </c>
      <c r="F9">
        <f t="shared" ref="F9" si="15">fun_2(C9)</f>
        <v>6.3658023497997975</v>
      </c>
      <c r="G9">
        <f t="shared" ref="G9" si="16">ABS(B9-A9)</f>
        <v>1.5625E-2</v>
      </c>
      <c r="J9">
        <f>fun_2p(J7)</f>
        <v>-21.010067046422492</v>
      </c>
      <c r="K9">
        <f>fun_2p(K7)</f>
        <v>-199.9389334153814</v>
      </c>
    </row>
    <row r="10" spans="1:15" x14ac:dyDescent="0.25">
      <c r="A10">
        <f>IF(AND(D9*F9&lt;0,fun_2p(A9)*fun_2p(C9)&lt;0),A9,C9)</f>
        <v>51.9921875</v>
      </c>
      <c r="B10">
        <f>IF(AND(D9*F9&lt;0,fun_2p(A9)*fun_2p(C9)&lt;0),C9,B9)</f>
        <v>52</v>
      </c>
      <c r="C10">
        <f>(A10+B10)/2</f>
        <v>51.99609375</v>
      </c>
      <c r="D10">
        <f t="shared" ref="D10:F13" si="17">fun_2(A10)</f>
        <v>6.3658023497997975</v>
      </c>
      <c r="E10">
        <f t="shared" si="17"/>
        <v>6.0571185366389928</v>
      </c>
      <c r="F10">
        <f t="shared" si="17"/>
        <v>6.2077201276890834</v>
      </c>
      <c r="G10">
        <f>ABS(B10-A10)</f>
        <v>7.8125E-3</v>
      </c>
      <c r="K10">
        <f>fun_2pp(K7)</f>
        <v>-5636.2202901395567</v>
      </c>
    </row>
    <row r="11" spans="1:15" x14ac:dyDescent="0.25">
      <c r="A11">
        <f>IF(AND(D10*F10&lt;0,fun_2p(A10)*fun_2p(C10)&lt;0),A10,C10)</f>
        <v>51.99609375</v>
      </c>
      <c r="B11">
        <f>IF(AND(D10*F10&lt;0,fun_2p(A10)*fun_2p(C10)&lt;0),C10,B10)</f>
        <v>52</v>
      </c>
      <c r="C11">
        <f>(A11+B11)/2</f>
        <v>51.998046875</v>
      </c>
      <c r="D11">
        <f t="shared" si="17"/>
        <v>6.2077201276890834</v>
      </c>
      <c r="E11">
        <f t="shared" si="17"/>
        <v>6.0571185366389928</v>
      </c>
      <c r="F11">
        <f t="shared" si="17"/>
        <v>6.1315181246104098</v>
      </c>
      <c r="G11">
        <f>ABS(B11-A11)</f>
        <v>3.90625E-3</v>
      </c>
      <c r="J11">
        <v>1.5</v>
      </c>
      <c r="K11">
        <v>0.1</v>
      </c>
    </row>
    <row r="12" spans="1:15" x14ac:dyDescent="0.25">
      <c r="A12">
        <f>IF(AND(D11*F11&lt;0,fun_2p(A11)*fun_2p(C11)&lt;0),A11,C11)</f>
        <v>51.998046875</v>
      </c>
      <c r="B12">
        <f>IF(AND(D11*F11&lt;0,fun_2p(A11)*fun_2p(C11)&lt;0),C11,B11)</f>
        <v>52</v>
      </c>
      <c r="C12">
        <f>(A12+B12)/2</f>
        <v>51.9990234375</v>
      </c>
      <c r="D12">
        <f t="shared" si="17"/>
        <v>6.1315181246104098</v>
      </c>
      <c r="E12">
        <f t="shared" si="17"/>
        <v>6.0571185366389928</v>
      </c>
      <c r="F12">
        <f t="shared" si="17"/>
        <v>6.0940970848134173</v>
      </c>
      <c r="G12">
        <f>ABS(B12-A12)</f>
        <v>1.953125E-3</v>
      </c>
    </row>
    <row r="13" spans="1:15" x14ac:dyDescent="0.25">
      <c r="A13">
        <f>IF(AND(D12*F12&lt;0,fun_2p(A12)*fun_2p(C12)&lt;0),A12,C12)</f>
        <v>51.9990234375</v>
      </c>
      <c r="B13">
        <f>IF(AND(D12*F12&lt;0,fun_2p(A12)*fun_2p(C12)&lt;0),C12,B12)</f>
        <v>52</v>
      </c>
      <c r="C13">
        <f>(A13+B13)/2</f>
        <v>51.99951171875</v>
      </c>
      <c r="D13">
        <f t="shared" si="17"/>
        <v>6.0940970848134173</v>
      </c>
      <c r="E13">
        <f t="shared" si="17"/>
        <v>6.0571185366389928</v>
      </c>
      <c r="F13">
        <f t="shared" si="17"/>
        <v>6.0755529956668113</v>
      </c>
      <c r="G13">
        <f>ABS(B13-A13)</f>
        <v>9.765625E-4</v>
      </c>
    </row>
    <row r="16" spans="1:15" ht="15.75" thickBot="1" x14ac:dyDescent="0.3"/>
    <row r="17" spans="1:20" ht="15.75" thickBot="1" x14ac:dyDescent="0.3">
      <c r="J17" s="102" t="s">
        <v>31</v>
      </c>
      <c r="K17" s="118" t="s">
        <v>83</v>
      </c>
      <c r="L17" s="104" t="s">
        <v>84</v>
      </c>
      <c r="M17" s="104" t="s">
        <v>85</v>
      </c>
      <c r="N17" s="104" t="s">
        <v>86</v>
      </c>
      <c r="O17" s="105" t="s">
        <v>13</v>
      </c>
      <c r="P17" s="105" t="s">
        <v>15</v>
      </c>
      <c r="Q17" s="105" t="s">
        <v>14</v>
      </c>
      <c r="R17" s="106" t="s">
        <v>87</v>
      </c>
      <c r="S17" s="103" t="s">
        <v>82</v>
      </c>
      <c r="T17" s="68">
        <v>0.1</v>
      </c>
    </row>
    <row r="18" spans="1:20" x14ac:dyDescent="0.25">
      <c r="A18">
        <v>1</v>
      </c>
      <c r="E18">
        <v>1</v>
      </c>
      <c r="F18">
        <v>-2</v>
      </c>
      <c r="G18">
        <v>1</v>
      </c>
      <c r="H18">
        <v>1</v>
      </c>
      <c r="J18" s="29">
        <v>0</v>
      </c>
      <c r="K18" s="7">
        <v>1</v>
      </c>
      <c r="L18" s="107">
        <f>-K18</f>
        <v>-1</v>
      </c>
      <c r="M18" s="108">
        <v>1</v>
      </c>
      <c r="N18" s="109">
        <f>(K18)^2</f>
        <v>1</v>
      </c>
      <c r="O18" s="107">
        <v>1</v>
      </c>
      <c r="P18" s="113">
        <v>-2</v>
      </c>
      <c r="Q18" s="113">
        <v>1</v>
      </c>
      <c r="R18" s="7">
        <v>1</v>
      </c>
    </row>
    <row r="19" spans="1:20" x14ac:dyDescent="0.25">
      <c r="A19">
        <v>2</v>
      </c>
      <c r="E19">
        <v>1</v>
      </c>
      <c r="F19">
        <v>-2</v>
      </c>
      <c r="G19">
        <v>1</v>
      </c>
      <c r="H19">
        <v>4</v>
      </c>
      <c r="J19" s="26">
        <v>1</v>
      </c>
      <c r="K19" s="8">
        <v>1.1000000000000001</v>
      </c>
      <c r="L19" s="26">
        <f>-K19</f>
        <v>-1.1000000000000001</v>
      </c>
      <c r="M19" s="19">
        <v>1</v>
      </c>
      <c r="N19" s="12">
        <f>(K19)^2</f>
        <v>1.2100000000000002</v>
      </c>
      <c r="O19" s="26">
        <f>1-(L19*$K$1/2)</f>
        <v>10636.084954322743</v>
      </c>
      <c r="P19" s="8">
        <f>2-(M19*(($K$1)^2))</f>
        <v>-373900930.18400645</v>
      </c>
      <c r="Q19" s="8">
        <f>1+(L19*$K$1/2)</f>
        <v>-10634.084954322743</v>
      </c>
      <c r="R19" s="8">
        <f>N19*$K$1*$K$1</f>
        <v>452420127.94264793</v>
      </c>
    </row>
    <row r="20" spans="1:20" x14ac:dyDescent="0.25">
      <c r="J20" s="26">
        <v>2</v>
      </c>
      <c r="K20" s="8">
        <v>1.2</v>
      </c>
      <c r="L20" s="26">
        <f t="shared" ref="L20:L28" si="18">-K20</f>
        <v>-1.2</v>
      </c>
      <c r="M20" s="19">
        <v>1</v>
      </c>
      <c r="N20" s="12">
        <f t="shared" ref="N20:N28" si="19">(K20)^2</f>
        <v>1.44</v>
      </c>
      <c r="O20" s="26">
        <f t="shared" ref="O20:O27" si="20">1-(L20*$K$1/2)</f>
        <v>11602.910859261172</v>
      </c>
      <c r="P20" s="8">
        <f t="shared" ref="P20:P27" si="21">2-(M20*(($K$1)^2))</f>
        <v>-373900930.18400645</v>
      </c>
      <c r="Q20" s="8">
        <f t="shared" ref="Q20:Q27" si="22">1+(L20*$K$1/2)</f>
        <v>-11600.910859261172</v>
      </c>
      <c r="R20" s="8">
        <f t="shared" ref="R20:R27" si="23">N20*$K$1*$K$1</f>
        <v>538417342.34496927</v>
      </c>
    </row>
    <row r="21" spans="1:20" x14ac:dyDescent="0.25">
      <c r="J21" s="26">
        <v>3</v>
      </c>
      <c r="K21" s="8">
        <v>1.3</v>
      </c>
      <c r="L21" s="26">
        <f t="shared" si="18"/>
        <v>-1.3</v>
      </c>
      <c r="M21" s="19">
        <v>1</v>
      </c>
      <c r="N21" s="12">
        <f t="shared" si="19"/>
        <v>1.6900000000000002</v>
      </c>
      <c r="O21" s="26">
        <f t="shared" si="20"/>
        <v>12569.736764199604</v>
      </c>
      <c r="P21" s="8">
        <f t="shared" si="21"/>
        <v>-373900930.18400645</v>
      </c>
      <c r="Q21" s="8">
        <f t="shared" si="22"/>
        <v>-12567.736764199604</v>
      </c>
      <c r="R21" s="8">
        <f t="shared" si="23"/>
        <v>631892575.39097095</v>
      </c>
    </row>
    <row r="22" spans="1:20" x14ac:dyDescent="0.25">
      <c r="B22">
        <v>1</v>
      </c>
      <c r="C22">
        <v>0</v>
      </c>
      <c r="E22">
        <v>1</v>
      </c>
      <c r="G22">
        <f t="array" ref="G22:G23">MMULT(MINVERSE(B22:C23),E22:E23)</f>
        <v>1</v>
      </c>
      <c r="J22" s="26">
        <v>4</v>
      </c>
      <c r="K22" s="8">
        <v>1.4</v>
      </c>
      <c r="L22" s="26">
        <f t="shared" si="18"/>
        <v>-1.4</v>
      </c>
      <c r="M22" s="19">
        <v>1</v>
      </c>
      <c r="N22" s="12">
        <f t="shared" si="19"/>
        <v>1.9599999999999997</v>
      </c>
      <c r="O22" s="26">
        <f t="shared" si="20"/>
        <v>13536.562669138035</v>
      </c>
      <c r="P22" s="8">
        <f t="shared" si="21"/>
        <v>-373900930.18400645</v>
      </c>
      <c r="Q22" s="8">
        <f t="shared" si="22"/>
        <v>-13534.562669138035</v>
      </c>
      <c r="R22" s="8">
        <f>N22*$K$1*$K$1</f>
        <v>732845827.08065248</v>
      </c>
    </row>
    <row r="23" spans="1:20" x14ac:dyDescent="0.25">
      <c r="B23">
        <v>0</v>
      </c>
      <c r="C23">
        <v>1</v>
      </c>
      <c r="E23">
        <v>4</v>
      </c>
      <c r="G23">
        <v>4</v>
      </c>
      <c r="J23" s="26">
        <v>5</v>
      </c>
      <c r="K23" s="8">
        <v>1.5</v>
      </c>
      <c r="L23" s="26">
        <f t="shared" si="18"/>
        <v>-1.5</v>
      </c>
      <c r="M23" s="19">
        <v>1</v>
      </c>
      <c r="N23" s="12">
        <f t="shared" si="19"/>
        <v>2.25</v>
      </c>
      <c r="O23" s="26">
        <f t="shared" si="20"/>
        <v>14503.388574076467</v>
      </c>
      <c r="P23" s="8">
        <f t="shared" si="21"/>
        <v>-373900930.18400645</v>
      </c>
      <c r="Q23" s="8">
        <f t="shared" si="22"/>
        <v>-14501.388574076467</v>
      </c>
      <c r="R23" s="8">
        <f t="shared" si="23"/>
        <v>841277097.41401458</v>
      </c>
    </row>
    <row r="24" spans="1:20" x14ac:dyDescent="0.25">
      <c r="J24" s="26">
        <v>6</v>
      </c>
      <c r="K24" s="8">
        <v>1.6</v>
      </c>
      <c r="L24" s="26">
        <f t="shared" si="18"/>
        <v>-1.6</v>
      </c>
      <c r="M24" s="19">
        <v>1</v>
      </c>
      <c r="N24" s="12">
        <f t="shared" si="19"/>
        <v>2.5600000000000005</v>
      </c>
      <c r="O24" s="26">
        <f>1-(L24*$K$1/2)</f>
        <v>15470.214479014898</v>
      </c>
      <c r="P24" s="8">
        <f t="shared" si="21"/>
        <v>-373900930.18400645</v>
      </c>
      <c r="Q24" s="8">
        <f t="shared" si="22"/>
        <v>-15468.214479014898</v>
      </c>
      <c r="R24" s="8">
        <f t="shared" si="23"/>
        <v>957186386.39105666</v>
      </c>
    </row>
    <row r="25" spans="1:20" x14ac:dyDescent="0.25">
      <c r="A25">
        <v>0</v>
      </c>
      <c r="B25">
        <v>1</v>
      </c>
      <c r="I25">
        <v>1</v>
      </c>
      <c r="J25" s="26">
        <v>7</v>
      </c>
      <c r="K25" s="8">
        <v>1.7</v>
      </c>
      <c r="L25" s="26">
        <f t="shared" si="18"/>
        <v>-1.7</v>
      </c>
      <c r="M25" s="19">
        <v>1</v>
      </c>
      <c r="N25" s="12">
        <f t="shared" si="19"/>
        <v>2.8899999999999997</v>
      </c>
      <c r="O25" s="26">
        <f t="shared" si="20"/>
        <v>16437.040383953328</v>
      </c>
      <c r="P25" s="8">
        <f>2-(M25*(($K$1)^2))</f>
        <v>-373900930.18400645</v>
      </c>
      <c r="Q25" s="8">
        <f>1+(L25*$K$1/2)</f>
        <v>-16435.040383953328</v>
      </c>
      <c r="R25" s="8">
        <f t="shared" si="23"/>
        <v>1080573694.0117786</v>
      </c>
    </row>
    <row r="26" spans="1:20" x14ac:dyDescent="0.25">
      <c r="A26">
        <v>1</v>
      </c>
      <c r="B26">
        <v>1.5</v>
      </c>
      <c r="C26">
        <v>-1.5</v>
      </c>
      <c r="D26">
        <v>1</v>
      </c>
      <c r="E26">
        <v>2.25</v>
      </c>
      <c r="F26">
        <f>1-(C26*0.5/2)</f>
        <v>1.375</v>
      </c>
      <c r="G26">
        <f>2-(M25*((0.5)^2))</f>
        <v>1.75</v>
      </c>
      <c r="H26">
        <f>1+(C26*0.5/2)</f>
        <v>0.625</v>
      </c>
      <c r="I26">
        <f>E26*0.25</f>
        <v>0.5625</v>
      </c>
      <c r="J26" s="26">
        <v>8</v>
      </c>
      <c r="K26" s="8">
        <v>1.8</v>
      </c>
      <c r="L26" s="26">
        <f t="shared" si="18"/>
        <v>-1.8</v>
      </c>
      <c r="M26" s="19">
        <v>1</v>
      </c>
      <c r="N26" s="12">
        <f t="shared" si="19"/>
        <v>3.24</v>
      </c>
      <c r="O26" s="26">
        <f t="shared" si="20"/>
        <v>17403.866288891761</v>
      </c>
      <c r="P26" s="8">
        <f t="shared" si="21"/>
        <v>-373900930.18400645</v>
      </c>
      <c r="Q26" s="8">
        <f t="shared" si="22"/>
        <v>-17401.866288891761</v>
      </c>
      <c r="R26" s="8">
        <f t="shared" si="23"/>
        <v>1211439020.276181</v>
      </c>
    </row>
    <row r="27" spans="1:20" x14ac:dyDescent="0.25">
      <c r="A27">
        <v>2</v>
      </c>
      <c r="B27">
        <v>2</v>
      </c>
      <c r="I27">
        <v>4</v>
      </c>
      <c r="J27" s="26">
        <v>9</v>
      </c>
      <c r="K27" s="8">
        <v>1.9</v>
      </c>
      <c r="L27" s="26">
        <f t="shared" si="18"/>
        <v>-1.9</v>
      </c>
      <c r="M27" s="19">
        <v>1</v>
      </c>
      <c r="N27" s="12">
        <f t="shared" si="19"/>
        <v>3.61</v>
      </c>
      <c r="O27" s="26">
        <f t="shared" si="20"/>
        <v>18370.692193830189</v>
      </c>
      <c r="P27" s="8">
        <f t="shared" si="21"/>
        <v>-373900930.18400645</v>
      </c>
      <c r="Q27" s="8">
        <f t="shared" si="22"/>
        <v>-18368.692193830189</v>
      </c>
      <c r="R27" s="8">
        <f t="shared" si="23"/>
        <v>1349782365.1842632</v>
      </c>
    </row>
    <row r="28" spans="1:20" ht="15.75" thickBot="1" x14ac:dyDescent="0.3">
      <c r="J28" s="27">
        <v>10</v>
      </c>
      <c r="K28" s="9">
        <v>2</v>
      </c>
      <c r="L28" s="110">
        <f t="shared" si="18"/>
        <v>-2</v>
      </c>
      <c r="M28" s="111">
        <v>1</v>
      </c>
      <c r="N28" s="112">
        <f t="shared" si="19"/>
        <v>4</v>
      </c>
      <c r="O28" s="110">
        <v>1</v>
      </c>
      <c r="P28" s="114">
        <v>-2</v>
      </c>
      <c r="Q28" s="114">
        <v>1</v>
      </c>
      <c r="R28" s="9">
        <v>4</v>
      </c>
    </row>
    <row r="29" spans="1:20" x14ac:dyDescent="0.25">
      <c r="B29">
        <v>1</v>
      </c>
      <c r="C29">
        <v>0</v>
      </c>
      <c r="D29">
        <v>0</v>
      </c>
      <c r="G29">
        <f t="array" ref="G29:G31">MMULT(MINVERSE(B29:D31),I25:I27)</f>
        <v>1.0000000000000002</v>
      </c>
    </row>
    <row r="30" spans="1:20" x14ac:dyDescent="0.25">
      <c r="B30">
        <v>1.375</v>
      </c>
      <c r="C30">
        <v>1.75</v>
      </c>
      <c r="D30">
        <v>0.625</v>
      </c>
      <c r="G30">
        <v>-1.892857142857143</v>
      </c>
    </row>
    <row r="31" spans="1:20" x14ac:dyDescent="0.25">
      <c r="B31">
        <v>0</v>
      </c>
      <c r="C31">
        <v>0</v>
      </c>
      <c r="D31">
        <v>1</v>
      </c>
      <c r="G3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Введение</vt:lpstr>
      <vt:lpstr>Интегралы</vt:lpstr>
      <vt:lpstr>Метод Дихотомии</vt:lpstr>
      <vt:lpstr>Метод Касательных</vt:lpstr>
      <vt:lpstr>Метод Хорд</vt:lpstr>
      <vt:lpstr>Комбинированный</vt:lpstr>
      <vt:lpstr>Метод Итераций</vt:lpstr>
      <vt:lpstr>Канонический полином</vt:lpstr>
      <vt:lpstr>Полином Лагранжа</vt:lpstr>
      <vt:lpstr>Полином Ньютона</vt:lpstr>
      <vt:lpstr>Аппроксимация</vt:lpstr>
      <vt:lpstr>Диффуры</vt:lpstr>
      <vt:lpstr>Черновичок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2019-05-20T22:41:22Z</dcterms:modified>
</cp:coreProperties>
</file>