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9" activeTab="10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Compartments" sheetId="18" r:id="rId5"/>
    <sheet name="Pressure Gradients" sheetId="9" r:id="rId6"/>
    <sheet name="Organ Composition" sheetId="1" r:id="rId7"/>
    <sheet name="Organ Blood Flow" sheetId="7" r:id="rId8"/>
    <sheet name="Flows &amp; Conductances" sheetId="10" r:id="rId9"/>
    <sheet name="Cardiac Output" sheetId="13" r:id="rId10"/>
    <sheet name="Osmoles" sheetId="19" r:id="rId11"/>
    <sheet name="Blood Volume" sheetId="12" r:id="rId12"/>
    <sheet name="Calories Used" sheetId="2" r:id="rId13"/>
    <sheet name="Insulin Receptors" sheetId="14" r:id="rId14"/>
    <sheet name="PV-Arteries" sheetId="15" r:id="rId15"/>
    <sheet name="PV-Veins" sheetId="16" r:id="rId16"/>
    <sheet name="PV-Lungs" sheetId="17" r:id="rId17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ell_H2O">'Organ Composition'!$D$31</definedName>
    <definedName name="CoronaryGradient">'Pressure Gradients'!$D$6</definedName>
    <definedName name="CoronarySinusOutflow">'Flows &amp; Conductances'!$B$30</definedName>
    <definedName name="Density">'PV-Arteries'!$G$3</definedName>
    <definedName name="ECFV_H2O">'Organ Composition'!$D$32</definedName>
    <definedName name="EfferentArtyGradient">'Pressure Gradients'!$D$9</definedName>
    <definedName name="External_H2O">'Organ Composition'!$D$33</definedName>
    <definedName name="F_BV_Arteries">'PV-Arteries'!$B$3</definedName>
    <definedName name="F_BV_Lungs">'PV-Arteries'!$D$3</definedName>
    <definedName name="F_BV_Veins">'PV-Arteries'!$C$3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TMP_LeftAtrium">'Blood Pressures'!$D$18</definedName>
    <definedName name="TMP_PulmonaryArtery">'Blood Pressures'!$D$15</definedName>
    <definedName name="TMP_PulmonaryCapillaries">'Blood Pressures'!$D$16</definedName>
    <definedName name="TMP_PulmonaryVeins">'Blood Pressures'!$D$17</definedName>
    <definedName name="TMP_RightAtrium">'Blood Pressures'!$D$14</definedName>
    <definedName name="TMP_SplanchnicVeins">'Blood Pressures'!$D$13</definedName>
    <definedName name="TMP_SystemicArteries">'Blood Pressures'!$D$4</definedName>
    <definedName name="TMP_SystemicVeins">'Blood Pressures'!$D$12</definedName>
    <definedName name="Total_H2O">'Organ Composition'!$D$34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E23" i="19" l="1"/>
  <c r="E20" i="19"/>
  <c r="E22" i="19"/>
  <c r="E19" i="19"/>
  <c r="E16" i="19"/>
  <c r="E12" i="19"/>
  <c r="E11" i="19"/>
  <c r="E10" i="19"/>
  <c r="E9" i="19"/>
  <c r="E8" i="19"/>
  <c r="E7" i="19"/>
  <c r="C35" i="19"/>
  <c r="C36" i="19" s="1"/>
  <c r="C34" i="19"/>
  <c r="C32" i="19"/>
  <c r="C31" i="19"/>
  <c r="C30" i="19"/>
  <c r="C29" i="19"/>
  <c r="C28" i="19"/>
  <c r="C27" i="19"/>
  <c r="I3" i="19"/>
  <c r="I4" i="19" s="1"/>
  <c r="H3" i="19"/>
  <c r="H4" i="19" s="1"/>
  <c r="C14" i="19" s="1"/>
  <c r="G3" i="19"/>
  <c r="G4" i="19" s="1"/>
  <c r="F3" i="19"/>
  <c r="F4" i="19" s="1"/>
  <c r="C32" i="1"/>
  <c r="D31" i="1"/>
  <c r="D32" i="1"/>
  <c r="D29" i="1"/>
  <c r="D27" i="1"/>
  <c r="D26" i="1"/>
  <c r="D25" i="1"/>
  <c r="D24" i="1"/>
  <c r="D22" i="1"/>
  <c r="D20" i="1"/>
  <c r="F22" i="10"/>
  <c r="E22" i="10"/>
  <c r="C41" i="19" l="1"/>
  <c r="C42" i="19" s="1"/>
  <c r="C38" i="19"/>
  <c r="C39" i="19" s="1"/>
  <c r="C15" i="19"/>
  <c r="C17" i="19" s="1"/>
  <c r="C7" i="19"/>
  <c r="C8" i="19"/>
  <c r="D34" i="1"/>
  <c r="E18" i="18"/>
  <c r="E17" i="18"/>
  <c r="E16" i="18"/>
  <c r="G16" i="18" s="1"/>
  <c r="H16" i="13"/>
  <c r="F16" i="13"/>
  <c r="D16" i="13"/>
  <c r="B16" i="13"/>
  <c r="G14" i="13"/>
  <c r="H14" i="13" s="1"/>
  <c r="F14" i="13"/>
  <c r="D14" i="13"/>
  <c r="G13" i="13"/>
  <c r="H13" i="13" s="1"/>
  <c r="F13" i="13"/>
  <c r="F15" i="13" s="1"/>
  <c r="D13" i="13"/>
  <c r="B13" i="13"/>
  <c r="G12" i="13"/>
  <c r="H12" i="13" s="1"/>
  <c r="F12" i="13"/>
  <c r="D12" i="13"/>
  <c r="B15" i="13"/>
  <c r="G27" i="18"/>
  <c r="G26" i="18"/>
  <c r="G25" i="18"/>
  <c r="G24" i="18"/>
  <c r="G18" i="18"/>
  <c r="G17" i="18"/>
  <c r="G8" i="18"/>
  <c r="F27" i="18"/>
  <c r="F26" i="18"/>
  <c r="F25" i="18"/>
  <c r="F24" i="18"/>
  <c r="F18" i="18"/>
  <c r="F17" i="18"/>
  <c r="F16" i="18"/>
  <c r="F8" i="18"/>
  <c r="E8" i="18"/>
  <c r="B27" i="18"/>
  <c r="B26" i="18"/>
  <c r="B25" i="18"/>
  <c r="B24" i="18"/>
  <c r="C16" i="18"/>
  <c r="C9" i="19" l="1"/>
  <c r="C10" i="19" s="1"/>
  <c r="C11" i="19" s="1"/>
  <c r="D15" i="13"/>
  <c r="H15" i="13"/>
  <c r="C21" i="18"/>
  <c r="C12" i="18"/>
  <c r="C6" i="18"/>
  <c r="C19" i="19" l="1"/>
  <c r="C20" i="19" s="1"/>
  <c r="C12" i="19"/>
  <c r="C22" i="19" s="1"/>
  <c r="C23" i="19" s="1"/>
  <c r="C19" i="18"/>
  <c r="C28" i="18"/>
  <c r="B4" i="18"/>
  <c r="B36" i="18"/>
  <c r="B35" i="18"/>
  <c r="B34" i="18"/>
  <c r="B33" i="18"/>
  <c r="B21" i="18"/>
  <c r="B12" i="18"/>
  <c r="B15" i="18" s="1"/>
  <c r="B6" i="18"/>
  <c r="B8" i="18" s="1"/>
  <c r="B9" i="18" s="1"/>
  <c r="E26" i="18" l="1"/>
  <c r="B23" i="18"/>
  <c r="B18" i="18"/>
  <c r="B17" i="18"/>
  <c r="B16" i="18"/>
  <c r="B37" i="18"/>
  <c r="E27" i="18"/>
  <c r="B10" i="18"/>
  <c r="E25" i="18"/>
  <c r="C10" i="18"/>
  <c r="D18" i="6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B19" i="18" l="1"/>
  <c r="E24" i="18"/>
  <c r="B28" i="18"/>
  <c r="F22" i="14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Tom Coleman:</t>
        </r>
        <r>
          <rPr>
            <sz val="9"/>
            <color indexed="81"/>
            <rFont val="Tahoma"/>
            <family val="2"/>
          </rPr>
          <t xml:space="preserve">
P = (1/C) * (V - V0)
rearranging and using TMP
C = (1/TMP) * (V - V0)</t>
        </r>
      </text>
    </comment>
  </commentList>
</comments>
</file>

<file path=xl/comments2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<sst xmlns="http://schemas.openxmlformats.org/spreadsheetml/2006/main" count="522" uniqueCount="264">
  <si>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</si>
  <si>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</si>
  <si>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</si>
  <si>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</si>
  <si>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</si>
  <si>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</si>
  <si>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</si>
  <si>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</si>
  <si>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</si>
  <si>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</si>
  <si>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</si>
  <si>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</si>
  <si>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</si>
  <si>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</si>
  <si>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</si>
  <si>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</si>
  <si>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</si>
  <si>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</si>
  <si>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</si>
  <si>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</si>
  <si>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</si>
  <si>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</si>
  <si>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</si>
  <si>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</si>
  <si>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</si>
  <si>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</si>
  <si>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</si>
  <si>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</si>
  <si>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</si>
  <si>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</si>
  <si>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</si>
  <si>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</si>
  <si>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</si>
  <si>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</si>
  <si>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</si>
  <si>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</si>
  <si>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</si>
  <si>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</si>
  <si>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</si>
  <si>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</si>
  <si>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</si>
  <si>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</si>
  <si>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</si>
  <si>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</si>
  <si>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</si>
  <si>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</si>
  <si>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</si>
  <si>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</si>
  <si>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</si>
  <si>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</si>
  <si>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</si>
  <si>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</si>
  <si>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</si>
  <si>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</si>
  <si>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</si>
  <si>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</si>
  <si>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</si>
  <si>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</si>
  <si>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</si>
  <si>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</si>
  <si>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</si>
  <si>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</si>
  <si>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</si>
  <si>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</si>
  <si>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</si>
  <si>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</si>
  <si>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</si>
  <si>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</si>
  <si>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</si>
  <si>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</si>
  <si>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</si>
  <si>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</si>
  <si>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</si>
  <si>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</si>
  <si>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</si>
  <si>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</si>
  <si>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</si>
  <si>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</si>
  <si>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</si>
  <si>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</si>
  <si>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</si>
  <si>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</si>
  <si>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</si>
  <si>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</si>
  <si>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</si>
  <si>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</si>
  <si>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</si>
  <si>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</si>
  <si>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</si>
  <si>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</si>
  <si>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</si>
  <si>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</si>
  <si>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</si>
  <si>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</si>
  <si>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</si>
  <si>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</si>
  <si>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</si>
  <si>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</si>
  <si>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</si>
  <si>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</si>
  <si>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</si>
  <si>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</si>
  <si>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</si>
  <si>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</si>
  <si>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</si>
  <si>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</si>
  <si>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</si>
  <si>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</si>
  <si>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</si>
  <si>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</si>
  <si>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</si>
  <si>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</si>
  <si>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</si>
  <si>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</si>
  <si>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</si>
  <si>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</si>
  <si>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</si>
  <si>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</si>
  <si>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</si>
  <si>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</si>
  <si>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</si>
  <si>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</si>
  <si>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</si>
  <si>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</si>
  <si>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</si>
  <si>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</si>
  <si>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</si>
  <si>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</si>
  <si>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</si>
  <si>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</si>
  <si>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</si>
  <si>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</si>
  <si>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</si>
  <si>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</si>
  <si>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</si>
  <si>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</si>
  <si>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</si>
  <si>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</si>
  <si>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</si>
  <si>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</si>
  <si>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</si>
  <si>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</si>
  <si>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</si>
  <si>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</si>
  <si>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</si>
  <si>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</si>
  <si>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</si>
  <si>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</si>
  <si>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</si>
  <si>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</si>
  <si>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</si>
  <si>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</si>
  <si>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</si>
  <si>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</si>
  <si>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</si>
  <si>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</si>
  <si>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</si>
  <si>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</si>
  <si>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</si>
  <si>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</si>
  <si>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</si>
  <si>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</si>
  <si>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</si>
  <si>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</si>
  <si>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</si>
  <si>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</si>
  <si>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</si>
  <si>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</si>
  <si>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</si>
  <si>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</si>
  <si>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</si>
  <si>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</si>
  <si>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</si>
  <si>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</si>
  <si>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</si>
  <si>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</si>
  <si>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</si>
  <si>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</si>
  <si>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</si>
  <si>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</si>
  <si>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</si>
  <si>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</si>
  <si>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</si>
  <si>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</si>
  <si>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</si>
  <si>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</si>
  <si>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</si>
  <si>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</si>
  <si>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</si>
  <si>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</si>
  <si>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</si>
  <si>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</si>
  <si>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</si>
  <si>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</si>
  <si>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</si>
  <si>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</si>
  <si>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</si>
  <si>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</si>
  <si>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</si>
  <si>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</si>
  <si>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</si>
  <si>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</si>
  <si>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</si>
  <si>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</si>
  <si>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</si>
  <si>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</si>
  <si>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</si>
  <si>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</si>
  <si>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</si>
  <si>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</si>
  <si>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</si>
  <si>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</si>
  <si>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</si>
  <si>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</si>
  <si>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</si>
  <si>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</si>
  <si>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</si>
  <si>
    <t>Compartments</t>
  </si>
  <si>
    <t>Veins</t>
  </si>
  <si>
    <t>Sequestered</t>
  </si>
  <si>
    <t>Artery</t>
  </si>
  <si>
    <t>Capillaries</t>
  </si>
  <si>
    <t>Peripheral</t>
  </si>
  <si>
    <t>Caronary Sinus</t>
  </si>
  <si>
    <t>Checksum</t>
  </si>
  <si>
    <t>Blood Flow ====</t>
  </si>
  <si>
    <t>Veins ========</t>
  </si>
  <si>
    <t>Lungs ========</t>
  </si>
  <si>
    <t>Arteries ======</t>
  </si>
  <si>
    <t>V0-F</t>
  </si>
  <si>
    <t>Circulating</t>
  </si>
  <si>
    <t>C</t>
  </si>
  <si>
    <t>Rounded</t>
  </si>
  <si>
    <t>Osmoles</t>
  </si>
  <si>
    <t>ECFV</t>
  </si>
  <si>
    <t>Dissociation</t>
  </si>
  <si>
    <t>H20 Mass</t>
  </si>
  <si>
    <t>H2O Total</t>
  </si>
  <si>
    <t>ECFV-F</t>
  </si>
  <si>
    <t>Cell-F</t>
  </si>
  <si>
    <t>Gut</t>
  </si>
  <si>
    <t>Cell</t>
  </si>
  <si>
    <t>External</t>
  </si>
  <si>
    <t>[Osm]</t>
  </si>
  <si>
    <t>Physical</t>
  </si>
  <si>
    <t>Active</t>
  </si>
  <si>
    <t>Receptor</t>
  </si>
  <si>
    <t>[]</t>
  </si>
  <si>
    <t>Na+</t>
  </si>
  <si>
    <t>K+</t>
  </si>
  <si>
    <t>Total Anions</t>
  </si>
  <si>
    <t>Total Cations</t>
  </si>
  <si>
    <t>Total Ions</t>
  </si>
  <si>
    <t>ECFV =========</t>
  </si>
  <si>
    <t>Glucose</t>
  </si>
  <si>
    <t>Urea</t>
  </si>
  <si>
    <t>Other</t>
  </si>
  <si>
    <t>Total Osmoles</t>
  </si>
  <si>
    <t>Cell ==========</t>
  </si>
  <si>
    <t>Check Math []</t>
  </si>
  <si>
    <t>Total ! Ions</t>
  </si>
  <si>
    <t>Active Ions</t>
  </si>
  <si>
    <t>Total Active</t>
  </si>
  <si>
    <t>Check Maht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</si>
</sst>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4" sqref="C14"/>
    </sheetView>
  </sheetViews>
  <sheetFormatPr defaultRowHeight="15" x14ac:dyDescent="0.25"/>
  <cols>
    <col min="1" max="1" width="11" customWidth="1"/>
    <col min="3" max="3" width="12.42578125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  <row r="11" spans="1:8" x14ac:dyDescent="0.25">
      <c r="A11" t="s">
        <v>232</v>
      </c>
    </row>
    <row r="12" spans="1:8" x14ac:dyDescent="0.25">
      <c r="A12" t="s">
        <v>138</v>
      </c>
      <c r="B12" s="1">
        <v>26000</v>
      </c>
      <c r="C12" s="3">
        <v>0.16619999999999999</v>
      </c>
      <c r="D12" s="1">
        <f>C12*B12</f>
        <v>4321.2</v>
      </c>
      <c r="F12" s="1">
        <f>BaseMassFemale</f>
        <v>20794.799999999996</v>
      </c>
      <c r="G12" s="7">
        <f>BaseFlowGFemale</f>
        <v>0.17052149722811896</v>
      </c>
      <c r="H12" s="1">
        <f>G12*F12</f>
        <v>3545.9604305592875</v>
      </c>
    </row>
    <row r="13" spans="1:8" x14ac:dyDescent="0.25">
      <c r="A13" t="s">
        <v>55</v>
      </c>
      <c r="B13" s="1">
        <f>SMuscleMassMale</f>
        <v>26400</v>
      </c>
      <c r="C13" s="3">
        <v>3.0599999999999999E-2</v>
      </c>
      <c r="D13" s="1">
        <f>C13*B13</f>
        <v>807.83999999999992</v>
      </c>
      <c r="F13" s="1">
        <f>SMuscleMassFemale</f>
        <v>14628.900000000001</v>
      </c>
      <c r="G13" s="7">
        <f>SMuscleFlowGFemale</f>
        <v>2.983721055176489E-2</v>
      </c>
      <c r="H13" s="1">
        <f>G13*F13</f>
        <v>436.48556944071345</v>
      </c>
    </row>
    <row r="14" spans="1:8" x14ac:dyDescent="0.25">
      <c r="A14" t="s">
        <v>2</v>
      </c>
      <c r="B14" s="1">
        <v>16100</v>
      </c>
      <c r="C14" s="3">
        <v>1.6799999999999999E-2</v>
      </c>
      <c r="D14" s="1">
        <f>C14*B14</f>
        <v>270.47999999999996</v>
      </c>
      <c r="F14" s="1">
        <f>FatMassFemale</f>
        <v>19767.150000000001</v>
      </c>
      <c r="G14" s="7">
        <f>FatFlowGFemale</f>
        <v>1.8715596330275232E-2</v>
      </c>
      <c r="H14" s="1">
        <f>G14*F14</f>
        <v>369.95400000000006</v>
      </c>
    </row>
    <row r="15" spans="1:8" x14ac:dyDescent="0.25">
      <c r="A15" t="s">
        <v>32</v>
      </c>
      <c r="B15" s="1">
        <f>SUM(B12:B14)</f>
        <v>68500</v>
      </c>
      <c r="D15" s="1">
        <f>SUM(D12:D14)</f>
        <v>5399.5199999999995</v>
      </c>
      <c r="F15" s="1">
        <f>SUM(F12:F14)</f>
        <v>55190.85</v>
      </c>
      <c r="H15" s="1">
        <f>SUM(H12:H14)</f>
        <v>4352.4000000000005</v>
      </c>
    </row>
    <row r="16" spans="1:8" x14ac:dyDescent="0.25">
      <c r="A16" t="s">
        <v>139</v>
      </c>
      <c r="B16" s="1">
        <f>OrganMassMale</f>
        <v>68482.5</v>
      </c>
      <c r="D16" s="1">
        <f>CardiacOutputMale</f>
        <v>5400</v>
      </c>
      <c r="F16" s="1">
        <f>OrganMassFemale</f>
        <v>55190.85</v>
      </c>
      <c r="H16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E24" sqref="E24"/>
    </sheetView>
  </sheetViews>
  <sheetFormatPr defaultRowHeight="15" x14ac:dyDescent="0.25"/>
  <cols>
    <col min="1" max="1" width="14.85546875" customWidth="1"/>
    <col min="5" max="5" width="12.42578125" customWidth="1"/>
  </cols>
  <sheetData>
    <row r="1" spans="1:9" x14ac:dyDescent="0.25">
      <c r="A1" t="s">
        <v>233</v>
      </c>
      <c r="C1" t="s">
        <v>243</v>
      </c>
      <c r="E1" t="s">
        <v>235</v>
      </c>
      <c r="G1" t="s">
        <v>22</v>
      </c>
    </row>
    <row r="2" spans="1:9" x14ac:dyDescent="0.25">
      <c r="B2" t="s">
        <v>244</v>
      </c>
      <c r="C2" t="s">
        <v>245</v>
      </c>
      <c r="D2" t="s">
        <v>246</v>
      </c>
      <c r="E2">
        <v>0.93</v>
      </c>
      <c r="F2" t="s">
        <v>32</v>
      </c>
      <c r="G2" t="s">
        <v>241</v>
      </c>
      <c r="H2" t="s">
        <v>234</v>
      </c>
      <c r="I2" t="s">
        <v>242</v>
      </c>
    </row>
    <row r="3" spans="1:9" x14ac:dyDescent="0.25">
      <c r="B3">
        <v>302</v>
      </c>
      <c r="C3">
        <v>282</v>
      </c>
      <c r="F3">
        <f>Total_H2O</f>
        <v>43019.367120000003</v>
      </c>
      <c r="G3">
        <f>Cell_H2O</f>
        <v>27010.059615000002</v>
      </c>
      <c r="H3">
        <f>ECFV_H2O</f>
        <v>15034.307505000001</v>
      </c>
      <c r="I3">
        <f>External_H2O</f>
        <v>975</v>
      </c>
    </row>
    <row r="4" spans="1:9" x14ac:dyDescent="0.25">
      <c r="F4" s="5">
        <f>F3/1000</f>
        <v>43.019367120000005</v>
      </c>
      <c r="G4" s="5">
        <f>G3/1000</f>
        <v>27.010059615000003</v>
      </c>
      <c r="H4" s="5">
        <f>H3/1000</f>
        <v>15.034307505000001</v>
      </c>
      <c r="I4" s="5">
        <f>I3/1000</f>
        <v>0.97499999999999998</v>
      </c>
    </row>
    <row r="5" spans="1:9" x14ac:dyDescent="0.25">
      <c r="A5" t="s">
        <v>253</v>
      </c>
      <c r="B5" t="s">
        <v>247</v>
      </c>
      <c r="C5" t="s">
        <v>233</v>
      </c>
      <c r="E5" t="s">
        <v>246</v>
      </c>
    </row>
    <row r="7" spans="1:9" x14ac:dyDescent="0.25">
      <c r="A7" t="s">
        <v>248</v>
      </c>
      <c r="B7">
        <v>144</v>
      </c>
      <c r="C7" s="1">
        <f>B7*H4</f>
        <v>2164.9402807200004</v>
      </c>
      <c r="E7" s="1">
        <f>C7</f>
        <v>2164.9402807200004</v>
      </c>
    </row>
    <row r="8" spans="1:9" x14ac:dyDescent="0.25">
      <c r="A8" t="s">
        <v>249</v>
      </c>
      <c r="B8">
        <v>4.4000000000000004</v>
      </c>
      <c r="C8" s="1">
        <f>B8*H4</f>
        <v>66.15095302200001</v>
      </c>
      <c r="E8" s="1">
        <f>C8</f>
        <v>66.15095302200001</v>
      </c>
    </row>
    <row r="9" spans="1:9" x14ac:dyDescent="0.25">
      <c r="A9" t="s">
        <v>251</v>
      </c>
      <c r="C9" s="1">
        <f>SUM(C7:C8)</f>
        <v>2231.0912337420004</v>
      </c>
      <c r="E9" s="1">
        <f>C9</f>
        <v>2231.0912337420004</v>
      </c>
    </row>
    <row r="10" spans="1:9" x14ac:dyDescent="0.25">
      <c r="A10" t="s">
        <v>250</v>
      </c>
      <c r="C10" s="1">
        <f>C9</f>
        <v>2231.0912337420004</v>
      </c>
      <c r="E10" s="1">
        <f>C10</f>
        <v>2231.0912337420004</v>
      </c>
    </row>
    <row r="11" spans="1:9" x14ac:dyDescent="0.25">
      <c r="A11" t="s">
        <v>252</v>
      </c>
      <c r="C11" s="1">
        <f>C9+C10</f>
        <v>4462.1824674840009</v>
      </c>
      <c r="E11" s="1">
        <f>C11</f>
        <v>4462.1824674840009</v>
      </c>
    </row>
    <row r="12" spans="1:9" x14ac:dyDescent="0.25">
      <c r="A12" t="s">
        <v>261</v>
      </c>
      <c r="C12" s="1">
        <f>E2*C11</f>
        <v>4149.8296947601211</v>
      </c>
      <c r="E12" s="1">
        <f>C12</f>
        <v>4149.8296947601211</v>
      </c>
    </row>
    <row r="14" spans="1:9" x14ac:dyDescent="0.25">
      <c r="A14" t="s">
        <v>254</v>
      </c>
      <c r="B14">
        <v>5.5</v>
      </c>
      <c r="C14" s="1">
        <f>B14*H4</f>
        <v>82.688691277499998</v>
      </c>
      <c r="E14" s="1">
        <v>0</v>
      </c>
    </row>
    <row r="15" spans="1:9" x14ac:dyDescent="0.25">
      <c r="A15" t="s">
        <v>255</v>
      </c>
      <c r="B15">
        <v>4</v>
      </c>
      <c r="C15" s="1">
        <f>B15*H4</f>
        <v>60.137230020000004</v>
      </c>
      <c r="E15" s="1">
        <v>0</v>
      </c>
    </row>
    <row r="16" spans="1:9" x14ac:dyDescent="0.25">
      <c r="A16" t="s">
        <v>256</v>
      </c>
      <c r="C16" s="1">
        <v>0</v>
      </c>
      <c r="E16" s="1">
        <f>C16</f>
        <v>0</v>
      </c>
    </row>
    <row r="17" spans="1:5" x14ac:dyDescent="0.25">
      <c r="A17" t="s">
        <v>260</v>
      </c>
      <c r="C17" s="1">
        <f>SUM(C14:C16)</f>
        <v>142.8259212975</v>
      </c>
      <c r="E17" s="1">
        <v>0</v>
      </c>
    </row>
    <row r="19" spans="1:5" x14ac:dyDescent="0.25">
      <c r="A19" t="s">
        <v>257</v>
      </c>
      <c r="C19" s="1">
        <f>SUM(C11,C17)</f>
        <v>4605.0083887815008</v>
      </c>
      <c r="E19" s="1">
        <f>SUM(E11,E17)</f>
        <v>4462.1824674840009</v>
      </c>
    </row>
    <row r="20" spans="1:5" x14ac:dyDescent="0.25">
      <c r="A20" t="s">
        <v>259</v>
      </c>
      <c r="C20" s="1">
        <f>C19/H4</f>
        <v>306.3</v>
      </c>
      <c r="E20" s="1">
        <f>E19/H4</f>
        <v>296.8</v>
      </c>
    </row>
    <row r="22" spans="1:5" x14ac:dyDescent="0.25">
      <c r="A22" t="s">
        <v>262</v>
      </c>
      <c r="C22" s="1">
        <f>SUM(C12,C17)</f>
        <v>4292.655616057621</v>
      </c>
      <c r="E22" s="1">
        <f>SUM(E12,E17)</f>
        <v>4149.8296947601211</v>
      </c>
    </row>
    <row r="23" spans="1:5" x14ac:dyDescent="0.25">
      <c r="A23" t="s">
        <v>259</v>
      </c>
      <c r="C23" s="1">
        <f>C22/H4</f>
        <v>285.52400000000006</v>
      </c>
      <c r="E23" s="1">
        <f>E22/H4</f>
        <v>276.02400000000006</v>
      </c>
    </row>
    <row r="25" spans="1:5" x14ac:dyDescent="0.25">
      <c r="A25" t="s">
        <v>258</v>
      </c>
    </row>
    <row r="27" spans="1:5" x14ac:dyDescent="0.25">
      <c r="A27" t="s">
        <v>249</v>
      </c>
      <c r="B27">
        <v>140</v>
      </c>
      <c r="C27" s="1">
        <f>B27*G4</f>
        <v>3781.4083461000005</v>
      </c>
    </row>
    <row r="28" spans="1:5" x14ac:dyDescent="0.25">
      <c r="A28" t="s">
        <v>256</v>
      </c>
      <c r="B28">
        <v>10</v>
      </c>
      <c r="C28" s="1">
        <f>B28*G4</f>
        <v>270.10059615</v>
      </c>
    </row>
    <row r="29" spans="1:5" x14ac:dyDescent="0.25">
      <c r="A29" t="s">
        <v>251</v>
      </c>
      <c r="C29" s="1">
        <f>SUM(C27:C28)</f>
        <v>4051.5089422500005</v>
      </c>
    </row>
    <row r="30" spans="1:5" x14ac:dyDescent="0.25">
      <c r="A30" t="s">
        <v>250</v>
      </c>
      <c r="C30" s="1">
        <f>C29</f>
        <v>4051.5089422500005</v>
      </c>
    </row>
    <row r="31" spans="1:5" x14ac:dyDescent="0.25">
      <c r="A31" t="s">
        <v>252</v>
      </c>
      <c r="C31" s="1">
        <f>C29+C30</f>
        <v>8103.0178845000009</v>
      </c>
    </row>
    <row r="32" spans="1:5" x14ac:dyDescent="0.25">
      <c r="A32" t="s">
        <v>261</v>
      </c>
      <c r="C32" s="1">
        <f>E2*C31</f>
        <v>7535.8066325850014</v>
      </c>
    </row>
    <row r="34" spans="1:3" x14ac:dyDescent="0.25">
      <c r="A34" t="s">
        <v>255</v>
      </c>
      <c r="B34">
        <v>4</v>
      </c>
      <c r="C34" s="1">
        <f>B34*G4</f>
        <v>108.04023846000001</v>
      </c>
    </row>
    <row r="35" spans="1:3" x14ac:dyDescent="0.25">
      <c r="A35" t="s">
        <v>256</v>
      </c>
      <c r="B35">
        <v>2</v>
      </c>
      <c r="C35" s="1">
        <f>B35*G4</f>
        <v>54.020119230000006</v>
      </c>
    </row>
    <row r="36" spans="1:3" x14ac:dyDescent="0.25">
      <c r="A36" t="s">
        <v>260</v>
      </c>
      <c r="C36" s="1">
        <f>C34+C35</f>
        <v>162.06035769000002</v>
      </c>
    </row>
    <row r="38" spans="1:3" x14ac:dyDescent="0.25">
      <c r="A38" t="s">
        <v>257</v>
      </c>
      <c r="C38" s="1">
        <f>C31+C36</f>
        <v>8265.0782421900003</v>
      </c>
    </row>
    <row r="39" spans="1:3" x14ac:dyDescent="0.25">
      <c r="A39" t="s">
        <v>263</v>
      </c>
      <c r="C39">
        <f>C38/G4</f>
        <v>306</v>
      </c>
    </row>
    <row r="41" spans="1:3" x14ac:dyDescent="0.25">
      <c r="A41" t="s">
        <v>262</v>
      </c>
      <c r="C41" s="1">
        <f>C32+C36</f>
        <v>7697.8669902750016</v>
      </c>
    </row>
    <row r="42" spans="1:3" x14ac:dyDescent="0.25">
      <c r="A42" t="s">
        <v>259</v>
      </c>
      <c r="C42">
        <f>C41/G4</f>
        <v>285.00000000000006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2" workbookViewId="0">
      <selection activeCell="D3" sqref="D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E18" sqref="E18"/>
    </sheetView>
  </sheetViews>
  <sheetFormatPr defaultRowHeight="15" x14ac:dyDescent="0.25"/>
  <cols>
    <col min="1" max="1" width="14.85546875" customWidth="1"/>
  </cols>
  <sheetData>
    <row r="1" spans="1:7" x14ac:dyDescent="0.25">
      <c r="A1" t="s">
        <v>217</v>
      </c>
    </row>
    <row r="3" spans="1:7" x14ac:dyDescent="0.25">
      <c r="A3" t="s">
        <v>136</v>
      </c>
      <c r="B3" s="1"/>
      <c r="C3" t="s">
        <v>106</v>
      </c>
      <c r="D3" t="s">
        <v>229</v>
      </c>
      <c r="E3" t="s">
        <v>196</v>
      </c>
      <c r="F3" t="s">
        <v>78</v>
      </c>
      <c r="G3" t="s">
        <v>231</v>
      </c>
    </row>
    <row r="4" spans="1:7" x14ac:dyDescent="0.25">
      <c r="A4" t="s">
        <v>32</v>
      </c>
      <c r="B4" s="1">
        <f>BloodVolume_Male</f>
        <v>5407.95</v>
      </c>
    </row>
    <row r="6" spans="1:7" x14ac:dyDescent="0.25">
      <c r="A6" t="s">
        <v>228</v>
      </c>
      <c r="B6" s="1">
        <f>BloodVolume_Male_Arteries</f>
        <v>973.43099999999993</v>
      </c>
      <c r="C6">
        <f>F_BV_Arteries</f>
        <v>0.18</v>
      </c>
    </row>
    <row r="7" spans="1:7" x14ac:dyDescent="0.25">
      <c r="A7" t="s">
        <v>219</v>
      </c>
      <c r="B7" s="1">
        <v>50</v>
      </c>
    </row>
    <row r="8" spans="1:7" x14ac:dyDescent="0.25">
      <c r="A8" t="s">
        <v>230</v>
      </c>
      <c r="B8" s="1">
        <f>B6-B7</f>
        <v>923.43099999999993</v>
      </c>
      <c r="D8">
        <v>0.85</v>
      </c>
      <c r="E8" s="1">
        <f>D8*B8</f>
        <v>784.91634999999997</v>
      </c>
      <c r="F8">
        <f>TMP_SystemicArteries</f>
        <v>97</v>
      </c>
      <c r="G8" s="6">
        <f>(1/F8)*(B8-E8)</f>
        <v>1.4279860824742263</v>
      </c>
    </row>
    <row r="9" spans="1:7" x14ac:dyDescent="0.25">
      <c r="A9" t="s">
        <v>93</v>
      </c>
      <c r="B9" s="1">
        <f>C9*B8</f>
        <v>923.43099999999993</v>
      </c>
      <c r="C9">
        <v>1</v>
      </c>
    </row>
    <row r="10" spans="1:7" x14ac:dyDescent="0.25">
      <c r="A10" t="s">
        <v>224</v>
      </c>
      <c r="B10" s="1">
        <f>SUM(B9:B9)</f>
        <v>923.43099999999993</v>
      </c>
      <c r="C10">
        <f>SUM(C9:C9)</f>
        <v>1</v>
      </c>
    </row>
    <row r="12" spans="1:7" x14ac:dyDescent="0.25">
      <c r="A12" t="s">
        <v>226</v>
      </c>
      <c r="B12" s="1">
        <f>BloodVolume_Male_Veins</f>
        <v>3623.3265000000001</v>
      </c>
      <c r="C12">
        <f>F_BV_Veins</f>
        <v>0.67</v>
      </c>
    </row>
    <row r="13" spans="1:7" x14ac:dyDescent="0.25">
      <c r="A13" t="s">
        <v>219</v>
      </c>
      <c r="B13" s="1">
        <v>150</v>
      </c>
    </row>
    <row r="14" spans="1:7" x14ac:dyDescent="0.25">
      <c r="A14" t="s">
        <v>183</v>
      </c>
      <c r="B14" s="1">
        <v>100</v>
      </c>
    </row>
    <row r="15" spans="1:7" x14ac:dyDescent="0.25">
      <c r="A15" t="s">
        <v>230</v>
      </c>
      <c r="B15" s="1">
        <f>B12-B13-B14</f>
        <v>3373.3265000000001</v>
      </c>
    </row>
    <row r="16" spans="1:7" x14ac:dyDescent="0.25">
      <c r="A16" t="s">
        <v>222</v>
      </c>
      <c r="B16" s="1">
        <f>C16*B15</f>
        <v>2310.7286525</v>
      </c>
      <c r="C16">
        <f>1-C17-C18</f>
        <v>0.68499999999999994</v>
      </c>
      <c r="D16">
        <v>0.5</v>
      </c>
      <c r="E16" s="1">
        <f>D16*B16</f>
        <v>1155.36432625</v>
      </c>
      <c r="F16">
        <f>TMP_SystemicVeins</f>
        <v>10</v>
      </c>
      <c r="G16" s="5">
        <f>(1/F16)*(B16-E16)</f>
        <v>115.536432625</v>
      </c>
    </row>
    <row r="17" spans="1:7" x14ac:dyDescent="0.25">
      <c r="A17" t="s">
        <v>185</v>
      </c>
      <c r="B17" s="1">
        <f>C17*B15</f>
        <v>1011.9979499999999</v>
      </c>
      <c r="C17">
        <v>0.3</v>
      </c>
      <c r="D17">
        <v>0.5</v>
      </c>
      <c r="E17" s="1">
        <f>D17*B17</f>
        <v>505.99897499999997</v>
      </c>
      <c r="F17">
        <f>TMP_SplanchnicVeins</f>
        <v>8</v>
      </c>
      <c r="G17" s="5">
        <f>(1/F17)*(B17-E17)</f>
        <v>63.249871874999997</v>
      </c>
    </row>
    <row r="18" spans="1:7" x14ac:dyDescent="0.25">
      <c r="A18" t="s">
        <v>70</v>
      </c>
      <c r="B18" s="1">
        <f>C18*B15</f>
        <v>50.599897499999997</v>
      </c>
      <c r="C18">
        <v>1.4999999999999999E-2</v>
      </c>
      <c r="D18">
        <v>0</v>
      </c>
      <c r="E18" s="1">
        <f>D18*B18</f>
        <v>0</v>
      </c>
      <c r="F18">
        <f>TMP_RightAtrium</f>
        <v>7</v>
      </c>
      <c r="G18" s="6">
        <f>(1/F18)*(B18-E18)</f>
        <v>7.2285567857142849</v>
      </c>
    </row>
    <row r="19" spans="1:7" x14ac:dyDescent="0.25">
      <c r="A19" t="s">
        <v>224</v>
      </c>
      <c r="B19" s="1">
        <f>SUM(B16:B18)</f>
        <v>3373.3265000000001</v>
      </c>
      <c r="C19">
        <f>SUM(C16:C18)</f>
        <v>0.99999999999999989</v>
      </c>
    </row>
    <row r="21" spans="1:7" x14ac:dyDescent="0.25">
      <c r="A21" t="s">
        <v>227</v>
      </c>
      <c r="B21" s="1">
        <f>BloodVolume_Male_Lungs</f>
        <v>811.1925</v>
      </c>
      <c r="C21">
        <f>F_BV_Lungs</f>
        <v>0.15</v>
      </c>
    </row>
    <row r="22" spans="1:7" x14ac:dyDescent="0.25">
      <c r="A22" t="s">
        <v>190</v>
      </c>
      <c r="B22" s="1">
        <v>100</v>
      </c>
    </row>
    <row r="23" spans="1:7" x14ac:dyDescent="0.25">
      <c r="A23" t="s">
        <v>230</v>
      </c>
      <c r="B23" s="1">
        <f>B21-B22</f>
        <v>711.1925</v>
      </c>
    </row>
    <row r="24" spans="1:7" x14ac:dyDescent="0.25">
      <c r="A24" t="s">
        <v>220</v>
      </c>
      <c r="B24" s="1">
        <f>B23*C24</f>
        <v>220.469675</v>
      </c>
      <c r="C24">
        <v>0.31</v>
      </c>
      <c r="D24">
        <v>0.5</v>
      </c>
      <c r="E24" s="1">
        <f>D24*B24</f>
        <v>110.2348375</v>
      </c>
      <c r="F24">
        <f>TMP_PulmonaryArtery</f>
        <v>18</v>
      </c>
      <c r="G24" s="6">
        <f>(1/F24)*(B24-E24)</f>
        <v>6.1241576388888888</v>
      </c>
    </row>
    <row r="25" spans="1:7" x14ac:dyDescent="0.25">
      <c r="A25" t="s">
        <v>221</v>
      </c>
      <c r="B25" s="1">
        <f>B23*C25</f>
        <v>213.35774999999998</v>
      </c>
      <c r="C25">
        <v>0.3</v>
      </c>
      <c r="D25">
        <v>0.6</v>
      </c>
      <c r="E25" s="1">
        <f>D25*B25</f>
        <v>128.01464999999999</v>
      </c>
      <c r="F25">
        <f>TMP_PulmonaryCapillaries</f>
        <v>14</v>
      </c>
      <c r="G25" s="6">
        <f>(1/F25)*(B25-E25)</f>
        <v>6.0959357142857131</v>
      </c>
    </row>
    <row r="26" spans="1:7" x14ac:dyDescent="0.25">
      <c r="A26" t="s">
        <v>218</v>
      </c>
      <c r="B26" s="1">
        <f>B23*C26</f>
        <v>227.58160000000001</v>
      </c>
      <c r="C26">
        <v>0.32</v>
      </c>
      <c r="D26">
        <v>0.6</v>
      </c>
      <c r="E26" s="1">
        <f>D26*B26</f>
        <v>136.54895999999999</v>
      </c>
      <c r="F26">
        <f>TMP_PulmonaryVeins</f>
        <v>13</v>
      </c>
      <c r="G26" s="6">
        <f>(1/F26)*(B26-E26)</f>
        <v>7.0025107692307706</v>
      </c>
    </row>
    <row r="27" spans="1:7" x14ac:dyDescent="0.25">
      <c r="A27" t="s">
        <v>74</v>
      </c>
      <c r="B27" s="1">
        <f>B23*C27</f>
        <v>49.783475000000003</v>
      </c>
      <c r="C27">
        <v>7.0000000000000007E-2</v>
      </c>
      <c r="D27">
        <v>0</v>
      </c>
      <c r="E27" s="1">
        <f>D27*B27</f>
        <v>0</v>
      </c>
      <c r="F27">
        <f>TMP_LeftAtrium</f>
        <v>11</v>
      </c>
      <c r="G27" s="6">
        <f>(1/F27)*(B27-E27)</f>
        <v>4.5257704545454551</v>
      </c>
    </row>
    <row r="28" spans="1:7" x14ac:dyDescent="0.25">
      <c r="A28" t="s">
        <v>224</v>
      </c>
      <c r="B28" s="1">
        <f>SUM(B24:B27)</f>
        <v>711.19249999999988</v>
      </c>
      <c r="C28">
        <f>SUM(C24:C27)</f>
        <v>1</v>
      </c>
    </row>
    <row r="30" spans="1:7" x14ac:dyDescent="0.25">
      <c r="A30" t="s">
        <v>224</v>
      </c>
    </row>
    <row r="32" spans="1:7" x14ac:dyDescent="0.25">
      <c r="A32" t="s">
        <v>225</v>
      </c>
    </row>
    <row r="33" spans="1:2" x14ac:dyDescent="0.25">
      <c r="A33" t="s">
        <v>32</v>
      </c>
      <c r="B33">
        <f>CardiacOutputMale</f>
        <v>5400</v>
      </c>
    </row>
    <row r="34" spans="1:2" x14ac:dyDescent="0.25">
      <c r="A34" t="s">
        <v>222</v>
      </c>
      <c r="B34">
        <f>SystemicVeinOutflow</f>
        <v>3834</v>
      </c>
    </row>
    <row r="35" spans="1:2" x14ac:dyDescent="0.25">
      <c r="A35" t="s">
        <v>185</v>
      </c>
      <c r="B35">
        <f>HepaticVeinOutflow</f>
        <v>1350</v>
      </c>
    </row>
    <row r="36" spans="1:2" x14ac:dyDescent="0.25">
      <c r="A36" t="s">
        <v>223</v>
      </c>
      <c r="B36">
        <f>CoronarySinusOutflow</f>
        <v>216</v>
      </c>
    </row>
    <row r="37" spans="1:2" x14ac:dyDescent="0.25">
      <c r="A37" t="s">
        <v>224</v>
      </c>
      <c r="B37">
        <f>SUM(B34:B36)</f>
        <v>5400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0" sqref="D30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34" sqref="D34"/>
    </sheetView>
  </sheetViews>
  <sheetFormatPr defaultRowHeight="15" x14ac:dyDescent="0.25"/>
  <cols>
    <col min="1" max="1" width="17.85546875" customWidth="1"/>
    <col min="3" max="3" width="10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4" x14ac:dyDescent="0.25">
      <c r="A18" t="s">
        <v>13</v>
      </c>
      <c r="B18">
        <f>BloodMass</f>
        <v>5550</v>
      </c>
    </row>
    <row r="19" spans="1:4" x14ac:dyDescent="0.25">
      <c r="A19" t="s">
        <v>112</v>
      </c>
      <c r="B19">
        <v>0.44</v>
      </c>
    </row>
    <row r="20" spans="1:4" x14ac:dyDescent="0.25">
      <c r="A20" t="s">
        <v>20</v>
      </c>
      <c r="B20">
        <f>B18*(1-Hematocrit)</f>
        <v>3108.0000000000005</v>
      </c>
      <c r="D20">
        <f>B20</f>
        <v>3108.0000000000005</v>
      </c>
    </row>
    <row r="21" spans="1:4" x14ac:dyDescent="0.25">
      <c r="A21" t="s">
        <v>21</v>
      </c>
      <c r="B21">
        <f>B18*Hematocrit</f>
        <v>2442</v>
      </c>
      <c r="C21">
        <v>0.66</v>
      </c>
    </row>
    <row r="22" spans="1:4" x14ac:dyDescent="0.25">
      <c r="A22" t="s">
        <v>22</v>
      </c>
      <c r="B22" s="1">
        <f>B21*C21</f>
        <v>1611.72</v>
      </c>
      <c r="D22" s="1">
        <f>B22</f>
        <v>1611.72</v>
      </c>
    </row>
    <row r="23" spans="1:4" x14ac:dyDescent="0.25">
      <c r="A23" t="s">
        <v>23</v>
      </c>
      <c r="B23" s="1">
        <f>B21*(1-C21)</f>
        <v>830.28</v>
      </c>
    </row>
    <row r="24" spans="1:4" x14ac:dyDescent="0.25">
      <c r="A24" t="s">
        <v>14</v>
      </c>
      <c r="B24">
        <f>LungH2OMass</f>
        <v>0</v>
      </c>
      <c r="D24">
        <f>B24</f>
        <v>0</v>
      </c>
    </row>
    <row r="25" spans="1:4" x14ac:dyDescent="0.25">
      <c r="A25" t="s">
        <v>15</v>
      </c>
      <c r="B25">
        <f>PeritoneumMass</f>
        <v>0</v>
      </c>
      <c r="D25">
        <f>B25</f>
        <v>0</v>
      </c>
    </row>
    <row r="26" spans="1:4" x14ac:dyDescent="0.25">
      <c r="A26" t="s">
        <v>16</v>
      </c>
      <c r="B26">
        <f>GutH2OMass</f>
        <v>975</v>
      </c>
      <c r="D26">
        <f>B26</f>
        <v>975</v>
      </c>
    </row>
    <row r="27" spans="1:4" x14ac:dyDescent="0.25">
      <c r="A27" t="s">
        <v>17</v>
      </c>
      <c r="B27">
        <f>FluidsMass</f>
        <v>6525</v>
      </c>
      <c r="C27" t="s">
        <v>236</v>
      </c>
      <c r="D27" s="1">
        <f>SUM(D20,D22,D24,D25,D26)</f>
        <v>5694.72</v>
      </c>
    </row>
    <row r="29" spans="1:4" x14ac:dyDescent="0.25">
      <c r="A29" t="s">
        <v>18</v>
      </c>
      <c r="B29" s="1">
        <f>B16+B27</f>
        <v>75007.5</v>
      </c>
      <c r="C29" t="s">
        <v>237</v>
      </c>
      <c r="D29" s="1">
        <f>SUM(D16,D27)</f>
        <v>43078.245000000003</v>
      </c>
    </row>
    <row r="31" spans="1:4" x14ac:dyDescent="0.25">
      <c r="B31" t="s">
        <v>239</v>
      </c>
      <c r="C31">
        <v>0.627</v>
      </c>
      <c r="D31">
        <f>C31*D29</f>
        <v>27010.059615000002</v>
      </c>
    </row>
    <row r="32" spans="1:4" x14ac:dyDescent="0.25">
      <c r="B32" t="s">
        <v>238</v>
      </c>
      <c r="C32">
        <f xml:space="preserve"> 0.349</f>
        <v>0.34899999999999998</v>
      </c>
      <c r="D32">
        <f>C32*D29</f>
        <v>15034.307505000001</v>
      </c>
    </row>
    <row r="33" spans="3:4" x14ac:dyDescent="0.25">
      <c r="C33" t="s">
        <v>240</v>
      </c>
      <c r="D33">
        <v>975</v>
      </c>
    </row>
    <row r="34" spans="3:4" x14ac:dyDescent="0.25">
      <c r="D34">
        <f>SUM(D31:D33)</f>
        <v>43019.367120000003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D5" sqref="D5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22" sqref="G22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>
        <f>E20</f>
        <v>1950</v>
      </c>
      <c r="F22" s="4">
        <f>D22/E22</f>
        <v>0.17307692307692307</v>
      </c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146</vt:i4>
      </vt:variant>
    </vt:vector>
  </HeadingPairs>
  <TitlesOfParts>
    <vt:vector size="163" baseType="lpstr">
      <vt:lpstr>Body Mass</vt:lpstr>
      <vt:lpstr>Organ Mass - Male</vt:lpstr>
      <vt:lpstr>Organ Mass - Female</vt:lpstr>
      <vt:lpstr>Blood Pressures</vt:lpstr>
      <vt:lpstr>Compartments</vt:lpstr>
      <vt:lpstr>Pressure Gradients</vt:lpstr>
      <vt:lpstr>Organ Composition</vt:lpstr>
      <vt:lpstr>Organ Blood Flow</vt:lpstr>
      <vt:lpstr>Flows &amp; Conductances</vt:lpstr>
      <vt:lpstr>Cardiac Output</vt:lpstr>
      <vt:lpstr>Osmoles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Cell_H2O</vt:lpstr>
      <vt:lpstr>CoronaryGradient</vt:lpstr>
      <vt:lpstr>CoronarySinusOutflow</vt:lpstr>
      <vt:lpstr>Density</vt:lpstr>
      <vt:lpstr>ECFV_H2O</vt:lpstr>
      <vt:lpstr>EfferentArtyGradient</vt:lpstr>
      <vt:lpstr>External_H2O</vt:lpstr>
      <vt:lpstr>F_BV_Arteries</vt:lpstr>
      <vt:lpstr>F_BV_Lungs</vt:lpstr>
      <vt:lpstr>F_BV_Veins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TMP_LeftAtrium</vt:lpstr>
      <vt:lpstr>TMP_PulmonaryArtery</vt:lpstr>
      <vt:lpstr>TMP_PulmonaryCapillaries</vt:lpstr>
      <vt:lpstr>TMP_PulmonaryVeins</vt:lpstr>
      <vt:lpstr>TMP_RightAtrium</vt:lpstr>
      <vt:lpstr>TMP_SplanchnicVeins</vt:lpstr>
      <vt:lpstr>TMP_SystemicArteries</vt:lpstr>
      <vt:lpstr>TMP_SystemicVeins</vt:lpstr>
      <vt:lpstr>Total_H2O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2013-02-17T18:52:49Z</cp:lastPrinted>
  <dcterms:created xsi:type="dcterms:W3CDTF">2012-02-04T15:43:29Z</dcterms:created>
  <dcterms:modified xsi:type="dcterms:W3CDTF">2013-02-26T20:31:03Z</dcterms:modified>
</cp:coreProperties>
</file>