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6465" tabRatio="627" firstSheet="10" activeTab="11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  <sheet name="Insulin Receptors" sheetId="14" r:id="rId12"/>
    <sheet name="PV-Arteries" sheetId="15" r:id="rId13"/>
    <sheet name="PV-Veins" sheetId="16" r:id="rId14"/>
    <sheet name="PV-Lungs" sheetId="17" r:id="rId15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Density">'PV-Arteries'!$G$3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F22" i="14" l="1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9" i="10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F29" i="10"/>
  <c r="F28" i="10"/>
  <c r="F26" i="10"/>
  <c r="F25" i="10"/>
  <c r="D29" i="10"/>
  <c r="D28" i="10"/>
  <c r="D26" i="10"/>
  <c r="D25" i="10"/>
  <c r="C13" i="9"/>
  <c r="C11" i="9"/>
  <c r="C28" i="10"/>
  <c r="C25" i="10"/>
  <c r="F11" i="10"/>
  <c r="F10" i="10"/>
  <c r="F9" i="10"/>
  <c r="D11" i="10"/>
  <c r="D10" i="10"/>
  <c r="D9" i="10"/>
  <c r="C11" i="10"/>
  <c r="C10" i="10"/>
  <c r="C9" i="10"/>
  <c r="B13" i="9"/>
  <c r="C12" i="9"/>
  <c r="B11" i="9"/>
  <c r="C10" i="9"/>
  <c r="D10" i="9" s="1"/>
  <c r="C9" i="9"/>
  <c r="B9" i="9"/>
  <c r="C8" i="9"/>
  <c r="B8" i="9"/>
  <c r="C7" i="9"/>
  <c r="D7" i="9" s="1"/>
  <c r="D12" i="9"/>
  <c r="B12" i="9"/>
  <c r="B10" i="9"/>
  <c r="B7" i="9"/>
  <c r="D10" i="6"/>
  <c r="D9" i="6"/>
  <c r="D8" i="6"/>
  <c r="D7" i="6"/>
  <c r="C10" i="6"/>
  <c r="C9" i="6"/>
  <c r="C8" i="6"/>
  <c r="C7" i="6"/>
  <c r="B10" i="6"/>
  <c r="B9" i="6"/>
  <c r="B7" i="6"/>
  <c r="B28" i="14" l="1"/>
  <c r="B29" i="14"/>
  <c r="H12" i="12"/>
  <c r="D12" i="12"/>
  <c r="B12" i="12"/>
  <c r="D13" i="9"/>
  <c r="C29" i="10" s="1"/>
  <c r="D11" i="9"/>
  <c r="C26" i="10" s="1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B30" i="14" l="1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C15" i="9"/>
  <c r="C19" i="9"/>
  <c r="C18" i="9"/>
  <c r="C17" i="9"/>
  <c r="B19" i="9"/>
  <c r="B18" i="9"/>
  <c r="B17" i="9"/>
  <c r="B15" i="9"/>
  <c r="C14" i="9"/>
  <c r="B14" i="9"/>
  <c r="C6" i="9"/>
  <c r="B6" i="9"/>
  <c r="D6" i="9" s="1"/>
  <c r="C5" i="9"/>
  <c r="B5" i="9"/>
  <c r="C4" i="9"/>
  <c r="B4" i="9"/>
  <c r="D4" i="9" s="1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D14" i="9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2" i="10"/>
  <c r="D22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8" i="6"/>
  <c r="D16" i="6"/>
  <c r="D15" i="6"/>
  <c r="D14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<sst xmlns="http://schemas.openxmlformats.org/spreadsheetml/2006/main" count="431" uniqueCount="218">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</sst>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107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5" sqref="B5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139</v>
      </c>
    </row>
    <row r="3" spans="1:8" x14ac:dyDescent="0.25">
      <c r="B3" t="s">
        <v>143</v>
      </c>
      <c r="C3" t="s">
        <v>144</v>
      </c>
      <c r="D3" t="s">
        <v>145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110</v>
      </c>
      <c r="C8" t="s">
        <v>144</v>
      </c>
      <c r="D8" t="s">
        <v>145</v>
      </c>
      <c r="F8" t="s">
        <v>110</v>
      </c>
      <c r="G8" s="10" t="s">
        <v>144</v>
      </c>
      <c r="H8" t="s">
        <v>145</v>
      </c>
    </row>
    <row r="9" spans="1:8" x14ac:dyDescent="0.25">
      <c r="A9" t="s">
        <v>141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142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137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146</v>
      </c>
    </row>
    <row r="3" spans="1:6" x14ac:dyDescent="0.25">
      <c r="A3" t="s">
        <v>107</v>
      </c>
      <c r="B3">
        <f>BodyMassMale</f>
        <v>75</v>
      </c>
    </row>
    <row r="5" spans="1:6" x14ac:dyDescent="0.25">
      <c r="A5" t="s">
        <v>155</v>
      </c>
    </row>
    <row r="6" spans="1:6" x14ac:dyDescent="0.25">
      <c r="A6" t="s">
        <v>158</v>
      </c>
      <c r="B6" s="1"/>
    </row>
    <row r="7" spans="1:6" x14ac:dyDescent="0.25">
      <c r="A7" t="s">
        <v>217</v>
      </c>
      <c r="B7" s="1"/>
    </row>
    <row r="8" spans="1:6" x14ac:dyDescent="0.25">
      <c r="A8" t="s">
        <v>156</v>
      </c>
      <c r="B8" s="1"/>
    </row>
    <row r="9" spans="1:6" x14ac:dyDescent="0.25">
      <c r="A9" t="s">
        <v>157</v>
      </c>
      <c r="B9" s="1"/>
    </row>
    <row r="10" spans="1:6" x14ac:dyDescent="0.25">
      <c r="B10" s="1"/>
    </row>
    <row r="11" spans="1:6" x14ac:dyDescent="0.25">
      <c r="C11" t="s">
        <v>147</v>
      </c>
      <c r="D11" t="s">
        <v>161</v>
      </c>
      <c r="E11" t="s">
        <v>162</v>
      </c>
      <c r="F11" t="s">
        <v>152</v>
      </c>
    </row>
    <row r="12" spans="1:6" x14ac:dyDescent="0.25">
      <c r="A12" t="s">
        <v>165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166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148</v>
      </c>
      <c r="B15">
        <v>17</v>
      </c>
    </row>
    <row r="17" spans="1:6" x14ac:dyDescent="0.25">
      <c r="A17" t="s">
        <v>149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154</v>
      </c>
      <c r="B18">
        <v>5.1999999999999998E-2</v>
      </c>
    </row>
    <row r="19" spans="1:6" x14ac:dyDescent="0.25">
      <c r="A19" t="s">
        <v>212</v>
      </c>
      <c r="B19">
        <v>2.5999999999999999E-2</v>
      </c>
    </row>
    <row r="21" spans="1:6" x14ac:dyDescent="0.25">
      <c r="A21" t="s">
        <v>150</v>
      </c>
      <c r="B21" t="s">
        <v>151</v>
      </c>
      <c r="C21" t="s">
        <v>153</v>
      </c>
      <c r="D21" t="s">
        <v>160</v>
      </c>
      <c r="E21" t="s">
        <v>163</v>
      </c>
      <c r="F21" t="s">
        <v>164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159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213</v>
      </c>
    </row>
    <row r="28" spans="1:6" x14ac:dyDescent="0.25">
      <c r="A28" t="s">
        <v>214</v>
      </c>
      <c r="B28">
        <f>E22*B19*F12</f>
        <v>25.865185185185187</v>
      </c>
    </row>
    <row r="29" spans="1:6" x14ac:dyDescent="0.25">
      <c r="A29" t="s">
        <v>215</v>
      </c>
      <c r="B29">
        <f>F22*E12</f>
        <v>12.435185185185185</v>
      </c>
    </row>
    <row r="30" spans="1:6" x14ac:dyDescent="0.25">
      <c r="A30" t="s">
        <v>216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2" workbookViewId="0">
      <selection activeCell="M23" sqref="M2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169</v>
      </c>
      <c r="B2" t="s">
        <v>178</v>
      </c>
      <c r="C2" t="s">
        <v>179</v>
      </c>
      <c r="D2" t="s">
        <v>180</v>
      </c>
      <c r="E2" t="s">
        <v>182</v>
      </c>
      <c r="F2" t="s">
        <v>142</v>
      </c>
      <c r="G2" t="s">
        <v>194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170</v>
      </c>
      <c r="B5" s="11" t="s">
        <v>176</v>
      </c>
      <c r="C5" s="11" t="s">
        <v>181</v>
      </c>
      <c r="D5" s="11" t="s">
        <v>177</v>
      </c>
      <c r="E5" s="11" t="s">
        <v>182</v>
      </c>
      <c r="F5" s="11" t="s">
        <v>195</v>
      </c>
      <c r="G5" s="11" t="s">
        <v>95</v>
      </c>
      <c r="H5" s="11" t="s">
        <v>196</v>
      </c>
      <c r="I5" s="11" t="s">
        <v>197</v>
      </c>
      <c r="J5" s="11" t="s">
        <v>78</v>
      </c>
      <c r="K5" s="11" t="s">
        <v>198</v>
      </c>
      <c r="L5" s="11" t="s">
        <v>199</v>
      </c>
      <c r="M5" s="11" t="s">
        <v>200</v>
      </c>
    </row>
    <row r="6" spans="1:13" x14ac:dyDescent="0.25">
      <c r="A6" t="s">
        <v>167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168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202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201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203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204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171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172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173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205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206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207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174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208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209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210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175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190</v>
      </c>
      <c r="C1" t="s">
        <v>181</v>
      </c>
      <c r="E1" t="s">
        <v>182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183</v>
      </c>
      <c r="B5" s="11" t="s">
        <v>176</v>
      </c>
      <c r="C5" s="11" t="s">
        <v>181</v>
      </c>
      <c r="D5" s="11" t="s">
        <v>177</v>
      </c>
      <c r="E5" s="11" t="s">
        <v>182</v>
      </c>
      <c r="F5" s="11" t="s">
        <v>195</v>
      </c>
      <c r="G5" s="11" t="s">
        <v>95</v>
      </c>
      <c r="H5" s="11" t="s">
        <v>196</v>
      </c>
      <c r="I5" s="11" t="s">
        <v>197</v>
      </c>
      <c r="J5" s="11" t="s">
        <v>78</v>
      </c>
      <c r="K5" s="11" t="s">
        <v>198</v>
      </c>
      <c r="L5" s="11" t="s">
        <v>199</v>
      </c>
      <c r="M5" s="11" t="s">
        <v>200</v>
      </c>
    </row>
    <row r="6" spans="1:13" x14ac:dyDescent="0.25">
      <c r="A6" t="s">
        <v>167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184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202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201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203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204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185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186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187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188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173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205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206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207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174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208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209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210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189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cols>
    <col min="1" max="1" width="21.28515625" customWidth="1"/>
  </cols>
  <sheetData>
    <row r="1" spans="1:9" x14ac:dyDescent="0.25">
      <c r="A1" t="s">
        <v>191</v>
      </c>
      <c r="C1" t="s">
        <v>181</v>
      </c>
    </row>
    <row r="2" spans="1:9" x14ac:dyDescent="0.25">
      <c r="C2" s="1">
        <f>BloodVolume_Male_Lungs</f>
        <v>811.1925</v>
      </c>
    </row>
    <row r="5" spans="1:9" x14ac:dyDescent="0.25">
      <c r="A5" t="s">
        <v>192</v>
      </c>
      <c r="B5" s="11" t="s">
        <v>176</v>
      </c>
      <c r="C5" s="11" t="s">
        <v>181</v>
      </c>
      <c r="D5" s="11" t="s">
        <v>196</v>
      </c>
      <c r="E5" s="11" t="s">
        <v>197</v>
      </c>
      <c r="F5" s="11" t="s">
        <v>78</v>
      </c>
      <c r="G5" s="11" t="s">
        <v>198</v>
      </c>
      <c r="H5" s="11" t="s">
        <v>199</v>
      </c>
      <c r="I5" s="11" t="s">
        <v>200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193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175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114</v>
      </c>
      <c r="B22" s="5">
        <v>1.3</v>
      </c>
      <c r="C22" s="1">
        <f>10*B22*BodyMassMale</f>
        <v>975</v>
      </c>
    </row>
    <row r="23" spans="1:4" x14ac:dyDescent="0.25">
      <c r="A23" t="s">
        <v>112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113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1" sqref="D11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128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129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130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131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2</v>
      </c>
      <c r="C14" s="5">
        <f t="shared" si="0"/>
        <v>0.2666</v>
      </c>
      <c r="D14">
        <f>B14-B28</f>
        <v>6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7</v>
      </c>
      <c r="C17" s="5">
        <f t="shared" si="0"/>
        <v>0.93310000000000004</v>
      </c>
      <c r="D17">
        <f>B17-B28</f>
        <v>11</v>
      </c>
    </row>
    <row r="18" spans="1:4" x14ac:dyDescent="0.25">
      <c r="A18" t="s">
        <v>74</v>
      </c>
      <c r="B18">
        <v>6</v>
      </c>
      <c r="C18" s="5">
        <f t="shared" si="0"/>
        <v>0.79980000000000007</v>
      </c>
      <c r="D18">
        <f>B18-B28</f>
        <v>10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92</v>
      </c>
    </row>
    <row r="2" spans="1:4" x14ac:dyDescent="0.25">
      <c r="B2" t="s">
        <v>103</v>
      </c>
      <c r="D2" t="s">
        <v>104</v>
      </c>
    </row>
    <row r="3" spans="1:4" x14ac:dyDescent="0.25">
      <c r="A3" t="s">
        <v>94</v>
      </c>
      <c r="B3" t="s">
        <v>105</v>
      </c>
      <c r="C3" t="s">
        <v>106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98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132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133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134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130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135</v>
      </c>
      <c r="B11">
        <f>LHeartLargeVesselPressure</f>
        <v>93.5</v>
      </c>
      <c r="C11">
        <f>RightAtrialPressure</f>
        <v>2</v>
      </c>
      <c r="D11">
        <f t="shared" si="0"/>
        <v>91.5</v>
      </c>
    </row>
    <row r="12" spans="1:4" x14ac:dyDescent="0.25">
      <c r="A12" t="s">
        <v>131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136</v>
      </c>
      <c r="B13">
        <f>RHeartLargeVesselPressure</f>
        <v>93.5</v>
      </c>
      <c r="C13">
        <f>RightAtrialPressure</f>
        <v>2</v>
      </c>
      <c r="D13">
        <f t="shared" si="0"/>
        <v>91.5</v>
      </c>
    </row>
    <row r="14" spans="1:4" x14ac:dyDescent="0.25">
      <c r="A14" t="s">
        <v>97</v>
      </c>
      <c r="B14">
        <f>SplanchnicVeinsPressure</f>
        <v>8</v>
      </c>
      <c r="C14">
        <f>RightAtrialPressure</f>
        <v>2</v>
      </c>
      <c r="D14">
        <f t="shared" si="0"/>
        <v>6</v>
      </c>
    </row>
    <row r="15" spans="1:4" x14ac:dyDescent="0.25">
      <c r="A15" t="s">
        <v>99</v>
      </c>
      <c r="B15">
        <f>SystemicVeinsPressure</f>
        <v>10</v>
      </c>
      <c r="C15">
        <f>RightAtrialPressure</f>
        <v>2</v>
      </c>
      <c r="D15">
        <f t="shared" si="0"/>
        <v>8</v>
      </c>
    </row>
    <row r="17" spans="1:4" x14ac:dyDescent="0.25">
      <c r="A17" t="s">
        <v>100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101</v>
      </c>
      <c r="B18">
        <f>PulmCapysPressure</f>
        <v>10</v>
      </c>
      <c r="C18">
        <f>PulmVeinsPressure</f>
        <v>7</v>
      </c>
      <c r="D18">
        <f t="shared" si="0"/>
        <v>3</v>
      </c>
    </row>
    <row r="19" spans="1:4" x14ac:dyDescent="0.25">
      <c r="A19" t="s">
        <v>102</v>
      </c>
      <c r="B19">
        <f>PulmVeinsPressure</f>
        <v>7</v>
      </c>
      <c r="C19">
        <f>LeftAtrialPressure</f>
        <v>6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108</v>
      </c>
    </row>
    <row r="2" spans="1:9" x14ac:dyDescent="0.25">
      <c r="C2" t="s">
        <v>109</v>
      </c>
      <c r="D2" t="s">
        <v>110</v>
      </c>
      <c r="E2" t="s">
        <v>110</v>
      </c>
      <c r="F2" t="s">
        <v>109</v>
      </c>
      <c r="G2" t="s">
        <v>110</v>
      </c>
      <c r="H2" t="s">
        <v>111</v>
      </c>
      <c r="I2" t="s">
        <v>110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116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115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workbookViewId="0">
      <selection activeCell="H36" sqref="H36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121</v>
      </c>
    </row>
    <row r="3" spans="1:12" x14ac:dyDescent="0.25">
      <c r="A3" t="s">
        <v>81</v>
      </c>
      <c r="B3" t="s">
        <v>110</v>
      </c>
      <c r="C3" t="s">
        <v>79</v>
      </c>
      <c r="D3" t="s">
        <v>119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117</v>
      </c>
      <c r="C8" t="s">
        <v>118</v>
      </c>
      <c r="D8" t="s">
        <v>19</v>
      </c>
      <c r="E8" t="s">
        <v>120</v>
      </c>
      <c r="G8" t="s">
        <v>117</v>
      </c>
      <c r="H8" t="s">
        <v>118</v>
      </c>
      <c r="I8" t="s">
        <v>19</v>
      </c>
      <c r="J8" t="s">
        <v>120</v>
      </c>
      <c r="L8" t="s">
        <v>120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211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activeCell="D18" sqref="D18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138</v>
      </c>
    </row>
    <row r="3" spans="1:6" x14ac:dyDescent="0.25">
      <c r="A3" t="s">
        <v>27</v>
      </c>
      <c r="B3" t="s">
        <v>118</v>
      </c>
      <c r="C3" t="s">
        <v>95</v>
      </c>
      <c r="D3" t="s">
        <v>40</v>
      </c>
      <c r="E3" t="s">
        <v>110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122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123</v>
      </c>
      <c r="B16" s="1">
        <f>SUM(B5:B15)</f>
        <v>3834</v>
      </c>
      <c r="C16">
        <f>SystemicVeinsGradient</f>
        <v>8</v>
      </c>
      <c r="D16" s="1">
        <f t="shared" si="1"/>
        <v>479.25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6</v>
      </c>
      <c r="D20" s="1">
        <f>B20/C20</f>
        <v>225</v>
      </c>
      <c r="E20" s="1">
        <f>LiverMassMale</f>
        <v>1950</v>
      </c>
      <c r="F20" s="4">
        <f>D20/E20</f>
        <v>0.11538461538461539</v>
      </c>
    </row>
    <row r="21" spans="1:6" x14ac:dyDescent="0.25">
      <c r="B21" s="1"/>
      <c r="E21" s="1"/>
      <c r="F21" s="4"/>
    </row>
    <row r="22" spans="1:6" x14ac:dyDescent="0.25">
      <c r="A22" t="s">
        <v>124</v>
      </c>
      <c r="B22" s="1">
        <f>LiverFlowMale</f>
        <v>1350</v>
      </c>
      <c r="C22">
        <f>HepaticGradient</f>
        <v>6</v>
      </c>
      <c r="D22" s="1">
        <f>B22/C22</f>
        <v>225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95</v>
      </c>
      <c r="D24" s="6">
        <f>B24/C24</f>
        <v>1.8871578947368421</v>
      </c>
      <c r="E24" s="1">
        <f>LHeartMassMale</f>
        <v>292.57499999999993</v>
      </c>
      <c r="F24" s="4">
        <f>D24/E24</f>
        <v>6.4501679731243013E-3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91.5</v>
      </c>
      <c r="D26" s="6">
        <f>LHeartFlowMale/LHeartSmallVesselGradient</f>
        <v>1.9593442622950821</v>
      </c>
      <c r="E26" s="1"/>
      <c r="F26" s="4">
        <f>D26/E24</f>
        <v>6.6968957098011879E-3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95</v>
      </c>
      <c r="D27" s="6">
        <f>B27/C27</f>
        <v>0.38652631578947377</v>
      </c>
      <c r="E27" s="1">
        <f>RHeartMassMale</f>
        <v>59.924999999999997</v>
      </c>
      <c r="F27" s="4">
        <f>D27/E27</f>
        <v>6.4501679731243022E-3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91.5</v>
      </c>
      <c r="D29" s="6">
        <f>RHeartFlowMale/RHeartSmallVesselGradient</f>
        <v>0.40131147540983614</v>
      </c>
      <c r="E29" s="1"/>
      <c r="F29" s="4">
        <f>D29/E27</f>
        <v>6.696895709801187E-3</v>
      </c>
    </row>
    <row r="30" spans="1:6" x14ac:dyDescent="0.25">
      <c r="A30" t="s">
        <v>125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126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100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101</v>
      </c>
      <c r="B35">
        <f>VenousReturn</f>
        <v>5400</v>
      </c>
      <c r="C35">
        <f>PulmCapysGradient</f>
        <v>3</v>
      </c>
      <c r="D35" s="1">
        <f>B35/C35</f>
        <v>1800</v>
      </c>
      <c r="E35" s="1"/>
    </row>
    <row r="36" spans="1:5" x14ac:dyDescent="0.25">
      <c r="A36" t="s">
        <v>127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140</v>
      </c>
    </row>
    <row r="3" spans="1:8" x14ac:dyDescent="0.25">
      <c r="B3" t="s">
        <v>82</v>
      </c>
      <c r="F3" t="s">
        <v>83</v>
      </c>
    </row>
    <row r="4" spans="1:8" x14ac:dyDescent="0.25">
      <c r="B4" t="s">
        <v>110</v>
      </c>
      <c r="C4" t="s">
        <v>120</v>
      </c>
      <c r="D4" t="s">
        <v>118</v>
      </c>
      <c r="F4" t="s">
        <v>110</v>
      </c>
      <c r="G4" t="s">
        <v>120</v>
      </c>
      <c r="H4" t="s">
        <v>118</v>
      </c>
    </row>
    <row r="5" spans="1:8" x14ac:dyDescent="0.25">
      <c r="A5" t="s">
        <v>141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142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131</vt:i4>
      </vt:variant>
    </vt:vector>
  </HeadingPairs>
  <TitlesOfParts>
    <vt:vector size="146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Density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2012-08-14T19:53:39Z</cp:lastPrinted>
  <dcterms:created xsi:type="dcterms:W3CDTF">2012-02-04T15:43:29Z</dcterms:created>
  <dcterms:modified xsi:type="dcterms:W3CDTF">2012-11-03T19:09:47Z</dcterms:modified>
</cp:coreProperties>
</file>