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6465" tabRatio="627" firstSheet="11" activeTab="14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Pressure Gradients" sheetId="9" r:id="rId5"/>
    <sheet name="Organ Composition" sheetId="1" r:id="rId6"/>
    <sheet name="Organ Blood Flow" sheetId="7" r:id="rId7"/>
    <sheet name="Flows &amp; Conductances" sheetId="10" r:id="rId8"/>
    <sheet name="Cardiac Output" sheetId="13" r:id="rId9"/>
    <sheet name="Blood Volume" sheetId="12" r:id="rId10"/>
    <sheet name="Calories Used" sheetId="2" r:id="rId11"/>
    <sheet name="Insulin Receptors" sheetId="14" r:id="rId12"/>
    <sheet name="PV-Arteries" sheetId="15" r:id="rId13"/>
    <sheet name="PV-Veins" sheetId="16" r:id="rId14"/>
    <sheet name="PV-Lungs" sheetId="17" r:id="rId15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loodVolume_Male">'Blood Volume'!$D$12</definedName>
    <definedName name="BloodVolume_Male_Arteries">'PV-Arteries'!$B$4</definedName>
    <definedName name="BloodVolume_Male_Lungs">'PV-Arteries'!$D$4</definedName>
    <definedName name="BloodVolume_Male_Veins">'PV-Arteries'!$C$4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oronaryGradient">'Pressure Gradients'!$D$6</definedName>
    <definedName name="CoronarySinusOutflow">'Flows &amp; Conductances'!$B$30</definedName>
    <definedName name="Density">'PV-Arteries'!$G$3</definedName>
    <definedName name="EfferentArtyGradient">'Pressure Gradients'!$D$9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ale_Height">'PV-Arteries'!$E$3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VenousReturn">'Flows &amp; Conductances'!$B$32</definedName>
  </definedNames>
  <calcPr calcId="145621"/>
  <fileRecoveryPr repairLoad="1"/>
</workbook>
</file>

<file path=xl/calcChain.xml><?xml version="1.0" encoding="utf-8"?>
<calcChain xmlns="http://schemas.openxmlformats.org/spreadsheetml/2006/main">
  <c r="I10" i="17" l="1"/>
  <c r="M22" i="15"/>
  <c r="L22" i="15"/>
  <c r="M21" i="15" l="1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I9" i="17"/>
  <c r="I8" i="17"/>
  <c r="I7" i="17"/>
  <c r="I6" i="17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H10" i="17"/>
  <c r="H9" i="17"/>
  <c r="H8" i="17"/>
  <c r="H7" i="17"/>
  <c r="H6" i="17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M7" i="16" s="1"/>
  <c r="J6" i="16"/>
  <c r="M6" i="16" s="1"/>
  <c r="F10" i="17"/>
  <c r="F9" i="17"/>
  <c r="F8" i="17"/>
  <c r="F7" i="17"/>
  <c r="F6" i="17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G6" i="16"/>
  <c r="G7" i="16"/>
  <c r="G10" i="16"/>
  <c r="G8" i="16"/>
  <c r="G9" i="16"/>
  <c r="G11" i="16"/>
  <c r="G12" i="16"/>
  <c r="G14" i="16"/>
  <c r="G15" i="16"/>
  <c r="G16" i="16"/>
  <c r="G17" i="16"/>
  <c r="G21" i="16"/>
  <c r="G18" i="16"/>
  <c r="G19" i="16"/>
  <c r="G20" i="16"/>
  <c r="G22" i="16"/>
  <c r="G23" i="16"/>
  <c r="G24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G6" i="15"/>
  <c r="G7" i="15"/>
  <c r="G8" i="15"/>
  <c r="G10" i="15"/>
  <c r="G9" i="15"/>
  <c r="G11" i="15"/>
  <c r="G18" i="15"/>
  <c r="G13" i="15"/>
  <c r="G14" i="15"/>
  <c r="G15" i="15"/>
  <c r="G16" i="15"/>
  <c r="G17" i="15"/>
  <c r="G19" i="15"/>
  <c r="G20" i="15"/>
  <c r="G21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C10" i="17"/>
  <c r="C9" i="17"/>
  <c r="C8" i="17"/>
  <c r="C7" i="17"/>
  <c r="C6" i="17"/>
  <c r="B11" i="17"/>
  <c r="C2" i="17"/>
  <c r="E2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B25" i="16"/>
  <c r="C2" i="16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B22" i="15"/>
  <c r="A3" i="15"/>
  <c r="A4" i="15"/>
  <c r="D4" i="15" s="1"/>
  <c r="C11" i="17" l="1"/>
  <c r="C25" i="16"/>
  <c r="C22" i="15"/>
  <c r="B4" i="15"/>
  <c r="C4" i="15"/>
  <c r="D22" i="14"/>
  <c r="C23" i="14" l="1"/>
  <c r="C22" i="14"/>
  <c r="C24" i="14" s="1"/>
  <c r="C21" i="14"/>
  <c r="D17" i="14"/>
  <c r="E13" i="14"/>
  <c r="D23" i="14" s="1"/>
  <c r="B3" i="14"/>
  <c r="F13" i="14" l="1"/>
  <c r="F23" i="14" s="1"/>
  <c r="E23" i="14" s="1"/>
  <c r="E12" i="14"/>
  <c r="D21" i="14" s="1"/>
  <c r="F19" i="10"/>
  <c r="F12" i="14" l="1"/>
  <c r="F21" i="14" s="1"/>
  <c r="E21" i="14" s="1"/>
  <c r="H11" i="12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F29" i="10"/>
  <c r="F28" i="10"/>
  <c r="F26" i="10"/>
  <c r="F25" i="10"/>
  <c r="D29" i="10"/>
  <c r="D28" i="10"/>
  <c r="D26" i="10"/>
  <c r="D25" i="10"/>
  <c r="C13" i="9"/>
  <c r="C11" i="9"/>
  <c r="C28" i="10"/>
  <c r="C25" i="10"/>
  <c r="F11" i="10"/>
  <c r="F10" i="10"/>
  <c r="F9" i="10"/>
  <c r="D11" i="10"/>
  <c r="D10" i="10"/>
  <c r="D9" i="10"/>
  <c r="C11" i="10"/>
  <c r="C10" i="10"/>
  <c r="C9" i="10"/>
  <c r="B13" i="9"/>
  <c r="C12" i="9"/>
  <c r="B11" i="9"/>
  <c r="C10" i="9"/>
  <c r="D10" i="9" s="1"/>
  <c r="C9" i="9"/>
  <c r="B9" i="9"/>
  <c r="C8" i="9"/>
  <c r="B8" i="9"/>
  <c r="C7" i="9"/>
  <c r="D7" i="9" s="1"/>
  <c r="D12" i="9"/>
  <c r="B12" i="9"/>
  <c r="B10" i="9"/>
  <c r="B7" i="9"/>
  <c r="D10" i="6"/>
  <c r="D9" i="6"/>
  <c r="D8" i="6"/>
  <c r="D7" i="6"/>
  <c r="C10" i="6"/>
  <c r="C9" i="6"/>
  <c r="C8" i="6"/>
  <c r="C7" i="6"/>
  <c r="B10" i="6"/>
  <c r="B9" i="6"/>
  <c r="B7" i="6"/>
  <c r="H12" i="12" l="1"/>
  <c r="D12" i="12"/>
  <c r="B12" i="12"/>
  <c r="D13" i="9"/>
  <c r="C29" i="10" s="1"/>
  <c r="D11" i="9"/>
  <c r="C26" i="10" s="1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B30" i="10" l="1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C15" i="9"/>
  <c r="C19" i="9"/>
  <c r="C18" i="9"/>
  <c r="C17" i="9"/>
  <c r="B19" i="9"/>
  <c r="B18" i="9"/>
  <c r="B17" i="9"/>
  <c r="B15" i="9"/>
  <c r="C14" i="9"/>
  <c r="B14" i="9"/>
  <c r="C6" i="9"/>
  <c r="B6" i="9"/>
  <c r="D6" i="9" s="1"/>
  <c r="C5" i="9"/>
  <c r="B5" i="9"/>
  <c r="C4" i="9"/>
  <c r="B4" i="9"/>
  <c r="D4" i="9" s="1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D14" i="9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2" i="10"/>
  <c r="D22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8" i="6"/>
  <c r="D16" i="6"/>
  <c r="D15" i="6"/>
  <c r="D14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sharedStrings.xml><?xml version="1.0" encoding="utf-8"?>
<sst xmlns="http://schemas.openxmlformats.org/spreadsheetml/2006/main" count="425" uniqueCount="212">
  <si>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</si>
  <si>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</si>
  <si>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</si>
  <si>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</si>
  <si>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</si>
  <si>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</si>
  <si>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</si>
  <si>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</si>
  <si>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</si>
  <si>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</si>
  <si>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</si>
  <si>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</si>
  <si>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</si>
  <si>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</si>
  <si>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</si>
  <si>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</si>
  <si>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</si>
  <si>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</si>
  <si>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</si>
  <si>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</si>
  <si>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</si>
  <si>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</si>
  <si>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</si>
  <si>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</si>
  <si>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</si>
  <si>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</si>
  <si>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</si>
  <si>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</si>
  <si>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</si>
  <si>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</si>
  <si>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</si>
  <si>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</si>
  <si>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</si>
  <si>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</si>
  <si>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</si>
  <si>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</si>
  <si>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</si>
  <si>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</si>
  <si>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</si>
  <si>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</si>
  <si>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</si>
  <si>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</si>
  <si>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</si>
  <si>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</si>
  <si>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</si>
  <si>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</si>
  <si>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</si>
  <si>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</si>
  <si>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</si>
  <si>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</si>
  <si>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</si>
  <si>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</si>
  <si>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</si>
  <si>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</si>
  <si>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</si>
  <si>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</si>
  <si>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</si>
  <si>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</si>
  <si>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</si>
  <si>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</si>
  <si>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</si>
  <si>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</si>
  <si>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</si>
  <si>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</si>
  <si>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</si>
  <si>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</si>
  <si>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</si>
  <si>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</si>
  <si>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</si>
  <si>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</si>
  <si>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</si>
  <si>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</si>
  <si>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</si>
  <si>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</si>
  <si>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</si>
  <si>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</si>
  <si>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</si>
  <si>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</si>
  <si>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</si>
  <si>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</si>
  <si>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</si>
  <si>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</si>
  <si>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</si>
  <si>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</si>
  <si>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</si>
  <si>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</si>
  <si>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</si>
  <si>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</si>
  <si>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</si>
  <si>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</si>
  <si>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</si>
  <si>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</si>
  <si>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</si>
  <si>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</si>
  <si>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</si>
  <si>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</si>
  <si>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</si>
  <si>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Hepatic</t>
  </si>
  <si>
    <t>GI Tract (&amp; Hepatic Artery)</t>
  </si>
  <si>
    <t>Systemic Veins Outflow</t>
  </si>
  <si>
    <t>Pulmonary Artery Outflow</t>
  </si>
  <si>
    <t>Pulmonary Capillaries Outflow</t>
  </si>
  <si>
    <t>Pulmonary Veins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</si>
  <si>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</si>
  <si>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</si>
  <si>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</si>
  <si>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</si>
  <si>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</si>
  <si>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</si>
  <si>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</si>
  <si>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</si>
  <si>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</si>
  <si>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</si>
  <si>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</si>
  <si>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</si>
  <si>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</si>
  <si>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</si>
  <si>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</si>
  <si>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</si>
  <si>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</si>
  <si>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</si>
  <si>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</si>
  <si>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</si>
  <si>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</si>
  <si>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</si>
  <si>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</si>
  <si>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</si>
  <si>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</si>
  <si>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</si>
  <si>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</si>
  <si>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</si>
  <si>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</si>
  <si>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</si>
  <si>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</si>
  <si>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</si>
  <si>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</si>
  <si>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</si>
  <si>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</si>
  <si>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</si>
  <si>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</si>
  <si>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</si>
  <si>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</si>
  <si>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</si>
  <si>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</si>
  <si>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</si>
  <si>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</si>
  <si>
    <t>Insulin Receptors (Units are mU, mU/mL and mU/Min)</t>
  </si>
  <si>
    <t>Total (mU)</t>
  </si>
  <si>
    <t>Secretion=Degradation (mU/Min)</t>
  </si>
  <si>
    <t>[Insulin] ECFV</t>
  </si>
  <si>
    <t>Degradation</t>
  </si>
  <si>
    <t>% Total</t>
  </si>
  <si>
    <t>Free</t>
  </si>
  <si>
    <t>mU/Min</t>
  </si>
  <si>
    <t>[Insulin] Portal Vein</t>
  </si>
  <si>
    <t>Binding = K1 * [I] * Free - K2 * Bound</t>
  </si>
  <si>
    <t>K1 = 10 * K2</t>
  </si>
  <si>
    <t>General and Liver Degradation = K3 * Bound</t>
  </si>
  <si>
    <t>Kidney Degradation = K4 * [I] * GFR</t>
  </si>
  <si>
    <t>[I] = Pool for General and Kidney and Portal for Liver</t>
  </si>
  <si>
    <t>General</t>
  </si>
  <si>
    <t>K3 and K4</t>
  </si>
  <si>
    <t>% Bound</t>
  </si>
  <si>
    <t>Bound</t>
  </si>
  <si>
    <t>K1</t>
  </si>
  <si>
    <t>K2</t>
  </si>
  <si>
    <t>Hepatic Receptors (mU)</t>
  </si>
  <si>
    <t>General Receptors (mU)</t>
  </si>
  <si>
    <t>Cerebral</t>
  </si>
  <si>
    <t>Carotid</t>
  </si>
  <si>
    <t>BloodVolume</t>
  </si>
  <si>
    <t>~~~ ARTERY ~~~</t>
  </si>
  <si>
    <t>Thoracic Aorta</t>
  </si>
  <si>
    <t>Abdominal Aorta</t>
  </si>
  <si>
    <t>Right Iliac</t>
  </si>
  <si>
    <t>Left Iliac</t>
  </si>
  <si>
    <t>~~~ SUMS ~~~</t>
  </si>
  <si>
    <t>F-BV</t>
  </si>
  <si>
    <t>F-Height</t>
  </si>
  <si>
    <t>F-Arteries</t>
  </si>
  <si>
    <t>F-Veins</t>
  </si>
  <si>
    <t>F-Lungs</t>
  </si>
  <si>
    <t>BV</t>
  </si>
  <si>
    <t>Height</t>
  </si>
  <si>
    <t>~~~ VEINS ~~~</t>
  </si>
  <si>
    <t>Jugular</t>
  </si>
  <si>
    <t>Superior VenaCava</t>
  </si>
  <si>
    <t>Right Ventricle</t>
  </si>
  <si>
    <t>Inferior VenaCava</t>
  </si>
  <si>
    <t>Splanchnic</t>
  </si>
  <si>
    <t>~~~ SUMS</t>
  </si>
  <si>
    <t>Male-Veins</t>
  </si>
  <si>
    <t>Male-Lungs</t>
  </si>
  <si>
    <t>~~~ LUNGS ~~~</t>
  </si>
  <si>
    <t>Left Ventricle</t>
  </si>
  <si>
    <t>Density</t>
  </si>
  <si>
    <t>Ortho-P</t>
  </si>
  <si>
    <t>P</t>
  </si>
  <si>
    <t>P-Ext</t>
  </si>
  <si>
    <t>F-V0</t>
  </si>
  <si>
    <t>V0</t>
  </si>
  <si>
    <t>Comp</t>
  </si>
  <si>
    <t>Right LowerArm</t>
  </si>
  <si>
    <t>Right UpperArm</t>
  </si>
  <si>
    <t>Left UpperArm</t>
  </si>
  <si>
    <t>Left LowerArm</t>
  </si>
  <si>
    <t>Right Thigh</t>
  </si>
  <si>
    <t>Right Calf</t>
  </si>
  <si>
    <t>Right Foot</t>
  </si>
  <si>
    <t>Left Thigh</t>
  </si>
  <si>
    <t>Left Calf</t>
  </si>
  <si>
    <t>Left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</si>
</sst>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107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5" sqref="B5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139</v>
      </c>
    </row>
    <row r="3" spans="1:8" x14ac:dyDescent="0.25">
      <c r="B3" t="s">
        <v>143</v>
      </c>
      <c r="C3" t="s">
        <v>144</v>
      </c>
      <c r="D3" t="s">
        <v>145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110</v>
      </c>
      <c r="C8" t="s">
        <v>144</v>
      </c>
      <c r="D8" t="s">
        <v>145</v>
      </c>
      <c r="F8" t="s">
        <v>110</v>
      </c>
      <c r="G8" s="10" t="s">
        <v>144</v>
      </c>
      <c r="H8" t="s">
        <v>145</v>
      </c>
    </row>
    <row r="9" spans="1:8" x14ac:dyDescent="0.25">
      <c r="A9" t="s">
        <v>141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142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137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15" sqref="D15"/>
    </sheetView>
  </sheetViews>
  <sheetFormatPr defaultRowHeight="15" x14ac:dyDescent="0.25"/>
  <cols>
    <col min="1" max="1" width="30.5703125" customWidth="1"/>
    <col min="3" max="3" width="10.42578125" customWidth="1"/>
    <col min="4" max="4" width="12.140625" customWidth="1"/>
    <col min="5" max="5" width="10.7109375" customWidth="1"/>
    <col min="6" max="6" width="12" bestFit="1" customWidth="1"/>
  </cols>
  <sheetData>
    <row r="1" spans="1:6" x14ac:dyDescent="0.25">
      <c r="A1" t="s">
        <v>146</v>
      </c>
    </row>
    <row r="3" spans="1:6" x14ac:dyDescent="0.25">
      <c r="A3" t="s">
        <v>107</v>
      </c>
      <c r="B3">
        <f>BodyMassMale</f>
        <v>75</v>
      </c>
    </row>
    <row r="5" spans="1:6" x14ac:dyDescent="0.25">
      <c r="A5" t="s">
        <v>155</v>
      </c>
    </row>
    <row r="6" spans="1:6" x14ac:dyDescent="0.25">
      <c r="A6" t="s">
        <v>159</v>
      </c>
      <c r="B6" s="1"/>
    </row>
    <row r="7" spans="1:6" x14ac:dyDescent="0.25">
      <c r="A7" t="s">
        <v>156</v>
      </c>
      <c r="B7" s="1"/>
    </row>
    <row r="8" spans="1:6" x14ac:dyDescent="0.25">
      <c r="A8" t="s">
        <v>157</v>
      </c>
      <c r="B8" s="1"/>
    </row>
    <row r="9" spans="1:6" x14ac:dyDescent="0.25">
      <c r="A9" t="s">
        <v>158</v>
      </c>
      <c r="B9" s="1"/>
    </row>
    <row r="10" spans="1:6" x14ac:dyDescent="0.25">
      <c r="B10" s="1"/>
    </row>
    <row r="11" spans="1:6" x14ac:dyDescent="0.25">
      <c r="C11" t="s">
        <v>147</v>
      </c>
      <c r="D11" t="s">
        <v>162</v>
      </c>
      <c r="E11" t="s">
        <v>163</v>
      </c>
      <c r="F11" t="s">
        <v>152</v>
      </c>
    </row>
    <row r="12" spans="1:6" x14ac:dyDescent="0.25">
      <c r="A12" t="s">
        <v>166</v>
      </c>
      <c r="C12">
        <v>50000</v>
      </c>
      <c r="D12">
        <v>20</v>
      </c>
      <c r="E12">
        <f>0.01*D12*C12</f>
        <v>10000</v>
      </c>
      <c r="F12">
        <f>C12-E12</f>
        <v>40000</v>
      </c>
    </row>
    <row r="13" spans="1:6" x14ac:dyDescent="0.25">
      <c r="A13" t="s">
        <v>167</v>
      </c>
      <c r="C13">
        <v>19000</v>
      </c>
      <c r="D13">
        <v>8</v>
      </c>
      <c r="E13">
        <f>0.01*D13*C13</f>
        <v>1520</v>
      </c>
      <c r="F13">
        <f>C13-E13</f>
        <v>17480</v>
      </c>
    </row>
    <row r="15" spans="1:6" x14ac:dyDescent="0.25">
      <c r="A15" t="s">
        <v>148</v>
      </c>
      <c r="B15">
        <v>17</v>
      </c>
    </row>
    <row r="17" spans="1:6" x14ac:dyDescent="0.25">
      <c r="A17" t="s">
        <v>149</v>
      </c>
      <c r="B17">
        <v>0.02</v>
      </c>
      <c r="C17">
        <v>15000</v>
      </c>
      <c r="D17">
        <f>B17*C17</f>
        <v>300</v>
      </c>
    </row>
    <row r="18" spans="1:6" x14ac:dyDescent="0.25">
      <c r="A18" t="s">
        <v>154</v>
      </c>
      <c r="B18">
        <v>5.1999999999999998E-2</v>
      </c>
    </row>
    <row r="20" spans="1:6" x14ac:dyDescent="0.25">
      <c r="A20" t="s">
        <v>150</v>
      </c>
      <c r="B20" t="s">
        <v>151</v>
      </c>
      <c r="C20" t="s">
        <v>153</v>
      </c>
      <c r="D20" t="s">
        <v>161</v>
      </c>
      <c r="E20" t="s">
        <v>164</v>
      </c>
      <c r="F20" t="s">
        <v>165</v>
      </c>
    </row>
    <row r="21" spans="1:6" x14ac:dyDescent="0.25">
      <c r="A21" t="s">
        <v>6</v>
      </c>
      <c r="B21">
        <v>79</v>
      </c>
      <c r="C21">
        <f>0.01*B21*B15</f>
        <v>13.43</v>
      </c>
      <c r="D21">
        <f>C21/E12</f>
        <v>1.343E-3</v>
      </c>
      <c r="E21">
        <f>10*F21</f>
        <v>1.2435185185185186E-2</v>
      </c>
      <c r="F21">
        <f>C21/(10*B18*F12-E12)</f>
        <v>1.2435185185185186E-3</v>
      </c>
    </row>
    <row r="22" spans="1:6" x14ac:dyDescent="0.25">
      <c r="A22" t="s">
        <v>4</v>
      </c>
      <c r="B22">
        <v>9</v>
      </c>
      <c r="C22">
        <f>0.01*B22*B15</f>
        <v>1.53</v>
      </c>
      <c r="D22">
        <f>C22/(1000*B17*125)</f>
        <v>6.1200000000000002E-4</v>
      </c>
    </row>
    <row r="23" spans="1:6" x14ac:dyDescent="0.25">
      <c r="A23" t="s">
        <v>160</v>
      </c>
      <c r="B23">
        <v>12</v>
      </c>
      <c r="C23">
        <f>0.01*B23*B15</f>
        <v>2.04</v>
      </c>
      <c r="D23">
        <f>C23/E13</f>
        <v>1.3421052631578947E-3</v>
      </c>
      <c r="E23">
        <f>10*F23</f>
        <v>1.0323886639676113E-2</v>
      </c>
      <c r="F23">
        <f>C23/(10*B17*F13-E13)</f>
        <v>1.0323886639676113E-3</v>
      </c>
    </row>
    <row r="24" spans="1:6" x14ac:dyDescent="0.25">
      <c r="C24">
        <f>SUM(C21:C23)</f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B2" workbookViewId="0">
      <selection activeCell="M23" sqref="M23"/>
    </sheetView>
  </sheetViews>
  <sheetFormatPr defaultRowHeight="15" x14ac:dyDescent="0.25"/>
  <cols>
    <col min="1" max="1" width="17" customWidth="1"/>
    <col min="2" max="3" width="8.140625" customWidth="1"/>
    <col min="4" max="4" width="8.7109375" customWidth="1"/>
    <col min="5" max="5" width="7.85546875" customWidth="1"/>
    <col min="6" max="7" width="9" customWidth="1"/>
    <col min="8" max="8" width="6.85546875" customWidth="1"/>
    <col min="9" max="10" width="7.28515625" customWidth="1"/>
    <col min="11" max="12" width="7.5703125" customWidth="1"/>
    <col min="13" max="13" width="7.85546875" customWidth="1"/>
  </cols>
  <sheetData>
    <row r="1" spans="1:13" x14ac:dyDescent="0.25">
      <c r="A1" t="s">
        <v>82</v>
      </c>
    </row>
    <row r="2" spans="1:13" x14ac:dyDescent="0.25">
      <c r="A2" t="s">
        <v>170</v>
      </c>
      <c r="B2" t="s">
        <v>179</v>
      </c>
      <c r="C2" t="s">
        <v>180</v>
      </c>
      <c r="D2" t="s">
        <v>181</v>
      </c>
      <c r="E2" t="s">
        <v>183</v>
      </c>
      <c r="F2" t="s">
        <v>142</v>
      </c>
      <c r="G2" t="s">
        <v>195</v>
      </c>
    </row>
    <row r="3" spans="1:13" x14ac:dyDescent="0.25">
      <c r="A3">
        <f>SUM(B3:D3)</f>
        <v>1</v>
      </c>
      <c r="B3">
        <v>0.18</v>
      </c>
      <c r="C3">
        <v>0.67</v>
      </c>
      <c r="D3">
        <v>0.15</v>
      </c>
      <c r="E3">
        <v>178</v>
      </c>
      <c r="F3">
        <v>0.7</v>
      </c>
      <c r="G3">
        <v>1.34</v>
      </c>
    </row>
    <row r="4" spans="1:13" x14ac:dyDescent="0.25">
      <c r="A4" s="1">
        <f>BloodVolume_Male</f>
        <v>5407.95</v>
      </c>
      <c r="B4" s="1">
        <f>B3*A4</f>
        <v>973.43099999999993</v>
      </c>
      <c r="C4" s="1">
        <f>C3*A4</f>
        <v>3623.3265000000001</v>
      </c>
      <c r="D4" s="1">
        <f>D3*A4</f>
        <v>811.1925</v>
      </c>
    </row>
    <row r="5" spans="1:13" x14ac:dyDescent="0.25">
      <c r="A5" t="s">
        <v>171</v>
      </c>
      <c r="B5" s="11" t="s">
        <v>177</v>
      </c>
      <c r="C5" s="11" t="s">
        <v>182</v>
      </c>
      <c r="D5" s="11" t="s">
        <v>178</v>
      </c>
      <c r="E5" s="11" t="s">
        <v>183</v>
      </c>
      <c r="F5" s="11" t="s">
        <v>196</v>
      </c>
      <c r="G5" s="11" t="s">
        <v>95</v>
      </c>
      <c r="H5" s="11" t="s">
        <v>197</v>
      </c>
      <c r="I5" s="11" t="s">
        <v>198</v>
      </c>
      <c r="J5" s="11" t="s">
        <v>78</v>
      </c>
      <c r="K5" s="11" t="s">
        <v>199</v>
      </c>
      <c r="L5" s="11" t="s">
        <v>200</v>
      </c>
      <c r="M5" s="11" t="s">
        <v>201</v>
      </c>
    </row>
    <row r="6" spans="1:13" x14ac:dyDescent="0.25">
      <c r="A6" t="s">
        <v>168</v>
      </c>
      <c r="B6" s="11">
        <v>0.05</v>
      </c>
      <c r="C6" s="12">
        <f t="shared" ref="C6:C21" si="0">B6*BloodVolume_Male_Arteries</f>
        <v>48.671549999999996</v>
      </c>
      <c r="D6" s="11">
        <v>0.95</v>
      </c>
      <c r="E6" s="12">
        <f t="shared" ref="E6:E21" si="1">D6*Male_Height</f>
        <v>169.1</v>
      </c>
      <c r="F6" s="12">
        <f t="shared" ref="F6:F21" si="2">(Male_Height-E6)*Density</f>
        <v>11.926000000000009</v>
      </c>
      <c r="G6" s="12">
        <f>F6-F7</f>
        <v>-19.081600000000012</v>
      </c>
      <c r="H6" s="11">
        <v>95</v>
      </c>
      <c r="I6" s="11">
        <v>0</v>
      </c>
      <c r="J6" s="13">
        <f t="shared" ref="J6:J21" si="3">H6-I6</f>
        <v>95</v>
      </c>
      <c r="K6" s="11">
        <v>0.85</v>
      </c>
      <c r="L6" s="12">
        <f t="shared" ref="L6:L21" si="4">K6*C6</f>
        <v>41.370817499999994</v>
      </c>
      <c r="M6" s="14">
        <f t="shared" ref="M6:M21" si="5">(C6-L6)/J6</f>
        <v>7.6849815789473711E-2</v>
      </c>
    </row>
    <row r="7" spans="1:13" x14ac:dyDescent="0.25">
      <c r="A7" t="s">
        <v>169</v>
      </c>
      <c r="B7" s="11">
        <v>0.05</v>
      </c>
      <c r="C7" s="12">
        <f t="shared" si="0"/>
        <v>48.671549999999996</v>
      </c>
      <c r="D7" s="11">
        <v>0.87</v>
      </c>
      <c r="E7" s="12">
        <f t="shared" si="1"/>
        <v>154.85999999999999</v>
      </c>
      <c r="F7" s="12">
        <f t="shared" si="2"/>
        <v>31.007600000000021</v>
      </c>
      <c r="G7" s="12">
        <f>F7-F12</f>
        <v>-16.696399999999972</v>
      </c>
      <c r="H7" s="11">
        <v>97</v>
      </c>
      <c r="I7" s="11">
        <v>0</v>
      </c>
      <c r="J7" s="13">
        <f t="shared" si="3"/>
        <v>97</v>
      </c>
      <c r="K7" s="11">
        <v>0.85</v>
      </c>
      <c r="L7" s="12">
        <f t="shared" si="4"/>
        <v>41.370817499999994</v>
      </c>
      <c r="M7" s="14">
        <f t="shared" si="5"/>
        <v>7.5265283505154656E-2</v>
      </c>
    </row>
    <row r="8" spans="1:13" x14ac:dyDescent="0.25">
      <c r="A8" t="s">
        <v>203</v>
      </c>
      <c r="B8" s="11">
        <v>0.05</v>
      </c>
      <c r="C8" s="12">
        <f t="shared" si="0"/>
        <v>48.671549999999996</v>
      </c>
      <c r="D8" s="11">
        <v>0.8</v>
      </c>
      <c r="E8" s="12">
        <f t="shared" si="1"/>
        <v>142.4</v>
      </c>
      <c r="F8" s="12">
        <f t="shared" si="2"/>
        <v>47.703999999999994</v>
      </c>
      <c r="G8" s="12">
        <f>F8-F10</f>
        <v>0</v>
      </c>
      <c r="H8" s="11">
        <v>95</v>
      </c>
      <c r="I8" s="11">
        <v>0</v>
      </c>
      <c r="J8" s="13">
        <f t="shared" si="3"/>
        <v>95</v>
      </c>
      <c r="K8" s="11">
        <v>0.85</v>
      </c>
      <c r="L8" s="12">
        <f t="shared" si="4"/>
        <v>41.370817499999994</v>
      </c>
      <c r="M8" s="14">
        <f t="shared" si="5"/>
        <v>7.6849815789473711E-2</v>
      </c>
    </row>
    <row r="9" spans="1:13" x14ac:dyDescent="0.25">
      <c r="A9" t="s">
        <v>202</v>
      </c>
      <c r="B9" s="11">
        <v>0.06</v>
      </c>
      <c r="C9" s="12">
        <f t="shared" si="0"/>
        <v>58.40585999999999</v>
      </c>
      <c r="D9" s="11">
        <v>0.7</v>
      </c>
      <c r="E9" s="12">
        <f t="shared" si="1"/>
        <v>124.6</v>
      </c>
      <c r="F9" s="12">
        <f t="shared" si="2"/>
        <v>71.556000000000012</v>
      </c>
      <c r="G9" s="12">
        <f>F9-F8</f>
        <v>23.852000000000018</v>
      </c>
      <c r="H9" s="11">
        <v>93</v>
      </c>
      <c r="I9" s="11">
        <v>0</v>
      </c>
      <c r="J9" s="13">
        <f t="shared" si="3"/>
        <v>93</v>
      </c>
      <c r="K9" s="11">
        <v>0.85</v>
      </c>
      <c r="L9" s="12">
        <f t="shared" si="4"/>
        <v>49.644980999999987</v>
      </c>
      <c r="M9" s="14">
        <f t="shared" si="5"/>
        <v>9.4203000000000023E-2</v>
      </c>
    </row>
    <row r="10" spans="1:13" x14ac:dyDescent="0.25">
      <c r="A10" t="s">
        <v>204</v>
      </c>
      <c r="B10" s="11">
        <v>0.05</v>
      </c>
      <c r="C10" s="12">
        <f t="shared" si="0"/>
        <v>48.671549999999996</v>
      </c>
      <c r="D10" s="11">
        <v>0.8</v>
      </c>
      <c r="E10" s="12">
        <f t="shared" si="1"/>
        <v>142.4</v>
      </c>
      <c r="F10" s="12">
        <f t="shared" si="2"/>
        <v>47.703999999999994</v>
      </c>
      <c r="G10" s="12">
        <f>F10-F12</f>
        <v>0</v>
      </c>
      <c r="H10" s="11">
        <v>95</v>
      </c>
      <c r="I10" s="11">
        <v>0</v>
      </c>
      <c r="J10" s="13">
        <f t="shared" si="3"/>
        <v>95</v>
      </c>
      <c r="K10" s="11">
        <v>0.85</v>
      </c>
      <c r="L10" s="12">
        <f t="shared" si="4"/>
        <v>41.370817499999994</v>
      </c>
      <c r="M10" s="14">
        <f t="shared" si="5"/>
        <v>7.6849815789473711E-2</v>
      </c>
    </row>
    <row r="11" spans="1:13" x14ac:dyDescent="0.25">
      <c r="A11" t="s">
        <v>205</v>
      </c>
      <c r="B11" s="11">
        <v>0.06</v>
      </c>
      <c r="C11" s="12">
        <f t="shared" si="0"/>
        <v>58.40585999999999</v>
      </c>
      <c r="D11" s="11">
        <v>0.7</v>
      </c>
      <c r="E11" s="12">
        <f t="shared" si="1"/>
        <v>124.6</v>
      </c>
      <c r="F11" s="12">
        <f t="shared" si="2"/>
        <v>71.556000000000012</v>
      </c>
      <c r="G11" s="12">
        <f>F11-F10</f>
        <v>23.852000000000018</v>
      </c>
      <c r="H11" s="11">
        <v>93</v>
      </c>
      <c r="I11" s="11">
        <v>0</v>
      </c>
      <c r="J11" s="13">
        <f t="shared" si="3"/>
        <v>93</v>
      </c>
      <c r="K11" s="11">
        <v>0.85</v>
      </c>
      <c r="L11" s="12">
        <f t="shared" si="4"/>
        <v>49.644980999999987</v>
      </c>
      <c r="M11" s="14">
        <f t="shared" si="5"/>
        <v>9.4203000000000023E-2</v>
      </c>
    </row>
    <row r="12" spans="1:13" x14ac:dyDescent="0.25">
      <c r="A12" t="s">
        <v>172</v>
      </c>
      <c r="B12" s="11">
        <v>0.15</v>
      </c>
      <c r="C12" s="12">
        <f t="shared" si="0"/>
        <v>146.01464999999999</v>
      </c>
      <c r="D12" s="11">
        <v>0.8</v>
      </c>
      <c r="E12" s="12">
        <f t="shared" si="1"/>
        <v>142.4</v>
      </c>
      <c r="F12" s="12">
        <f t="shared" si="2"/>
        <v>47.703999999999994</v>
      </c>
      <c r="G12" s="11">
        <v>0</v>
      </c>
      <c r="H12" s="11">
        <v>97</v>
      </c>
      <c r="I12" s="11">
        <v>-3</v>
      </c>
      <c r="J12" s="13">
        <f t="shared" si="3"/>
        <v>100</v>
      </c>
      <c r="K12" s="11">
        <v>0.85</v>
      </c>
      <c r="L12" s="12">
        <f t="shared" si="4"/>
        <v>124.11245249999999</v>
      </c>
      <c r="M12" s="14">
        <f t="shared" si="5"/>
        <v>0.21902197500000001</v>
      </c>
    </row>
    <row r="13" spans="1:13" x14ac:dyDescent="0.25">
      <c r="A13" t="s">
        <v>173</v>
      </c>
      <c r="B13" s="11">
        <v>0.17</v>
      </c>
      <c r="C13" s="12">
        <f t="shared" si="0"/>
        <v>165.48327</v>
      </c>
      <c r="D13" s="11">
        <v>0.65</v>
      </c>
      <c r="E13" s="12">
        <f t="shared" si="1"/>
        <v>115.7</v>
      </c>
      <c r="F13" s="12">
        <f t="shared" si="2"/>
        <v>83.481999999999999</v>
      </c>
      <c r="G13" s="12">
        <f>F13-F12</f>
        <v>35.778000000000006</v>
      </c>
      <c r="H13" s="11">
        <v>97</v>
      </c>
      <c r="I13" s="11">
        <v>0</v>
      </c>
      <c r="J13" s="13">
        <f t="shared" si="3"/>
        <v>97</v>
      </c>
      <c r="K13" s="11">
        <v>0.85</v>
      </c>
      <c r="L13" s="12">
        <f t="shared" si="4"/>
        <v>140.66077949999999</v>
      </c>
      <c r="M13" s="14">
        <f t="shared" si="5"/>
        <v>0.25590196391752595</v>
      </c>
    </row>
    <row r="14" spans="1:13" x14ac:dyDescent="0.25">
      <c r="A14" t="s">
        <v>174</v>
      </c>
      <c r="B14" s="11">
        <v>0.05</v>
      </c>
      <c r="C14" s="12">
        <f t="shared" si="0"/>
        <v>48.671549999999996</v>
      </c>
      <c r="D14" s="11">
        <v>0.5</v>
      </c>
      <c r="E14" s="12">
        <f t="shared" si="1"/>
        <v>89</v>
      </c>
      <c r="F14" s="12">
        <f t="shared" si="2"/>
        <v>119.26</v>
      </c>
      <c r="G14" s="12">
        <f>F14-F13</f>
        <v>35.778000000000006</v>
      </c>
      <c r="H14" s="11">
        <v>95</v>
      </c>
      <c r="I14" s="11">
        <v>0</v>
      </c>
      <c r="J14" s="13">
        <f t="shared" si="3"/>
        <v>95</v>
      </c>
      <c r="K14" s="11">
        <v>0.85</v>
      </c>
      <c r="L14" s="12">
        <f t="shared" si="4"/>
        <v>41.370817499999994</v>
      </c>
      <c r="M14" s="14">
        <f t="shared" si="5"/>
        <v>7.6849815789473711E-2</v>
      </c>
    </row>
    <row r="15" spans="1:13" x14ac:dyDescent="0.25">
      <c r="A15" t="s">
        <v>206</v>
      </c>
      <c r="B15" s="11">
        <v>0.06</v>
      </c>
      <c r="C15" s="12">
        <f t="shared" si="0"/>
        <v>58.40585999999999</v>
      </c>
      <c r="D15" s="11">
        <v>0.37</v>
      </c>
      <c r="E15" s="12">
        <f t="shared" si="1"/>
        <v>65.86</v>
      </c>
      <c r="F15" s="12">
        <f t="shared" si="2"/>
        <v>150.26760000000002</v>
      </c>
      <c r="G15" s="12">
        <f>F15-F14</f>
        <v>31.007600000000011</v>
      </c>
      <c r="H15" s="11">
        <v>94</v>
      </c>
      <c r="I15" s="11">
        <v>0</v>
      </c>
      <c r="J15" s="13">
        <f t="shared" si="3"/>
        <v>94</v>
      </c>
      <c r="K15" s="11">
        <v>0.85</v>
      </c>
      <c r="L15" s="12">
        <f t="shared" si="4"/>
        <v>49.644980999999987</v>
      </c>
      <c r="M15" s="14">
        <f t="shared" si="5"/>
        <v>9.320084042553195E-2</v>
      </c>
    </row>
    <row r="16" spans="1:13" x14ac:dyDescent="0.25">
      <c r="A16" t="s">
        <v>207</v>
      </c>
      <c r="B16" s="11">
        <v>0.05</v>
      </c>
      <c r="C16" s="12">
        <f t="shared" si="0"/>
        <v>48.671549999999996</v>
      </c>
      <c r="D16" s="11">
        <v>0.2</v>
      </c>
      <c r="E16" s="12">
        <f t="shared" si="1"/>
        <v>35.6</v>
      </c>
      <c r="F16" s="12">
        <f t="shared" si="2"/>
        <v>190.81600000000003</v>
      </c>
      <c r="G16" s="12">
        <f>F16-F15</f>
        <v>40.548400000000015</v>
      </c>
      <c r="H16" s="11">
        <v>92</v>
      </c>
      <c r="I16" s="11">
        <v>0</v>
      </c>
      <c r="J16" s="13">
        <f t="shared" si="3"/>
        <v>92</v>
      </c>
      <c r="K16" s="11">
        <v>0.85</v>
      </c>
      <c r="L16" s="12">
        <f t="shared" si="4"/>
        <v>41.370817499999994</v>
      </c>
      <c r="M16" s="14">
        <f t="shared" si="5"/>
        <v>7.9355788043478287E-2</v>
      </c>
    </row>
    <row r="17" spans="1:13" x14ac:dyDescent="0.25">
      <c r="A17" t="s">
        <v>208</v>
      </c>
      <c r="B17" s="11">
        <v>0.02</v>
      </c>
      <c r="C17" s="12">
        <f t="shared" si="0"/>
        <v>19.468619999999998</v>
      </c>
      <c r="D17" s="11">
        <v>0.02</v>
      </c>
      <c r="E17" s="12">
        <f t="shared" si="1"/>
        <v>3.56</v>
      </c>
      <c r="F17" s="12">
        <f t="shared" si="2"/>
        <v>233.74960000000002</v>
      </c>
      <c r="G17" s="12">
        <f>F17-F16</f>
        <v>42.933599999999984</v>
      </c>
      <c r="H17" s="11">
        <v>89</v>
      </c>
      <c r="I17" s="11">
        <v>0</v>
      </c>
      <c r="J17" s="13">
        <f t="shared" si="3"/>
        <v>89</v>
      </c>
      <c r="K17" s="11">
        <v>0.85</v>
      </c>
      <c r="L17" s="12">
        <f t="shared" si="4"/>
        <v>16.548326999999997</v>
      </c>
      <c r="M17" s="14">
        <f t="shared" si="5"/>
        <v>3.2812280898876417E-2</v>
      </c>
    </row>
    <row r="18" spans="1:13" x14ac:dyDescent="0.25">
      <c r="A18" t="s">
        <v>175</v>
      </c>
      <c r="B18" s="11">
        <v>0.05</v>
      </c>
      <c r="C18" s="12">
        <f t="shared" si="0"/>
        <v>48.671549999999996</v>
      </c>
      <c r="D18" s="11">
        <v>0.5</v>
      </c>
      <c r="E18" s="12">
        <f t="shared" si="1"/>
        <v>89</v>
      </c>
      <c r="F18" s="12">
        <f t="shared" si="2"/>
        <v>119.26</v>
      </c>
      <c r="G18" s="12">
        <f>F18-F13</f>
        <v>35.778000000000006</v>
      </c>
      <c r="H18" s="11">
        <v>95</v>
      </c>
      <c r="I18" s="11">
        <v>0</v>
      </c>
      <c r="J18" s="13">
        <f t="shared" si="3"/>
        <v>95</v>
      </c>
      <c r="K18" s="11">
        <v>0.85</v>
      </c>
      <c r="L18" s="12">
        <f t="shared" si="4"/>
        <v>41.370817499999994</v>
      </c>
      <c r="M18" s="14">
        <f t="shared" si="5"/>
        <v>7.6849815789473711E-2</v>
      </c>
    </row>
    <row r="19" spans="1:13" x14ac:dyDescent="0.25">
      <c r="A19" t="s">
        <v>209</v>
      </c>
      <c r="B19" s="11">
        <v>0.06</v>
      </c>
      <c r="C19" s="12">
        <f t="shared" si="0"/>
        <v>58.40585999999999</v>
      </c>
      <c r="D19" s="11">
        <v>0.37</v>
      </c>
      <c r="E19" s="12">
        <f t="shared" si="1"/>
        <v>65.86</v>
      </c>
      <c r="F19" s="12">
        <f t="shared" si="2"/>
        <v>150.26760000000002</v>
      </c>
      <c r="G19" s="12">
        <f>F19-F18</f>
        <v>31.007600000000011</v>
      </c>
      <c r="H19" s="11">
        <v>94</v>
      </c>
      <c r="I19" s="11">
        <v>0</v>
      </c>
      <c r="J19" s="13">
        <f t="shared" si="3"/>
        <v>94</v>
      </c>
      <c r="K19" s="11">
        <v>0.85</v>
      </c>
      <c r="L19" s="12">
        <f t="shared" si="4"/>
        <v>49.644980999999987</v>
      </c>
      <c r="M19" s="14">
        <f t="shared" si="5"/>
        <v>9.320084042553195E-2</v>
      </c>
    </row>
    <row r="20" spans="1:13" x14ac:dyDescent="0.25">
      <c r="A20" t="s">
        <v>210</v>
      </c>
      <c r="B20" s="11">
        <v>0.05</v>
      </c>
      <c r="C20" s="12">
        <f t="shared" si="0"/>
        <v>48.671549999999996</v>
      </c>
      <c r="D20" s="11">
        <v>0.2</v>
      </c>
      <c r="E20" s="12">
        <f t="shared" si="1"/>
        <v>35.6</v>
      </c>
      <c r="F20" s="12">
        <f t="shared" si="2"/>
        <v>190.81600000000003</v>
      </c>
      <c r="G20" s="12">
        <f>F20-F19</f>
        <v>40.548400000000015</v>
      </c>
      <c r="H20" s="11">
        <v>92</v>
      </c>
      <c r="I20" s="11">
        <v>0</v>
      </c>
      <c r="J20" s="13">
        <f t="shared" si="3"/>
        <v>92</v>
      </c>
      <c r="K20" s="11">
        <v>0.85</v>
      </c>
      <c r="L20" s="12">
        <f t="shared" si="4"/>
        <v>41.370817499999994</v>
      </c>
      <c r="M20" s="14">
        <f t="shared" si="5"/>
        <v>7.9355788043478287E-2</v>
      </c>
    </row>
    <row r="21" spans="1:13" x14ac:dyDescent="0.25">
      <c r="A21" t="s">
        <v>211</v>
      </c>
      <c r="B21" s="11">
        <v>0.02</v>
      </c>
      <c r="C21" s="12">
        <f t="shared" si="0"/>
        <v>19.468619999999998</v>
      </c>
      <c r="D21" s="11">
        <v>0.02</v>
      </c>
      <c r="E21" s="12">
        <f t="shared" si="1"/>
        <v>3.56</v>
      </c>
      <c r="F21" s="12">
        <f t="shared" si="2"/>
        <v>233.74960000000002</v>
      </c>
      <c r="G21" s="12">
        <f>F21-F20</f>
        <v>42.933599999999984</v>
      </c>
      <c r="H21" s="11">
        <v>89</v>
      </c>
      <c r="I21" s="11">
        <v>0</v>
      </c>
      <c r="J21" s="13">
        <f t="shared" si="3"/>
        <v>89</v>
      </c>
      <c r="K21" s="11">
        <v>0.85</v>
      </c>
      <c r="L21" s="12">
        <f t="shared" si="4"/>
        <v>16.548326999999997</v>
      </c>
      <c r="M21" s="14">
        <f t="shared" si="5"/>
        <v>3.2812280898876417E-2</v>
      </c>
    </row>
    <row r="22" spans="1:13" x14ac:dyDescent="0.25">
      <c r="A22" t="s">
        <v>176</v>
      </c>
      <c r="B22" s="11">
        <f>SUM(B6:B21)</f>
        <v>1.0000000000000002</v>
      </c>
      <c r="C22" s="12">
        <f>SUM(C6:C21)</f>
        <v>973.43100000000004</v>
      </c>
      <c r="D22" s="11"/>
      <c r="E22" s="11"/>
      <c r="F22" s="11"/>
      <c r="G22" s="11"/>
      <c r="H22" s="11"/>
      <c r="I22" s="11"/>
      <c r="J22" s="11"/>
      <c r="K22" s="11"/>
      <c r="L22" s="12">
        <f>SUM(L6:L21)</f>
        <v>827.41635000000008</v>
      </c>
      <c r="M22" s="14">
        <f>SUM(M6:M21)</f>
        <v>1.5335821201058228</v>
      </c>
    </row>
  </sheetData>
  <pageMargins left="0.7" right="0.7" top="0.75" bottom="0.75" header="0.3" footer="0.3"/>
  <pageSetup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4" workbookViewId="0">
      <selection activeCell="H8" sqref="H8"/>
    </sheetView>
  </sheetViews>
  <sheetFormatPr defaultRowHeight="15" x14ac:dyDescent="0.25"/>
  <cols>
    <col min="1" max="1" width="17.7109375" customWidth="1"/>
    <col min="2" max="2" width="7.85546875" customWidth="1"/>
    <col min="3" max="3" width="8" customWidth="1"/>
    <col min="5" max="5" width="8.42578125" customWidth="1"/>
    <col min="6" max="6" width="8.5703125" customWidth="1"/>
    <col min="7" max="7" width="8.85546875" customWidth="1"/>
    <col min="8" max="8" width="6.28515625" customWidth="1"/>
    <col min="9" max="9" width="7" customWidth="1"/>
    <col min="10" max="10" width="7.5703125" customWidth="1"/>
    <col min="11" max="11" width="7.140625" customWidth="1"/>
    <col min="12" max="12" width="7.42578125" customWidth="1"/>
    <col min="13" max="13" width="6.5703125" customWidth="1"/>
  </cols>
  <sheetData>
    <row r="1" spans="1:13" x14ac:dyDescent="0.25">
      <c r="A1" t="s">
        <v>191</v>
      </c>
      <c r="C1" t="s">
        <v>182</v>
      </c>
      <c r="E1" t="s">
        <v>183</v>
      </c>
    </row>
    <row r="2" spans="1:13" x14ac:dyDescent="0.25">
      <c r="C2" s="1">
        <f>BloodVolume_Male_Veins</f>
        <v>3623.3265000000001</v>
      </c>
      <c r="E2">
        <f>Male_Height</f>
        <v>178</v>
      </c>
    </row>
    <row r="5" spans="1:13" x14ac:dyDescent="0.25">
      <c r="A5" t="s">
        <v>184</v>
      </c>
      <c r="B5" s="11" t="s">
        <v>177</v>
      </c>
      <c r="C5" s="11" t="s">
        <v>182</v>
      </c>
      <c r="D5" s="11" t="s">
        <v>178</v>
      </c>
      <c r="E5" s="11" t="s">
        <v>183</v>
      </c>
      <c r="F5" s="11" t="s">
        <v>196</v>
      </c>
      <c r="G5" s="11" t="s">
        <v>95</v>
      </c>
      <c r="H5" s="11" t="s">
        <v>197</v>
      </c>
      <c r="I5" s="11" t="s">
        <v>198</v>
      </c>
      <c r="J5" s="11" t="s">
        <v>78</v>
      </c>
      <c r="K5" s="11" t="s">
        <v>199</v>
      </c>
      <c r="L5" s="11" t="s">
        <v>200</v>
      </c>
      <c r="M5" s="11" t="s">
        <v>201</v>
      </c>
    </row>
    <row r="6" spans="1:13" x14ac:dyDescent="0.25">
      <c r="A6" t="s">
        <v>168</v>
      </c>
      <c r="B6">
        <v>0.04</v>
      </c>
      <c r="C6" s="5">
        <f t="shared" ref="C6:C24" si="0">B6*BloodVolume_Male_Veins</f>
        <v>144.93306000000001</v>
      </c>
      <c r="D6">
        <v>0.95</v>
      </c>
      <c r="E6" s="5">
        <f t="shared" ref="E6:E24" si="1">D6*Male_Height</f>
        <v>169.1</v>
      </c>
      <c r="F6" s="5">
        <f t="shared" ref="F6:F24" si="2">(Male_Height-E6)*Density</f>
        <v>11.926000000000009</v>
      </c>
      <c r="G6" s="5">
        <f>F6-F7</f>
        <v>-19.081600000000012</v>
      </c>
      <c r="H6">
        <v>8</v>
      </c>
      <c r="I6">
        <v>0</v>
      </c>
      <c r="J6" s="5">
        <f t="shared" ref="J6:J24" si="3">H6-I6</f>
        <v>8</v>
      </c>
      <c r="K6">
        <v>0.95</v>
      </c>
      <c r="L6" s="5">
        <f t="shared" ref="L6:L24" si="4">K6*C6</f>
        <v>137.686407</v>
      </c>
      <c r="M6" s="5">
        <f t="shared" ref="M6:M24" si="5">(C6-L6)/J6</f>
        <v>0.90583162500000114</v>
      </c>
    </row>
    <row r="7" spans="1:13" x14ac:dyDescent="0.25">
      <c r="A7" t="s">
        <v>185</v>
      </c>
      <c r="B7">
        <v>0.02</v>
      </c>
      <c r="C7" s="5">
        <f t="shared" si="0"/>
        <v>72.466530000000006</v>
      </c>
      <c r="D7">
        <v>0.87</v>
      </c>
      <c r="E7" s="5">
        <f t="shared" si="1"/>
        <v>154.85999999999999</v>
      </c>
      <c r="F7" s="5">
        <f t="shared" si="2"/>
        <v>31.007600000000021</v>
      </c>
      <c r="G7" s="5">
        <f>F7-F12</f>
        <v>-26.237199999999984</v>
      </c>
      <c r="H7">
        <v>7</v>
      </c>
      <c r="I7">
        <v>0</v>
      </c>
      <c r="J7" s="5">
        <f t="shared" si="3"/>
        <v>7</v>
      </c>
      <c r="K7">
        <v>0.5</v>
      </c>
      <c r="L7" s="5">
        <f t="shared" si="4"/>
        <v>36.233265000000003</v>
      </c>
      <c r="M7" s="5">
        <f t="shared" si="5"/>
        <v>5.1761807142857146</v>
      </c>
    </row>
    <row r="8" spans="1:13" x14ac:dyDescent="0.25">
      <c r="A8" t="s">
        <v>203</v>
      </c>
      <c r="B8">
        <v>0.03</v>
      </c>
      <c r="C8" s="5">
        <f t="shared" si="0"/>
        <v>108.69979499999999</v>
      </c>
      <c r="D8">
        <v>0.8</v>
      </c>
      <c r="E8" s="5">
        <f t="shared" si="1"/>
        <v>142.4</v>
      </c>
      <c r="F8" s="5">
        <f t="shared" si="2"/>
        <v>47.703999999999994</v>
      </c>
      <c r="G8" s="5">
        <f>F8-F12</f>
        <v>-9.5408000000000115</v>
      </c>
      <c r="H8">
        <v>8</v>
      </c>
      <c r="I8">
        <v>0</v>
      </c>
      <c r="J8" s="5">
        <f t="shared" si="3"/>
        <v>8</v>
      </c>
      <c r="K8">
        <v>0.6</v>
      </c>
      <c r="L8" s="5">
        <f t="shared" si="4"/>
        <v>65.219876999999997</v>
      </c>
      <c r="M8" s="5">
        <f t="shared" si="5"/>
        <v>5.4349897499999997</v>
      </c>
    </row>
    <row r="9" spans="1:13" x14ac:dyDescent="0.25">
      <c r="A9" t="s">
        <v>202</v>
      </c>
      <c r="B9">
        <v>0.02</v>
      </c>
      <c r="C9" s="5">
        <f t="shared" si="0"/>
        <v>72.466530000000006</v>
      </c>
      <c r="D9">
        <v>0.7</v>
      </c>
      <c r="E9" s="5">
        <f t="shared" si="1"/>
        <v>124.6</v>
      </c>
      <c r="F9" s="5">
        <f t="shared" si="2"/>
        <v>71.556000000000012</v>
      </c>
      <c r="G9" s="5">
        <f>F9-F8</f>
        <v>23.852000000000018</v>
      </c>
      <c r="H9">
        <v>10</v>
      </c>
      <c r="I9">
        <v>0</v>
      </c>
      <c r="J9" s="5">
        <f t="shared" si="3"/>
        <v>10</v>
      </c>
      <c r="K9">
        <v>0.7</v>
      </c>
      <c r="L9" s="5">
        <f t="shared" si="4"/>
        <v>50.726571</v>
      </c>
      <c r="M9" s="5">
        <f t="shared" si="5"/>
        <v>2.1739959000000004</v>
      </c>
    </row>
    <row r="10" spans="1:13" x14ac:dyDescent="0.25">
      <c r="A10" t="s">
        <v>204</v>
      </c>
      <c r="B10">
        <v>0.03</v>
      </c>
      <c r="C10" s="5">
        <f t="shared" si="0"/>
        <v>108.69979499999999</v>
      </c>
      <c r="D10">
        <v>0.8</v>
      </c>
      <c r="E10" s="5">
        <f t="shared" si="1"/>
        <v>142.4</v>
      </c>
      <c r="F10" s="5">
        <f t="shared" si="2"/>
        <v>47.703999999999994</v>
      </c>
      <c r="G10" s="5">
        <f>F10-F12</f>
        <v>-9.5408000000000115</v>
      </c>
      <c r="H10">
        <v>8</v>
      </c>
      <c r="I10">
        <v>0</v>
      </c>
      <c r="J10" s="5">
        <f t="shared" si="3"/>
        <v>8</v>
      </c>
      <c r="K10">
        <v>0.6</v>
      </c>
      <c r="L10" s="5">
        <f t="shared" si="4"/>
        <v>65.219876999999997</v>
      </c>
      <c r="M10" s="5">
        <f t="shared" si="5"/>
        <v>5.4349897499999997</v>
      </c>
    </row>
    <row r="11" spans="1:13" x14ac:dyDescent="0.25">
      <c r="A11" t="s">
        <v>205</v>
      </c>
      <c r="B11">
        <v>0.02</v>
      </c>
      <c r="C11" s="5">
        <f t="shared" si="0"/>
        <v>72.466530000000006</v>
      </c>
      <c r="D11">
        <v>0.7</v>
      </c>
      <c r="E11" s="5">
        <f t="shared" si="1"/>
        <v>124.6</v>
      </c>
      <c r="F11" s="5">
        <f t="shared" si="2"/>
        <v>71.556000000000012</v>
      </c>
      <c r="G11" s="5">
        <f>F11-F10</f>
        <v>23.852000000000018</v>
      </c>
      <c r="H11">
        <v>10</v>
      </c>
      <c r="I11">
        <v>0</v>
      </c>
      <c r="J11" s="5">
        <f t="shared" si="3"/>
        <v>10</v>
      </c>
      <c r="K11">
        <v>0.7</v>
      </c>
      <c r="L11" s="5">
        <f t="shared" si="4"/>
        <v>50.726571</v>
      </c>
      <c r="M11" s="5">
        <f t="shared" si="5"/>
        <v>2.1739959000000004</v>
      </c>
    </row>
    <row r="12" spans="1:13" x14ac:dyDescent="0.25">
      <c r="A12" t="s">
        <v>186</v>
      </c>
      <c r="B12">
        <v>0.12</v>
      </c>
      <c r="C12" s="5">
        <f t="shared" si="0"/>
        <v>434.79917999999998</v>
      </c>
      <c r="D12">
        <v>0.76</v>
      </c>
      <c r="E12" s="5">
        <f t="shared" si="1"/>
        <v>135.28</v>
      </c>
      <c r="F12" s="5">
        <f t="shared" si="2"/>
        <v>57.244800000000005</v>
      </c>
      <c r="G12" s="5">
        <f>F12-F13</f>
        <v>-9.5407999999999973</v>
      </c>
      <c r="H12">
        <v>6</v>
      </c>
      <c r="I12">
        <v>-3</v>
      </c>
      <c r="J12" s="5">
        <f t="shared" si="3"/>
        <v>9</v>
      </c>
      <c r="K12">
        <v>0.3</v>
      </c>
      <c r="L12" s="5">
        <f t="shared" si="4"/>
        <v>130.43975399999999</v>
      </c>
      <c r="M12" s="5">
        <f t="shared" si="5"/>
        <v>33.817713999999995</v>
      </c>
    </row>
    <row r="13" spans="1:13" x14ac:dyDescent="0.25">
      <c r="A13" t="s">
        <v>70</v>
      </c>
      <c r="B13">
        <v>0.02</v>
      </c>
      <c r="C13" s="5">
        <f t="shared" si="0"/>
        <v>72.466530000000006</v>
      </c>
      <c r="D13">
        <v>0.72</v>
      </c>
      <c r="E13" s="5">
        <f t="shared" si="1"/>
        <v>128.16</v>
      </c>
      <c r="F13" s="5">
        <f t="shared" si="2"/>
        <v>66.785600000000002</v>
      </c>
      <c r="G13">
        <v>0</v>
      </c>
      <c r="H13">
        <v>4</v>
      </c>
      <c r="I13">
        <v>-3</v>
      </c>
      <c r="J13" s="5">
        <f t="shared" si="3"/>
        <v>7</v>
      </c>
      <c r="K13">
        <v>0</v>
      </c>
      <c r="L13" s="5">
        <f t="shared" si="4"/>
        <v>0</v>
      </c>
      <c r="M13" s="5">
        <f t="shared" si="5"/>
        <v>10.352361428571429</v>
      </c>
    </row>
    <row r="14" spans="1:13" x14ac:dyDescent="0.25">
      <c r="A14" t="s">
        <v>187</v>
      </c>
      <c r="B14">
        <v>0.03</v>
      </c>
      <c r="C14" s="5">
        <f t="shared" si="0"/>
        <v>108.69979499999999</v>
      </c>
      <c r="D14">
        <v>0.72</v>
      </c>
      <c r="E14" s="5">
        <f t="shared" si="1"/>
        <v>128.16</v>
      </c>
      <c r="F14" s="5">
        <f t="shared" si="2"/>
        <v>66.785600000000002</v>
      </c>
      <c r="G14" s="5">
        <f>F14-F13</f>
        <v>0</v>
      </c>
      <c r="H14">
        <v>4</v>
      </c>
      <c r="I14">
        <v>-3</v>
      </c>
      <c r="J14" s="5">
        <f t="shared" si="3"/>
        <v>7</v>
      </c>
      <c r="K14">
        <v>0</v>
      </c>
      <c r="L14" s="5">
        <f t="shared" si="4"/>
        <v>0</v>
      </c>
      <c r="M14" s="5">
        <f t="shared" si="5"/>
        <v>15.528542142857143</v>
      </c>
    </row>
    <row r="15" spans="1:13" x14ac:dyDescent="0.25">
      <c r="A15" t="s">
        <v>188</v>
      </c>
      <c r="B15">
        <v>0.24</v>
      </c>
      <c r="C15" s="5">
        <f t="shared" si="0"/>
        <v>869.59835999999996</v>
      </c>
      <c r="D15">
        <v>0.65</v>
      </c>
      <c r="E15" s="5">
        <f t="shared" si="1"/>
        <v>115.7</v>
      </c>
      <c r="F15" s="5">
        <f t="shared" si="2"/>
        <v>83.481999999999999</v>
      </c>
      <c r="G15" s="5">
        <f>F15-F13</f>
        <v>16.696399999999997</v>
      </c>
      <c r="H15">
        <v>10</v>
      </c>
      <c r="I15">
        <v>0</v>
      </c>
      <c r="J15" s="5">
        <f t="shared" si="3"/>
        <v>10</v>
      </c>
      <c r="K15">
        <v>0.3</v>
      </c>
      <c r="L15" s="5">
        <f t="shared" si="4"/>
        <v>260.87950799999999</v>
      </c>
      <c r="M15" s="5">
        <f t="shared" si="5"/>
        <v>60.871885199999994</v>
      </c>
    </row>
    <row r="16" spans="1:13" x14ac:dyDescent="0.25">
      <c r="A16" t="s">
        <v>189</v>
      </c>
      <c r="B16">
        <v>0.25</v>
      </c>
      <c r="C16" s="5">
        <f t="shared" si="0"/>
        <v>905.83162500000003</v>
      </c>
      <c r="D16">
        <v>0.68</v>
      </c>
      <c r="E16" s="5">
        <f t="shared" si="1"/>
        <v>121.04</v>
      </c>
      <c r="F16" s="5">
        <f t="shared" si="2"/>
        <v>76.326399999999992</v>
      </c>
      <c r="G16" s="5">
        <f>F16-F13</f>
        <v>9.5407999999999902</v>
      </c>
      <c r="H16">
        <v>5</v>
      </c>
      <c r="I16">
        <v>0</v>
      </c>
      <c r="J16" s="5">
        <f t="shared" si="3"/>
        <v>5</v>
      </c>
      <c r="K16">
        <v>0.5</v>
      </c>
      <c r="L16" s="5">
        <f t="shared" si="4"/>
        <v>452.91581250000002</v>
      </c>
      <c r="M16" s="5">
        <f t="shared" si="5"/>
        <v>90.5831625</v>
      </c>
    </row>
    <row r="17" spans="1:13" x14ac:dyDescent="0.25">
      <c r="A17" t="s">
        <v>174</v>
      </c>
      <c r="B17">
        <v>0.03</v>
      </c>
      <c r="C17" s="5">
        <f t="shared" si="0"/>
        <v>108.69979499999999</v>
      </c>
      <c r="D17">
        <v>0.5</v>
      </c>
      <c r="E17" s="5">
        <f t="shared" si="1"/>
        <v>89</v>
      </c>
      <c r="F17" s="5">
        <f t="shared" si="2"/>
        <v>119.26</v>
      </c>
      <c r="G17" s="5">
        <f>F17-F15</f>
        <v>35.778000000000006</v>
      </c>
      <c r="H17">
        <v>12</v>
      </c>
      <c r="I17">
        <v>0</v>
      </c>
      <c r="J17" s="5">
        <f t="shared" si="3"/>
        <v>12</v>
      </c>
      <c r="K17">
        <v>0.6</v>
      </c>
      <c r="L17" s="5">
        <f t="shared" si="4"/>
        <v>65.219876999999997</v>
      </c>
      <c r="M17" s="5">
        <f t="shared" si="5"/>
        <v>3.6233264999999997</v>
      </c>
    </row>
    <row r="18" spans="1:13" x14ac:dyDescent="0.25">
      <c r="A18" t="s">
        <v>206</v>
      </c>
      <c r="B18">
        <v>0.03</v>
      </c>
      <c r="C18" s="5">
        <f t="shared" si="0"/>
        <v>108.69979499999999</v>
      </c>
      <c r="D18">
        <v>0.37</v>
      </c>
      <c r="E18" s="5">
        <f t="shared" si="1"/>
        <v>65.86</v>
      </c>
      <c r="F18" s="5">
        <f t="shared" si="2"/>
        <v>150.26760000000002</v>
      </c>
      <c r="G18" s="5">
        <f>F18-F17</f>
        <v>31.007600000000011</v>
      </c>
      <c r="H18">
        <v>14</v>
      </c>
      <c r="I18">
        <v>0</v>
      </c>
      <c r="J18" s="5">
        <f t="shared" si="3"/>
        <v>14</v>
      </c>
      <c r="K18">
        <v>0.7</v>
      </c>
      <c r="L18" s="5">
        <f t="shared" si="4"/>
        <v>76.089856499999996</v>
      </c>
      <c r="M18" s="5">
        <f t="shared" si="5"/>
        <v>2.3292813214285712</v>
      </c>
    </row>
    <row r="19" spans="1:13" x14ac:dyDescent="0.25">
      <c r="A19" t="s">
        <v>207</v>
      </c>
      <c r="B19">
        <v>0.02</v>
      </c>
      <c r="C19" s="5">
        <f t="shared" si="0"/>
        <v>72.466530000000006</v>
      </c>
      <c r="D19">
        <v>0.2</v>
      </c>
      <c r="E19" s="5">
        <f t="shared" si="1"/>
        <v>35.6</v>
      </c>
      <c r="F19" s="5">
        <f t="shared" si="2"/>
        <v>190.81600000000003</v>
      </c>
      <c r="G19" s="5">
        <f>F19-F18</f>
        <v>40.548400000000015</v>
      </c>
      <c r="H19">
        <v>17</v>
      </c>
      <c r="I19">
        <v>0</v>
      </c>
      <c r="J19" s="5">
        <f t="shared" si="3"/>
        <v>17</v>
      </c>
      <c r="K19">
        <v>0.8</v>
      </c>
      <c r="L19" s="5">
        <f t="shared" si="4"/>
        <v>57.973224000000009</v>
      </c>
      <c r="M19" s="5">
        <f t="shared" si="5"/>
        <v>0.85254741176470572</v>
      </c>
    </row>
    <row r="20" spans="1:13" x14ac:dyDescent="0.25">
      <c r="A20" t="s">
        <v>208</v>
      </c>
      <c r="B20">
        <v>0.01</v>
      </c>
      <c r="C20" s="5">
        <f t="shared" si="0"/>
        <v>36.233265000000003</v>
      </c>
      <c r="D20">
        <v>0.02</v>
      </c>
      <c r="E20" s="5">
        <f t="shared" si="1"/>
        <v>3.56</v>
      </c>
      <c r="F20" s="5">
        <f t="shared" si="2"/>
        <v>233.74960000000002</v>
      </c>
      <c r="G20" s="5">
        <f>F20-F19</f>
        <v>42.933599999999984</v>
      </c>
      <c r="H20">
        <v>20</v>
      </c>
      <c r="I20">
        <v>0</v>
      </c>
      <c r="J20" s="5">
        <f t="shared" si="3"/>
        <v>20</v>
      </c>
      <c r="K20">
        <v>0.9</v>
      </c>
      <c r="L20" s="5">
        <f t="shared" si="4"/>
        <v>32.609938500000005</v>
      </c>
      <c r="M20" s="5">
        <f t="shared" si="5"/>
        <v>0.18116632499999988</v>
      </c>
    </row>
    <row r="21" spans="1:13" x14ac:dyDescent="0.25">
      <c r="A21" t="s">
        <v>175</v>
      </c>
      <c r="B21">
        <v>0.03</v>
      </c>
      <c r="C21" s="5">
        <f t="shared" si="0"/>
        <v>108.69979499999999</v>
      </c>
      <c r="D21">
        <v>0.5</v>
      </c>
      <c r="E21" s="5">
        <f t="shared" si="1"/>
        <v>89</v>
      </c>
      <c r="F21" s="5">
        <f t="shared" si="2"/>
        <v>119.26</v>
      </c>
      <c r="G21" s="5">
        <f>F21-F15</f>
        <v>35.778000000000006</v>
      </c>
      <c r="H21">
        <v>12</v>
      </c>
      <c r="I21">
        <v>0</v>
      </c>
      <c r="J21" s="5">
        <f t="shared" si="3"/>
        <v>12</v>
      </c>
      <c r="K21">
        <v>0.6</v>
      </c>
      <c r="L21" s="5">
        <f t="shared" si="4"/>
        <v>65.219876999999997</v>
      </c>
      <c r="M21" s="5">
        <f t="shared" si="5"/>
        <v>3.6233264999999997</v>
      </c>
    </row>
    <row r="22" spans="1:13" x14ac:dyDescent="0.25">
      <c r="A22" t="s">
        <v>209</v>
      </c>
      <c r="B22">
        <v>0.03</v>
      </c>
      <c r="C22" s="5">
        <f t="shared" si="0"/>
        <v>108.69979499999999</v>
      </c>
      <c r="D22">
        <v>0.37</v>
      </c>
      <c r="E22" s="5">
        <f t="shared" si="1"/>
        <v>65.86</v>
      </c>
      <c r="F22" s="5">
        <f t="shared" si="2"/>
        <v>150.26760000000002</v>
      </c>
      <c r="G22" s="5">
        <f>F22-F21</f>
        <v>31.007600000000011</v>
      </c>
      <c r="H22">
        <v>14</v>
      </c>
      <c r="I22">
        <v>0</v>
      </c>
      <c r="J22" s="5">
        <f t="shared" si="3"/>
        <v>14</v>
      </c>
      <c r="K22">
        <v>0.7</v>
      </c>
      <c r="L22" s="5">
        <f t="shared" si="4"/>
        <v>76.089856499999996</v>
      </c>
      <c r="M22" s="5">
        <f t="shared" si="5"/>
        <v>2.3292813214285712</v>
      </c>
    </row>
    <row r="23" spans="1:13" x14ac:dyDescent="0.25">
      <c r="A23" t="s">
        <v>210</v>
      </c>
      <c r="B23">
        <v>0.02</v>
      </c>
      <c r="C23" s="5">
        <f t="shared" si="0"/>
        <v>72.466530000000006</v>
      </c>
      <c r="D23">
        <v>0.2</v>
      </c>
      <c r="E23" s="5">
        <f t="shared" si="1"/>
        <v>35.6</v>
      </c>
      <c r="F23" s="5">
        <f t="shared" si="2"/>
        <v>190.81600000000003</v>
      </c>
      <c r="G23" s="5">
        <f>F23-F22</f>
        <v>40.548400000000015</v>
      </c>
      <c r="H23">
        <v>17</v>
      </c>
      <c r="I23">
        <v>0</v>
      </c>
      <c r="J23" s="5">
        <f t="shared" si="3"/>
        <v>17</v>
      </c>
      <c r="K23">
        <v>0.8</v>
      </c>
      <c r="L23" s="5">
        <f t="shared" si="4"/>
        <v>57.973224000000009</v>
      </c>
      <c r="M23" s="5">
        <f t="shared" si="5"/>
        <v>0.85254741176470572</v>
      </c>
    </row>
    <row r="24" spans="1:13" x14ac:dyDescent="0.25">
      <c r="A24" t="s">
        <v>211</v>
      </c>
      <c r="B24">
        <v>0.01</v>
      </c>
      <c r="C24" s="5">
        <f t="shared" si="0"/>
        <v>36.233265000000003</v>
      </c>
      <c r="D24">
        <v>0.02</v>
      </c>
      <c r="E24" s="5">
        <f t="shared" si="1"/>
        <v>3.56</v>
      </c>
      <c r="F24" s="5">
        <f t="shared" si="2"/>
        <v>233.74960000000002</v>
      </c>
      <c r="G24" s="5">
        <f>F24-F23</f>
        <v>42.933599999999984</v>
      </c>
      <c r="H24">
        <v>20</v>
      </c>
      <c r="I24">
        <v>0</v>
      </c>
      <c r="J24" s="5">
        <f t="shared" si="3"/>
        <v>20</v>
      </c>
      <c r="K24">
        <v>0.9</v>
      </c>
      <c r="L24" s="5">
        <f t="shared" si="4"/>
        <v>32.609938500000005</v>
      </c>
      <c r="M24" s="5">
        <f t="shared" si="5"/>
        <v>0.18116632499999988</v>
      </c>
    </row>
    <row r="25" spans="1:13" x14ac:dyDescent="0.25">
      <c r="A25" t="s">
        <v>190</v>
      </c>
      <c r="B25">
        <f>SUM(B6:B24)</f>
        <v>1.0000000000000002</v>
      </c>
      <c r="C25" s="1">
        <f>SUM(C6:C24)</f>
        <v>3623.3265000000001</v>
      </c>
    </row>
  </sheetData>
  <pageMargins left="0.7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defaultRowHeight="15" x14ac:dyDescent="0.25"/>
  <cols>
    <col min="1" max="1" width="21.28515625" customWidth="1"/>
  </cols>
  <sheetData>
    <row r="1" spans="1:9" x14ac:dyDescent="0.25">
      <c r="A1" t="s">
        <v>192</v>
      </c>
      <c r="C1" t="s">
        <v>182</v>
      </c>
    </row>
    <row r="2" spans="1:9" x14ac:dyDescent="0.25">
      <c r="C2" s="1">
        <f>BloodVolume_Male_Lungs</f>
        <v>811.1925</v>
      </c>
    </row>
    <row r="5" spans="1:9" x14ac:dyDescent="0.25">
      <c r="A5" t="s">
        <v>193</v>
      </c>
      <c r="B5" s="11" t="s">
        <v>177</v>
      </c>
      <c r="C5" s="11" t="s">
        <v>182</v>
      </c>
      <c r="D5" s="11" t="s">
        <v>197</v>
      </c>
      <c r="E5" s="11" t="s">
        <v>198</v>
      </c>
      <c r="F5" s="11" t="s">
        <v>78</v>
      </c>
      <c r="G5" s="11" t="s">
        <v>199</v>
      </c>
      <c r="H5" s="11" t="s">
        <v>200</v>
      </c>
      <c r="I5" s="11" t="s">
        <v>201</v>
      </c>
    </row>
    <row r="6" spans="1:9" x14ac:dyDescent="0.25">
      <c r="A6" t="s">
        <v>71</v>
      </c>
      <c r="B6" s="11">
        <v>0.27</v>
      </c>
      <c r="C6" s="12">
        <f>B6*BloodVolume_Male_Lungs</f>
        <v>219.02197500000003</v>
      </c>
      <c r="D6" s="11">
        <v>15</v>
      </c>
      <c r="E6" s="11">
        <v>-3</v>
      </c>
      <c r="F6" s="12">
        <f>D6-E6</f>
        <v>18</v>
      </c>
      <c r="G6" s="11">
        <v>0.5</v>
      </c>
      <c r="H6" s="12">
        <f>G6*C6</f>
        <v>109.51098750000001</v>
      </c>
      <c r="I6" s="12">
        <f>(C6-H6)/F6</f>
        <v>6.0839437500000004</v>
      </c>
    </row>
    <row r="7" spans="1:9" x14ac:dyDescent="0.25">
      <c r="A7" t="s">
        <v>72</v>
      </c>
      <c r="B7" s="11">
        <v>0.27</v>
      </c>
      <c r="C7" s="12">
        <f>B7*BloodVolume_Male_Lungs</f>
        <v>219.02197500000003</v>
      </c>
      <c r="D7" s="11">
        <v>12</v>
      </c>
      <c r="E7" s="11">
        <v>-3</v>
      </c>
      <c r="F7" s="12">
        <f>D7-E7</f>
        <v>15</v>
      </c>
      <c r="G7" s="11">
        <v>0.7</v>
      </c>
      <c r="H7" s="12">
        <f>G7*C7</f>
        <v>153.3153825</v>
      </c>
      <c r="I7" s="12">
        <f>(C7-H7)/F7</f>
        <v>4.3804395000000023</v>
      </c>
    </row>
    <row r="8" spans="1:9" x14ac:dyDescent="0.25">
      <c r="A8" t="s">
        <v>73</v>
      </c>
      <c r="B8" s="11">
        <v>0.28999999999999998</v>
      </c>
      <c r="C8" s="12">
        <f>B8*BloodVolume_Male_Lungs</f>
        <v>235.245825</v>
      </c>
      <c r="D8" s="11">
        <v>9</v>
      </c>
      <c r="E8" s="11">
        <v>-3</v>
      </c>
      <c r="F8" s="12">
        <f>D8-E8</f>
        <v>12</v>
      </c>
      <c r="G8" s="11">
        <v>0.7</v>
      </c>
      <c r="H8" s="12">
        <f>G8*C8</f>
        <v>164.6720775</v>
      </c>
      <c r="I8" s="12">
        <f>(C8-H8)/F8</f>
        <v>5.8811456249999994</v>
      </c>
    </row>
    <row r="9" spans="1:9" x14ac:dyDescent="0.25">
      <c r="A9" t="s">
        <v>74</v>
      </c>
      <c r="B9" s="11">
        <v>0.06</v>
      </c>
      <c r="C9" s="12">
        <f>B9*BloodVolume_Male_Lungs</f>
        <v>48.671549999999996</v>
      </c>
      <c r="D9" s="11">
        <v>8</v>
      </c>
      <c r="E9" s="11">
        <v>-3</v>
      </c>
      <c r="F9" s="12">
        <f>D9-E9</f>
        <v>11</v>
      </c>
      <c r="G9" s="11">
        <v>0</v>
      </c>
      <c r="H9" s="12">
        <f>G9*C9</f>
        <v>0</v>
      </c>
      <c r="I9" s="12">
        <f>(C9-H9)/F9</f>
        <v>4.4246863636363631</v>
      </c>
    </row>
    <row r="10" spans="1:9" x14ac:dyDescent="0.25">
      <c r="A10" t="s">
        <v>194</v>
      </c>
      <c r="B10" s="11">
        <v>0.11</v>
      </c>
      <c r="C10" s="12">
        <f>B10*BloodVolume_Male_Lungs</f>
        <v>89.231174999999993</v>
      </c>
      <c r="D10" s="11">
        <v>8</v>
      </c>
      <c r="E10" s="11">
        <v>-3</v>
      </c>
      <c r="F10" s="12">
        <f>D10-E10</f>
        <v>11</v>
      </c>
      <c r="G10" s="11">
        <v>0</v>
      </c>
      <c r="H10" s="12">
        <f>G10*C10</f>
        <v>0</v>
      </c>
      <c r="I10" s="12">
        <f>(C10-H10)/F10</f>
        <v>8.1119249999999994</v>
      </c>
    </row>
    <row r="11" spans="1:9" x14ac:dyDescent="0.25">
      <c r="A11" t="s">
        <v>176</v>
      </c>
      <c r="B11" s="11">
        <f>SUM(B6:B10)</f>
        <v>1.0000000000000002</v>
      </c>
      <c r="C11" s="13">
        <f>SUM(C6:C10)</f>
        <v>811.19250000000011</v>
      </c>
      <c r="D11" s="11"/>
      <c r="E11" s="11"/>
      <c r="F11" s="11"/>
      <c r="G11" s="11"/>
      <c r="H11" s="11"/>
      <c r="I11" s="11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5" sqref="C25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114</v>
      </c>
      <c r="B22" s="5">
        <v>1.3</v>
      </c>
      <c r="C22" s="1">
        <f>10*B22*BodyMassMale</f>
        <v>975</v>
      </c>
    </row>
    <row r="23" spans="1:4" x14ac:dyDescent="0.25">
      <c r="A23" t="s">
        <v>112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113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1" sqref="D11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128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129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130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131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2</v>
      </c>
      <c r="C14" s="5">
        <f t="shared" si="0"/>
        <v>0.2666</v>
      </c>
      <c r="D14">
        <f>B14-B28</f>
        <v>6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7</v>
      </c>
      <c r="C17" s="5">
        <f t="shared" si="0"/>
        <v>0.93310000000000004</v>
      </c>
      <c r="D17">
        <f>B17-B28</f>
        <v>11</v>
      </c>
    </row>
    <row r="18" spans="1:4" x14ac:dyDescent="0.25">
      <c r="A18" t="s">
        <v>74</v>
      </c>
      <c r="B18">
        <v>6</v>
      </c>
      <c r="C18" s="5">
        <f t="shared" si="0"/>
        <v>0.79980000000000007</v>
      </c>
      <c r="D18">
        <f>B18-B28</f>
        <v>10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4" sqref="C14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</cols>
  <sheetData>
    <row r="1" spans="1:4" x14ac:dyDescent="0.25">
      <c r="A1" t="s">
        <v>92</v>
      </c>
    </row>
    <row r="2" spans="1:4" x14ac:dyDescent="0.25">
      <c r="B2" t="s">
        <v>103</v>
      </c>
      <c r="D2" t="s">
        <v>104</v>
      </c>
    </row>
    <row r="3" spans="1:4" x14ac:dyDescent="0.25">
      <c r="A3" t="s">
        <v>94</v>
      </c>
      <c r="B3" t="s">
        <v>105</v>
      </c>
      <c r="C3" t="s">
        <v>106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98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2</v>
      </c>
      <c r="D6">
        <f t="shared" si="0"/>
        <v>95</v>
      </c>
    </row>
    <row r="7" spans="1:4" x14ac:dyDescent="0.25">
      <c r="A7" t="s">
        <v>132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133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134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130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135</v>
      </c>
      <c r="B11">
        <f>LHeartLargeVesselPressure</f>
        <v>93.5</v>
      </c>
      <c r="C11">
        <f>RightAtrialPressure</f>
        <v>2</v>
      </c>
      <c r="D11">
        <f t="shared" si="0"/>
        <v>91.5</v>
      </c>
    </row>
    <row r="12" spans="1:4" x14ac:dyDescent="0.25">
      <c r="A12" t="s">
        <v>131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136</v>
      </c>
      <c r="B13">
        <f>RHeartLargeVesselPressure</f>
        <v>93.5</v>
      </c>
      <c r="C13">
        <f>RightAtrialPressure</f>
        <v>2</v>
      </c>
      <c r="D13">
        <f t="shared" si="0"/>
        <v>91.5</v>
      </c>
    </row>
    <row r="14" spans="1:4" x14ac:dyDescent="0.25">
      <c r="A14" t="s">
        <v>97</v>
      </c>
      <c r="B14">
        <f>SplanchnicVeinsPressure</f>
        <v>8</v>
      </c>
      <c r="C14">
        <f>RightAtrialPressure</f>
        <v>2</v>
      </c>
      <c r="D14">
        <f t="shared" si="0"/>
        <v>6</v>
      </c>
    </row>
    <row r="15" spans="1:4" x14ac:dyDescent="0.25">
      <c r="A15" t="s">
        <v>99</v>
      </c>
      <c r="B15">
        <f>SystemicVeinsPressure</f>
        <v>10</v>
      </c>
      <c r="C15">
        <f>RightAtrialPressure</f>
        <v>2</v>
      </c>
      <c r="D15">
        <f t="shared" si="0"/>
        <v>8</v>
      </c>
    </row>
    <row r="17" spans="1:4" x14ac:dyDescent="0.25">
      <c r="A17" t="s">
        <v>100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101</v>
      </c>
      <c r="B18">
        <f>PulmCapysPressure</f>
        <v>10</v>
      </c>
      <c r="C18">
        <f>PulmVeinsPressure</f>
        <v>7</v>
      </c>
      <c r="D18">
        <f t="shared" si="0"/>
        <v>3</v>
      </c>
    </row>
    <row r="19" spans="1:4" x14ac:dyDescent="0.25">
      <c r="A19" t="s">
        <v>102</v>
      </c>
      <c r="B19">
        <f>PulmVeinsPressure</f>
        <v>7</v>
      </c>
      <c r="C19">
        <f>LeftAtrialPressure</f>
        <v>6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" sqref="A3:B16"/>
    </sheetView>
  </sheetViews>
  <sheetFormatPr defaultRowHeight="15" x14ac:dyDescent="0.25"/>
  <cols>
    <col min="1" max="1" width="17.85546875" customWidth="1"/>
    <col min="3" max="3" width="8.28515625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108</v>
      </c>
    </row>
    <row r="2" spans="1:9" x14ac:dyDescent="0.25">
      <c r="C2" t="s">
        <v>109</v>
      </c>
      <c r="D2" t="s">
        <v>110</v>
      </c>
      <c r="E2" t="s">
        <v>110</v>
      </c>
      <c r="F2" t="s">
        <v>109</v>
      </c>
      <c r="G2" t="s">
        <v>110</v>
      </c>
      <c r="H2" t="s">
        <v>111</v>
      </c>
      <c r="I2" t="s">
        <v>110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116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3" x14ac:dyDescent="0.25">
      <c r="A18" t="s">
        <v>13</v>
      </c>
      <c r="B18">
        <f>BloodMass</f>
        <v>5550</v>
      </c>
    </row>
    <row r="19" spans="1:3" x14ac:dyDescent="0.25">
      <c r="A19" t="s">
        <v>115</v>
      </c>
      <c r="B19">
        <v>0.44</v>
      </c>
    </row>
    <row r="20" spans="1:3" x14ac:dyDescent="0.25">
      <c r="A20" t="s">
        <v>20</v>
      </c>
      <c r="B20">
        <f>B18*(1-Hematocrit)</f>
        <v>3108.0000000000005</v>
      </c>
    </row>
    <row r="21" spans="1:3" x14ac:dyDescent="0.25">
      <c r="A21" t="s">
        <v>21</v>
      </c>
      <c r="B21">
        <f>B18*Hematocrit</f>
        <v>2442</v>
      </c>
      <c r="C21">
        <v>0.66</v>
      </c>
    </row>
    <row r="22" spans="1:3" x14ac:dyDescent="0.25">
      <c r="A22" t="s">
        <v>22</v>
      </c>
      <c r="B22" s="1">
        <f>B21*C21</f>
        <v>1611.72</v>
      </c>
    </row>
    <row r="23" spans="1:3" x14ac:dyDescent="0.25">
      <c r="A23" t="s">
        <v>23</v>
      </c>
      <c r="B23" s="1">
        <f>B21*(1-C21)</f>
        <v>830.28</v>
      </c>
    </row>
    <row r="24" spans="1:3" x14ac:dyDescent="0.25">
      <c r="A24" t="s">
        <v>14</v>
      </c>
      <c r="B24">
        <f>LungH2OMass</f>
        <v>0</v>
      </c>
    </row>
    <row r="25" spans="1:3" x14ac:dyDescent="0.25">
      <c r="A25" t="s">
        <v>15</v>
      </c>
      <c r="B25">
        <f>PeritoneumMass</f>
        <v>0</v>
      </c>
    </row>
    <row r="26" spans="1:3" x14ac:dyDescent="0.25">
      <c r="A26" t="s">
        <v>16</v>
      </c>
      <c r="B26">
        <f>GutH2OMass</f>
        <v>975</v>
      </c>
    </row>
    <row r="27" spans="1:3" x14ac:dyDescent="0.25">
      <c r="A27" t="s">
        <v>17</v>
      </c>
      <c r="B27">
        <f>FluidsMass</f>
        <v>6525</v>
      </c>
    </row>
    <row r="29" spans="1:3" x14ac:dyDescent="0.25">
      <c r="A29" t="s">
        <v>18</v>
      </c>
      <c r="B29" s="1">
        <f>B16+B27</f>
        <v>75007.5</v>
      </c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C9" sqref="C9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121</v>
      </c>
    </row>
    <row r="3" spans="1:12" x14ac:dyDescent="0.25">
      <c r="A3" t="s">
        <v>81</v>
      </c>
      <c r="B3" t="s">
        <v>110</v>
      </c>
      <c r="C3" t="s">
        <v>79</v>
      </c>
      <c r="D3" t="s">
        <v>119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117</v>
      </c>
      <c r="C8" t="s">
        <v>118</v>
      </c>
      <c r="D8" t="s">
        <v>19</v>
      </c>
      <c r="E8" t="s">
        <v>120</v>
      </c>
      <c r="G8" t="s">
        <v>117</v>
      </c>
      <c r="H8" t="s">
        <v>118</v>
      </c>
      <c r="I8" t="s">
        <v>19</v>
      </c>
      <c r="J8" t="s">
        <v>120</v>
      </c>
      <c r="L8" t="s">
        <v>120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4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si="2"/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21" si="4">H16/I16</f>
        <v>2.8068868921775909</v>
      </c>
      <c r="L16" s="7">
        <f t="shared" ref="L16:L21" si="5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4"/>
        <v>0.75443023255813979</v>
      </c>
      <c r="L17" s="7">
        <f t="shared" si="5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 t="shared" si="4"/>
        <v>0.23684210526315791</v>
      </c>
      <c r="L18" s="7">
        <f t="shared" si="5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 t="shared" si="4"/>
        <v>2.9837210551764894E-2</v>
      </c>
      <c r="L19" s="7">
        <f t="shared" si="5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 t="shared" si="4"/>
        <v>9.8174104336895066E-2</v>
      </c>
      <c r="L20" s="7">
        <f t="shared" si="5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 t="shared" si="4"/>
        <v>3.5999999999999996</v>
      </c>
      <c r="L21" s="7">
        <f t="shared" si="5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C35" s="1"/>
      <c r="D35" s="1"/>
      <c r="E35" s="7"/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20" sqref="F20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138</v>
      </c>
    </row>
    <row r="3" spans="1:6" x14ac:dyDescent="0.25">
      <c r="A3" t="s">
        <v>27</v>
      </c>
      <c r="B3" t="s">
        <v>118</v>
      </c>
      <c r="C3" t="s">
        <v>95</v>
      </c>
      <c r="D3" t="s">
        <v>40</v>
      </c>
      <c r="E3" t="s">
        <v>110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122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123</v>
      </c>
      <c r="B16" s="1">
        <f>SUM(B5:B15)</f>
        <v>3834</v>
      </c>
      <c r="C16">
        <f>SystemicVeinsGradient</f>
        <v>8</v>
      </c>
      <c r="D16" s="1">
        <f t="shared" si="1"/>
        <v>479.25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>
        <f>D19/E20</f>
        <v>1.8668971477960243E-3</v>
      </c>
    </row>
    <row r="20" spans="1:6" x14ac:dyDescent="0.25">
      <c r="A20" t="s">
        <v>6</v>
      </c>
      <c r="B20" s="1">
        <f>SUM(B18:B19)</f>
        <v>1350</v>
      </c>
      <c r="C20">
        <f>HepaticGradient</f>
        <v>6</v>
      </c>
      <c r="D20" s="1">
        <f>B20/C20</f>
        <v>225</v>
      </c>
      <c r="E20" s="1">
        <f>LiverMassMale</f>
        <v>1950</v>
      </c>
      <c r="F20" s="4">
        <f>D20/E20</f>
        <v>0.11538461538461539</v>
      </c>
    </row>
    <row r="21" spans="1:6" x14ac:dyDescent="0.25">
      <c r="B21" s="1"/>
      <c r="E21" s="1"/>
      <c r="F21" s="4"/>
    </row>
    <row r="22" spans="1:6" x14ac:dyDescent="0.25">
      <c r="A22" t="s">
        <v>124</v>
      </c>
      <c r="B22" s="1">
        <f>LiverFlowMale</f>
        <v>1350</v>
      </c>
      <c r="C22">
        <f>HepaticGradient</f>
        <v>6</v>
      </c>
      <c r="D22" s="1">
        <f>B22/C22</f>
        <v>225</v>
      </c>
      <c r="E22" s="1"/>
      <c r="F22" s="4"/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95</v>
      </c>
      <c r="D24" s="6">
        <f>B24/C24</f>
        <v>1.8871578947368421</v>
      </c>
      <c r="E24" s="1">
        <f>LHeartMassMale</f>
        <v>292.57499999999993</v>
      </c>
      <c r="F24" s="4">
        <f>D24/E24</f>
        <v>6.4501679731243013E-3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91.5</v>
      </c>
      <c r="D26" s="6">
        <f>LHeartFlowMale/LHeartSmallVesselGradient</f>
        <v>1.9593442622950821</v>
      </c>
      <c r="E26" s="1"/>
      <c r="F26" s="4">
        <f>D26/E24</f>
        <v>6.6968957098011879E-3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95</v>
      </c>
      <c r="D27" s="6">
        <f>B27/C27</f>
        <v>0.38652631578947377</v>
      </c>
      <c r="E27" s="1">
        <f>RHeartMassMale</f>
        <v>59.924999999999997</v>
      </c>
      <c r="F27" s="4">
        <f>D27/E27</f>
        <v>6.4501679731243022E-3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91.5</v>
      </c>
      <c r="D29" s="6">
        <f>RHeartFlowMale/RHeartSmallVesselGradient</f>
        <v>0.40131147540983614</v>
      </c>
      <c r="E29" s="1"/>
      <c r="F29" s="4">
        <f>D29/E27</f>
        <v>6.696895709801187E-3</v>
      </c>
    </row>
    <row r="30" spans="1:6" x14ac:dyDescent="0.25">
      <c r="A30" t="s">
        <v>125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126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100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101</v>
      </c>
      <c r="B35">
        <f>VenousReturn</f>
        <v>5400</v>
      </c>
      <c r="C35">
        <f>PulmCapysGradient</f>
        <v>3</v>
      </c>
      <c r="D35" s="1">
        <f>B35/C35</f>
        <v>1800</v>
      </c>
      <c r="E35" s="1"/>
    </row>
    <row r="36" spans="1:5" x14ac:dyDescent="0.25">
      <c r="A36" t="s">
        <v>127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:H9"/>
    </sheetView>
  </sheetViews>
  <sheetFormatPr defaultRowHeight="15" x14ac:dyDescent="0.25"/>
  <cols>
    <col min="1" max="1" width="11" customWidth="1"/>
  </cols>
  <sheetData>
    <row r="1" spans="1:8" x14ac:dyDescent="0.25">
      <c r="A1" t="s">
        <v>140</v>
      </c>
    </row>
    <row r="3" spans="1:8" x14ac:dyDescent="0.25">
      <c r="B3" t="s">
        <v>82</v>
      </c>
      <c r="F3" t="s">
        <v>83</v>
      </c>
    </row>
    <row r="4" spans="1:8" x14ac:dyDescent="0.25">
      <c r="B4" t="s">
        <v>110</v>
      </c>
      <c r="C4" t="s">
        <v>120</v>
      </c>
      <c r="D4" t="s">
        <v>118</v>
      </c>
      <c r="F4" t="s">
        <v>110</v>
      </c>
      <c r="G4" t="s">
        <v>120</v>
      </c>
      <c r="H4" t="s">
        <v>118</v>
      </c>
    </row>
    <row r="5" spans="1:8" x14ac:dyDescent="0.25">
      <c r="A5" t="s">
        <v>141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142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131</vt:i4>
      </vt:variant>
    </vt:vector>
  </HeadingPairs>
  <TitlesOfParts>
    <vt:vector size="146" baseType="lpstr">
      <vt:lpstr>Body Mass</vt:lpstr>
      <vt:lpstr>Organ Mass - Male</vt:lpstr>
      <vt:lpstr>Organ Mass - Female</vt:lpstr>
      <vt:lpstr>Blood Pressures</vt:lpstr>
      <vt:lpstr>Pressure Gradients</vt:lpstr>
      <vt:lpstr>Organ Composition</vt:lpstr>
      <vt:lpstr>Organ Blood Flow</vt:lpstr>
      <vt:lpstr>Flows &amp; Conductances</vt:lpstr>
      <vt:lpstr>Cardiac Output</vt:lpstr>
      <vt:lpstr>Blood Volume</vt:lpstr>
      <vt:lpstr>Calories Used</vt:lpstr>
      <vt:lpstr>Insulin Receptors</vt:lpstr>
      <vt:lpstr>PV-Arteries</vt:lpstr>
      <vt:lpstr>PV-Veins</vt:lpstr>
      <vt:lpstr>PV-Lungs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BloodVolume_Male</vt:lpstr>
      <vt:lpstr>BloodVolume_Male_Arteries</vt:lpstr>
      <vt:lpstr>BloodVolume_Male_Lungs</vt:lpstr>
      <vt:lpstr>BloodVolume_Male_Veins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CoronaryGradient</vt:lpstr>
      <vt:lpstr>CoronarySinusOutflow</vt:lpstr>
      <vt:lpstr>Density</vt:lpstr>
      <vt:lpstr>EfferentArtyGradient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Male_Height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2012-08-14T19:53:39Z</cp:lastPrinted>
  <dcterms:created xsi:type="dcterms:W3CDTF">2012-02-04T15:43:29Z</dcterms:created>
  <dcterms:modified xsi:type="dcterms:W3CDTF">2012-08-16T09:00:51Z</dcterms:modified>
</cp:coreProperties>
</file>