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6465" tabRatio="627" firstSheet="8" activeTab="11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Pressure Gradients" sheetId="9" r:id="rId5"/>
    <sheet name="Organ Composition" sheetId="1" r:id="rId6"/>
    <sheet name="Organ Blood Flow" sheetId="7" r:id="rId7"/>
    <sheet name="Flows &amp; Conductances" sheetId="10" r:id="rId8"/>
    <sheet name="Cardiac Output" sheetId="13" r:id="rId9"/>
    <sheet name="Blood Volume" sheetId="12" r:id="rId10"/>
    <sheet name="Calories Used" sheetId="2" r:id="rId11"/>
    <sheet name="Insulin Receptors" sheetId="14" r:id="rId12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oronaryGradient">'Pressure Gradients'!$D$6</definedName>
    <definedName name="CoronarySinusOutflow">'Flows &amp; Conductances'!$B$30</definedName>
    <definedName name="EfferentArtyGradient">'Pressure Gradients'!$D$9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VenousReturn">'Flows &amp; Conductances'!$B$32</definedName>
  </definedNames>
  <calcPr calcId="145621"/>
</workbook>
</file>

<file path=xl/calcChain.xml><?xml version="1.0" encoding="utf-8"?>
<calcChain xmlns="http://schemas.openxmlformats.org/spreadsheetml/2006/main">
  <c r="D32" i="14" l="1"/>
  <c r="C33" i="14"/>
  <c r="C32" i="14"/>
  <c r="C34" i="14" s="1"/>
  <c r="C31" i="14"/>
  <c r="D27" i="14"/>
  <c r="C23" i="14"/>
  <c r="E23" i="14" s="1"/>
  <c r="D33" i="14" s="1"/>
  <c r="C22" i="14"/>
  <c r="B3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18" i="14" l="1"/>
  <c r="F23" i="14"/>
  <c r="B20" i="14"/>
  <c r="E22" i="14"/>
  <c r="D31" i="14" s="1"/>
  <c r="F19" i="10"/>
  <c r="F22" i="14" l="1"/>
  <c r="H11" i="12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F29" i="10"/>
  <c r="F28" i="10"/>
  <c r="F26" i="10"/>
  <c r="F25" i="10"/>
  <c r="D29" i="10"/>
  <c r="D28" i="10"/>
  <c r="D26" i="10"/>
  <c r="D25" i="10"/>
  <c r="C13" i="9"/>
  <c r="C11" i="9"/>
  <c r="C28" i="10"/>
  <c r="C25" i="10"/>
  <c r="F11" i="10"/>
  <c r="F10" i="10"/>
  <c r="F9" i="10"/>
  <c r="D11" i="10"/>
  <c r="D10" i="10"/>
  <c r="D9" i="10"/>
  <c r="C11" i="10"/>
  <c r="C10" i="10"/>
  <c r="C9" i="10"/>
  <c r="B13" i="9"/>
  <c r="C12" i="9"/>
  <c r="B11" i="9"/>
  <c r="C10" i="9"/>
  <c r="D10" i="9" s="1"/>
  <c r="C9" i="9"/>
  <c r="B9" i="9"/>
  <c r="C8" i="9"/>
  <c r="B8" i="9"/>
  <c r="C7" i="9"/>
  <c r="D7" i="9" s="1"/>
  <c r="D12" i="9"/>
  <c r="B12" i="9"/>
  <c r="B10" i="9"/>
  <c r="B7" i="9"/>
  <c r="D10" i="6"/>
  <c r="D9" i="6"/>
  <c r="D8" i="6"/>
  <c r="D7" i="6"/>
  <c r="C10" i="6"/>
  <c r="C9" i="6"/>
  <c r="C8" i="6"/>
  <c r="C7" i="6"/>
  <c r="B10" i="6"/>
  <c r="B9" i="6"/>
  <c r="B7" i="6"/>
  <c r="H12" i="12" l="1"/>
  <c r="D12" i="12"/>
  <c r="B12" i="12"/>
  <c r="D13" i="9"/>
  <c r="C29" i="10" s="1"/>
  <c r="D11" i="9"/>
  <c r="C26" i="10" s="1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B30" i="10" l="1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C15" i="9"/>
  <c r="C19" i="9"/>
  <c r="C18" i="9"/>
  <c r="C17" i="9"/>
  <c r="B19" i="9"/>
  <c r="B18" i="9"/>
  <c r="B17" i="9"/>
  <c r="B15" i="9"/>
  <c r="C14" i="9"/>
  <c r="B14" i="9"/>
  <c r="C6" i="9"/>
  <c r="B6" i="9"/>
  <c r="D6" i="9" s="1"/>
  <c r="C5" i="9"/>
  <c r="B5" i="9"/>
  <c r="C4" i="9"/>
  <c r="B4" i="9"/>
  <c r="D4" i="9" s="1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D14" i="9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2" i="10"/>
  <c r="D22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8" i="6"/>
  <c r="D16" i="6"/>
  <c r="D15" i="6"/>
  <c r="D14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sharedStrings.xml><?xml version="1.0" encoding="utf-8"?>
<sst xmlns="http://schemas.openxmlformats.org/spreadsheetml/2006/main" count="343" uniqueCount="162">
  <si>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</si>
  <si>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</si>
  <si>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</si>
  <si>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</si>
  <si>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</si>
  <si>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</si>
  <si>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</si>
  <si>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</si>
  <si>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</si>
  <si>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</si>
  <si>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</si>
  <si>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</si>
  <si>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</si>
  <si>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</si>
  <si>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</si>
  <si>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</si>
  <si>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</si>
  <si>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</si>
  <si>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</si>
  <si>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</si>
  <si>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</si>
  <si>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</si>
  <si>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</si>
  <si>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</si>
  <si>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</si>
  <si>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</si>
  <si>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</si>
  <si>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</si>
  <si>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</si>
  <si>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</si>
  <si>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</si>
  <si>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</si>
  <si>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</si>
  <si>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</si>
  <si>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</si>
  <si>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</si>
  <si>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</si>
  <si>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</si>
  <si>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</si>
  <si>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</si>
  <si>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</si>
  <si>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</si>
  <si>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</si>
  <si>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</si>
  <si>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</si>
  <si>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</si>
  <si>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</si>
  <si>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</si>
  <si>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</si>
  <si>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</si>
  <si>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</si>
  <si>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</si>
  <si>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</si>
  <si>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</si>
  <si>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</si>
  <si>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</si>
  <si>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</si>
  <si>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</si>
  <si>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</si>
  <si>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</si>
  <si>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</si>
  <si>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</si>
  <si>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</si>
  <si>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</si>
  <si>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</si>
  <si>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</si>
  <si>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</si>
  <si>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</si>
  <si>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</si>
  <si>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</si>
  <si>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</si>
  <si>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</si>
  <si>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</si>
  <si>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</si>
  <si>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</si>
  <si>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</si>
  <si>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</si>
  <si>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</si>
  <si>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</si>
  <si>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</si>
  <si>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</si>
  <si>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</si>
  <si>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</si>
  <si>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</si>
  <si>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</si>
  <si>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</si>
  <si>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</si>
  <si>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</si>
  <si>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</si>
  <si>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</si>
  <si>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</si>
  <si>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</si>
  <si>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</si>
  <si>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</si>
  <si>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</si>
  <si>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</si>
  <si>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</si>
  <si>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Hepatic</t>
  </si>
  <si>
    <t>GI Tract (&amp; Hepatic Artery)</t>
  </si>
  <si>
    <t>Systemic Veins Outflow</t>
  </si>
  <si>
    <t>Pulmonary Artery Outflow</t>
  </si>
  <si>
    <t>Pulmonary Capillaries Outflow</t>
  </si>
  <si>
    <t>Pulmonary Veins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</si>
  <si>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</si>
  <si>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</si>
  <si>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</si>
  <si>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</si>
  <si>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</si>
  <si>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</si>
  <si>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</si>
  <si>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</si>
  <si>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</si>
  <si>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</si>
  <si>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</si>
  <si>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</si>
  <si>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</si>
  <si>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</si>
  <si>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</si>
  <si>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</si>
  <si>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</si>
  <si>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</si>
  <si>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</si>
  <si>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</si>
  <si>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</si>
  <si>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</si>
  <si>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</si>
  <si>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</si>
  <si>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</si>
  <si>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</si>
  <si>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</si>
  <si>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</si>
  <si>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</si>
  <si>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</si>
  <si>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</si>
  <si>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</si>
  <si>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</si>
  <si>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</si>
  <si>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</si>
  <si>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</si>
  <si>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</si>
  <si>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</si>
  <si>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</si>
  <si>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</si>
  <si>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</si>
  <si>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</si>
  <si>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</si>
  <si>
    <t>Insulin Receptors (Units are mU, mU/mL and mU/Min)</t>
  </si>
  <si>
    <t>Non-Hepatic Mass</t>
  </si>
  <si>
    <t>Hepatic Receptors (/kG BW)</t>
  </si>
  <si>
    <t>Non-Hepatic Receptors (/kG BW)</t>
  </si>
  <si>
    <t>Total (mU)</t>
  </si>
  <si>
    <t>Secretion=Degradation (mU/Min)</t>
  </si>
  <si>
    <t>[Insulin] ECFV</t>
  </si>
  <si>
    <t>% Occupied</t>
  </si>
  <si>
    <t>Degradation</t>
  </si>
  <si>
    <t>Other</t>
  </si>
  <si>
    <t>% Total</t>
  </si>
  <si>
    <t>Occupied</t>
  </si>
  <si>
    <t>Free</t>
  </si>
  <si>
    <t>mU/Min</t>
  </si>
  <si>
    <t>k</t>
  </si>
  <si>
    <t>[Insulin] Portal Vein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</si>
</sst>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107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10" sqref="I10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139</v>
      </c>
    </row>
    <row r="3" spans="1:8" x14ac:dyDescent="0.25">
      <c r="B3" t="s">
        <v>143</v>
      </c>
      <c r="C3" t="s">
        <v>144</v>
      </c>
      <c r="D3" t="s">
        <v>145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110</v>
      </c>
      <c r="C8" t="s">
        <v>144</v>
      </c>
      <c r="D8" t="s">
        <v>145</v>
      </c>
      <c r="F8" t="s">
        <v>110</v>
      </c>
      <c r="G8" s="10" t="s">
        <v>144</v>
      </c>
      <c r="H8" t="s">
        <v>145</v>
      </c>
    </row>
    <row r="9" spans="1:8" x14ac:dyDescent="0.25">
      <c r="A9" t="s">
        <v>141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142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137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6" workbookViewId="0">
      <selection activeCell="B28" sqref="B28"/>
    </sheetView>
  </sheetViews>
  <sheetFormatPr defaultRowHeight="15" x14ac:dyDescent="0.25"/>
  <cols>
    <col min="1" max="1" width="30.5703125" customWidth="1"/>
    <col min="3" max="3" width="10.42578125" customWidth="1"/>
    <col min="4" max="4" width="12.140625" customWidth="1"/>
    <col min="5" max="5" width="10.7109375" customWidth="1"/>
  </cols>
  <sheetData>
    <row r="1" spans="1:2" x14ac:dyDescent="0.25">
      <c r="A1" t="s">
        <v>146</v>
      </c>
    </row>
    <row r="3" spans="1:2" x14ac:dyDescent="0.25">
      <c r="A3" t="s">
        <v>107</v>
      </c>
      <c r="B3">
        <f>BodyMassMale</f>
        <v>75</v>
      </c>
    </row>
    <row r="5" spans="1:2" x14ac:dyDescent="0.25">
      <c r="A5" t="s">
        <v>27</v>
      </c>
      <c r="B5" t="s">
        <v>19</v>
      </c>
    </row>
    <row r="6" spans="1:2" x14ac:dyDescent="0.25">
      <c r="A6" t="s">
        <v>0</v>
      </c>
      <c r="B6" s="1">
        <f>BoneMassMale</f>
        <v>10725</v>
      </c>
    </row>
    <row r="7" spans="1:2" x14ac:dyDescent="0.25">
      <c r="A7" t="s">
        <v>1</v>
      </c>
      <c r="B7" s="1">
        <f>BrainMassMale</f>
        <v>1500</v>
      </c>
    </row>
    <row r="8" spans="1:2" x14ac:dyDescent="0.25">
      <c r="A8" t="s">
        <v>2</v>
      </c>
      <c r="B8" s="1">
        <f>FatMassMale</f>
        <v>16050</v>
      </c>
    </row>
    <row r="9" spans="1:2" x14ac:dyDescent="0.25">
      <c r="A9" t="s">
        <v>3</v>
      </c>
      <c r="B9" s="1">
        <f>GIMassMale</f>
        <v>1275</v>
      </c>
    </row>
    <row r="10" spans="1:2" x14ac:dyDescent="0.25">
      <c r="A10" t="s">
        <v>4</v>
      </c>
      <c r="B10" s="1">
        <f>KidneyMassMale</f>
        <v>330</v>
      </c>
    </row>
    <row r="11" spans="1:2" x14ac:dyDescent="0.25">
      <c r="A11" t="s">
        <v>5</v>
      </c>
      <c r="B11" s="1">
        <f>LHeartMassMale</f>
        <v>292.57499999999993</v>
      </c>
    </row>
    <row r="12" spans="1:2" x14ac:dyDescent="0.25">
      <c r="A12" t="s">
        <v>6</v>
      </c>
      <c r="B12" s="1">
        <f>LiverMassMale</f>
        <v>1950</v>
      </c>
    </row>
    <row r="13" spans="1:2" x14ac:dyDescent="0.25">
      <c r="A13" t="s">
        <v>7</v>
      </c>
      <c r="B13" s="1">
        <f>OtherMassMale</f>
        <v>3525</v>
      </c>
    </row>
    <row r="14" spans="1:2" x14ac:dyDescent="0.25">
      <c r="A14" t="s">
        <v>8</v>
      </c>
      <c r="B14" s="1">
        <f>RMuscleMassMale</f>
        <v>3600</v>
      </c>
    </row>
    <row r="15" spans="1:2" x14ac:dyDescent="0.25">
      <c r="A15" t="s">
        <v>9</v>
      </c>
      <c r="B15" s="1">
        <f>RHeartMassMale</f>
        <v>59.924999999999997</v>
      </c>
    </row>
    <row r="16" spans="1:2" x14ac:dyDescent="0.25">
      <c r="A16" t="s">
        <v>10</v>
      </c>
      <c r="B16" s="1">
        <f>SMuscleMassMale</f>
        <v>26400</v>
      </c>
    </row>
    <row r="17" spans="1:6" x14ac:dyDescent="0.25">
      <c r="A17" t="s">
        <v>11</v>
      </c>
      <c r="B17" s="1">
        <f>SkinMassMale</f>
        <v>2775</v>
      </c>
    </row>
    <row r="18" spans="1:6" x14ac:dyDescent="0.25">
      <c r="A18" t="s">
        <v>12</v>
      </c>
      <c r="B18" s="1">
        <f>SUM(B6:B17)</f>
        <v>68482.5</v>
      </c>
    </row>
    <row r="20" spans="1:6" x14ac:dyDescent="0.25">
      <c r="A20" t="s">
        <v>147</v>
      </c>
      <c r="B20" s="1">
        <f>SUM(B6:B11,B13:B17)</f>
        <v>66532.5</v>
      </c>
    </row>
    <row r="21" spans="1:6" x14ac:dyDescent="0.25">
      <c r="C21" t="s">
        <v>150</v>
      </c>
      <c r="D21" t="s">
        <v>153</v>
      </c>
      <c r="E21" t="s">
        <v>157</v>
      </c>
      <c r="F21" t="s">
        <v>158</v>
      </c>
    </row>
    <row r="22" spans="1:6" x14ac:dyDescent="0.25">
      <c r="A22" t="s">
        <v>148</v>
      </c>
      <c r="B22">
        <v>204</v>
      </c>
      <c r="C22">
        <f>BodyMassMale*B22</f>
        <v>15300</v>
      </c>
      <c r="D22">
        <v>12</v>
      </c>
      <c r="E22">
        <f>0.01*D22*C22</f>
        <v>1836</v>
      </c>
      <c r="F22">
        <f>C22-E22</f>
        <v>13464</v>
      </c>
    </row>
    <row r="23" spans="1:6" x14ac:dyDescent="0.25">
      <c r="A23" t="s">
        <v>149</v>
      </c>
      <c r="B23">
        <v>183</v>
      </c>
      <c r="C23">
        <f>BodyMassMale*B23</f>
        <v>13725</v>
      </c>
      <c r="D23">
        <v>2</v>
      </c>
      <c r="E23">
        <f>0.01*D23*C23</f>
        <v>274.5</v>
      </c>
      <c r="F23">
        <f>C23-E23</f>
        <v>13450.5</v>
      </c>
    </row>
    <row r="25" spans="1:6" x14ac:dyDescent="0.25">
      <c r="A25" t="s">
        <v>151</v>
      </c>
      <c r="B25">
        <v>17</v>
      </c>
    </row>
    <row r="27" spans="1:6" x14ac:dyDescent="0.25">
      <c r="A27" t="s">
        <v>152</v>
      </c>
      <c r="B27">
        <v>0.02</v>
      </c>
      <c r="C27">
        <v>15000</v>
      </c>
      <c r="D27">
        <f>B27*C27</f>
        <v>300</v>
      </c>
    </row>
    <row r="28" spans="1:6" x14ac:dyDescent="0.25">
      <c r="A28" t="s">
        <v>161</v>
      </c>
      <c r="B28">
        <v>5.1999999999999998E-2</v>
      </c>
    </row>
    <row r="30" spans="1:6" x14ac:dyDescent="0.25">
      <c r="A30" t="s">
        <v>154</v>
      </c>
      <c r="B30" t="s">
        <v>156</v>
      </c>
      <c r="C30" t="s">
        <v>159</v>
      </c>
      <c r="D30" t="s">
        <v>160</v>
      </c>
    </row>
    <row r="31" spans="1:6" x14ac:dyDescent="0.25">
      <c r="A31" t="s">
        <v>6</v>
      </c>
      <c r="B31">
        <v>79</v>
      </c>
      <c r="C31">
        <f>0.01*B31*B25</f>
        <v>13.43</v>
      </c>
      <c r="D31">
        <f>C31/E22</f>
        <v>7.3148148148148148E-3</v>
      </c>
    </row>
    <row r="32" spans="1:6" x14ac:dyDescent="0.25">
      <c r="A32" t="s">
        <v>4</v>
      </c>
      <c r="B32">
        <v>9</v>
      </c>
      <c r="C32">
        <f>0.01*B32*B25</f>
        <v>1.53</v>
      </c>
      <c r="D32">
        <f>C32/D27</f>
        <v>5.1000000000000004E-3</v>
      </c>
    </row>
    <row r="33" spans="1:4" x14ac:dyDescent="0.25">
      <c r="A33" t="s">
        <v>155</v>
      </c>
      <c r="B33">
        <v>12</v>
      </c>
      <c r="C33">
        <f>0.01*B33*B25</f>
        <v>2.04</v>
      </c>
      <c r="D33">
        <f>C33/E23</f>
        <v>7.4316939890710382E-3</v>
      </c>
    </row>
    <row r="34" spans="1:4" x14ac:dyDescent="0.25">
      <c r="C34">
        <f>SUM(C31:C33)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5" sqref="C25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114</v>
      </c>
      <c r="B22" s="5">
        <v>1.3</v>
      </c>
      <c r="C22" s="1">
        <f>10*B22*BodyMassMale</f>
        <v>975</v>
      </c>
    </row>
    <row r="23" spans="1:4" x14ac:dyDescent="0.25">
      <c r="A23" t="s">
        <v>112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113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1" sqref="D11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128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129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130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131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2</v>
      </c>
      <c r="C14" s="5">
        <f t="shared" si="0"/>
        <v>0.2666</v>
      </c>
      <c r="D14">
        <f>B14-B28</f>
        <v>6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7</v>
      </c>
      <c r="C17" s="5">
        <f t="shared" si="0"/>
        <v>0.93310000000000004</v>
      </c>
      <c r="D17">
        <f>B17-B28</f>
        <v>11</v>
      </c>
    </row>
    <row r="18" spans="1:4" x14ac:dyDescent="0.25">
      <c r="A18" t="s">
        <v>74</v>
      </c>
      <c r="B18">
        <v>6</v>
      </c>
      <c r="C18" s="5">
        <f t="shared" si="0"/>
        <v>0.79980000000000007</v>
      </c>
      <c r="D18">
        <f>B18-B28</f>
        <v>10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4" sqref="C14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</cols>
  <sheetData>
    <row r="1" spans="1:4" x14ac:dyDescent="0.25">
      <c r="A1" t="s">
        <v>92</v>
      </c>
    </row>
    <row r="2" spans="1:4" x14ac:dyDescent="0.25">
      <c r="B2" t="s">
        <v>103</v>
      </c>
      <c r="D2" t="s">
        <v>104</v>
      </c>
    </row>
    <row r="3" spans="1:4" x14ac:dyDescent="0.25">
      <c r="A3" t="s">
        <v>94</v>
      </c>
      <c r="B3" t="s">
        <v>105</v>
      </c>
      <c r="C3" t="s">
        <v>106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98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2</v>
      </c>
      <c r="D6">
        <f t="shared" si="0"/>
        <v>95</v>
      </c>
    </row>
    <row r="7" spans="1:4" x14ac:dyDescent="0.25">
      <c r="A7" t="s">
        <v>132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133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134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130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135</v>
      </c>
      <c r="B11">
        <f>LHeartLargeVesselPressure</f>
        <v>93.5</v>
      </c>
      <c r="C11">
        <f>RightAtrialPressure</f>
        <v>2</v>
      </c>
      <c r="D11">
        <f t="shared" si="0"/>
        <v>91.5</v>
      </c>
    </row>
    <row r="12" spans="1:4" x14ac:dyDescent="0.25">
      <c r="A12" t="s">
        <v>131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136</v>
      </c>
      <c r="B13">
        <f>RHeartLargeVesselPressure</f>
        <v>93.5</v>
      </c>
      <c r="C13">
        <f>RightAtrialPressure</f>
        <v>2</v>
      </c>
      <c r="D13">
        <f t="shared" si="0"/>
        <v>91.5</v>
      </c>
    </row>
    <row r="14" spans="1:4" x14ac:dyDescent="0.25">
      <c r="A14" t="s">
        <v>97</v>
      </c>
      <c r="B14">
        <f>SplanchnicVeinsPressure</f>
        <v>8</v>
      </c>
      <c r="C14">
        <f>RightAtrialPressure</f>
        <v>2</v>
      </c>
      <c r="D14">
        <f t="shared" si="0"/>
        <v>6</v>
      </c>
    </row>
    <row r="15" spans="1:4" x14ac:dyDescent="0.25">
      <c r="A15" t="s">
        <v>99</v>
      </c>
      <c r="B15">
        <f>SystemicVeinsPressure</f>
        <v>10</v>
      </c>
      <c r="C15">
        <f>RightAtrialPressure</f>
        <v>2</v>
      </c>
      <c r="D15">
        <f t="shared" si="0"/>
        <v>8</v>
      </c>
    </row>
    <row r="17" spans="1:4" x14ac:dyDescent="0.25">
      <c r="A17" t="s">
        <v>100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101</v>
      </c>
      <c r="B18">
        <f>PulmCapysPressure</f>
        <v>10</v>
      </c>
      <c r="C18">
        <f>PulmVeinsPressure</f>
        <v>7</v>
      </c>
      <c r="D18">
        <f t="shared" si="0"/>
        <v>3</v>
      </c>
    </row>
    <row r="19" spans="1:4" x14ac:dyDescent="0.25">
      <c r="A19" t="s">
        <v>102</v>
      </c>
      <c r="B19">
        <f>PulmVeinsPressure</f>
        <v>7</v>
      </c>
      <c r="C19">
        <f>LeftAtrialPressure</f>
        <v>6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" sqref="A3:B16"/>
    </sheetView>
  </sheetViews>
  <sheetFormatPr defaultRowHeight="15" x14ac:dyDescent="0.25"/>
  <cols>
    <col min="1" max="1" width="17.85546875" customWidth="1"/>
    <col min="3" max="3" width="8.28515625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108</v>
      </c>
    </row>
    <row r="2" spans="1:9" x14ac:dyDescent="0.25">
      <c r="C2" t="s">
        <v>109</v>
      </c>
      <c r="D2" t="s">
        <v>110</v>
      </c>
      <c r="E2" t="s">
        <v>110</v>
      </c>
      <c r="F2" t="s">
        <v>109</v>
      </c>
      <c r="G2" t="s">
        <v>110</v>
      </c>
      <c r="H2" t="s">
        <v>111</v>
      </c>
      <c r="I2" t="s">
        <v>110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116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3" x14ac:dyDescent="0.25">
      <c r="A18" t="s">
        <v>13</v>
      </c>
      <c r="B18">
        <f>BloodMass</f>
        <v>5550</v>
      </c>
    </row>
    <row r="19" spans="1:3" x14ac:dyDescent="0.25">
      <c r="A19" t="s">
        <v>115</v>
      </c>
      <c r="B19">
        <v>0.44</v>
      </c>
    </row>
    <row r="20" spans="1:3" x14ac:dyDescent="0.25">
      <c r="A20" t="s">
        <v>20</v>
      </c>
      <c r="B20">
        <f>B18*(1-Hematocrit)</f>
        <v>3108.0000000000005</v>
      </c>
    </row>
    <row r="21" spans="1:3" x14ac:dyDescent="0.25">
      <c r="A21" t="s">
        <v>21</v>
      </c>
      <c r="B21">
        <f>B18*Hematocrit</f>
        <v>2442</v>
      </c>
      <c r="C21">
        <v>0.66</v>
      </c>
    </row>
    <row r="22" spans="1:3" x14ac:dyDescent="0.25">
      <c r="A22" t="s">
        <v>22</v>
      </c>
      <c r="B22" s="1">
        <f>B21*C21</f>
        <v>1611.72</v>
      </c>
    </row>
    <row r="23" spans="1:3" x14ac:dyDescent="0.25">
      <c r="A23" t="s">
        <v>23</v>
      </c>
      <c r="B23" s="1">
        <f>B21*(1-C21)</f>
        <v>830.28</v>
      </c>
    </row>
    <row r="24" spans="1:3" x14ac:dyDescent="0.25">
      <c r="A24" t="s">
        <v>14</v>
      </c>
      <c r="B24">
        <f>LungH2OMass</f>
        <v>0</v>
      </c>
    </row>
    <row r="25" spans="1:3" x14ac:dyDescent="0.25">
      <c r="A25" t="s">
        <v>15</v>
      </c>
      <c r="B25">
        <f>PeritoneumMass</f>
        <v>0</v>
      </c>
    </row>
    <row r="26" spans="1:3" x14ac:dyDescent="0.25">
      <c r="A26" t="s">
        <v>16</v>
      </c>
      <c r="B26">
        <f>GutH2OMass</f>
        <v>975</v>
      </c>
    </row>
    <row r="27" spans="1:3" x14ac:dyDescent="0.25">
      <c r="A27" t="s">
        <v>17</v>
      </c>
      <c r="B27">
        <f>FluidsMass</f>
        <v>6525</v>
      </c>
    </row>
    <row r="29" spans="1:3" x14ac:dyDescent="0.25">
      <c r="A29" t="s">
        <v>18</v>
      </c>
      <c r="B29" s="1">
        <f>B16+B27</f>
        <v>75007.5</v>
      </c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H24" sqref="H24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121</v>
      </c>
    </row>
    <row r="3" spans="1:12" x14ac:dyDescent="0.25">
      <c r="A3" t="s">
        <v>81</v>
      </c>
      <c r="B3" t="s">
        <v>110</v>
      </c>
      <c r="C3" t="s">
        <v>79</v>
      </c>
      <c r="D3" t="s">
        <v>119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117</v>
      </c>
      <c r="C8" t="s">
        <v>118</v>
      </c>
      <c r="D8" t="s">
        <v>19</v>
      </c>
      <c r="E8" t="s">
        <v>120</v>
      </c>
      <c r="G8" t="s">
        <v>117</v>
      </c>
      <c r="H8" t="s">
        <v>118</v>
      </c>
      <c r="I8" t="s">
        <v>19</v>
      </c>
      <c r="J8" t="s">
        <v>120</v>
      </c>
      <c r="L8" t="s">
        <v>120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3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ref="J14" si="4">H14/I14</f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17" si="5">H16/I16</f>
        <v>2.8068868921775909</v>
      </c>
      <c r="L16" s="7">
        <f t="shared" ref="L16:L21" si="6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5"/>
        <v>0.75443023255813979</v>
      </c>
      <c r="L17" s="7">
        <f t="shared" si="6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>H18/I18</f>
        <v>0.23684210526315791</v>
      </c>
      <c r="L18" s="7">
        <f t="shared" si="6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>H19/I19</f>
        <v>2.9837210551764894E-2</v>
      </c>
      <c r="L19" s="7">
        <f t="shared" si="6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>H20/I20</f>
        <v>9.8174104336895066E-2</v>
      </c>
      <c r="L20" s="7">
        <f t="shared" si="6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>H21/I21</f>
        <v>3.5999999999999996</v>
      </c>
      <c r="L21" s="7">
        <f t="shared" si="6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C35" s="1"/>
      <c r="D35" s="1"/>
      <c r="E35" s="7"/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20" sqref="F20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138</v>
      </c>
    </row>
    <row r="3" spans="1:6" x14ac:dyDescent="0.25">
      <c r="A3" t="s">
        <v>27</v>
      </c>
      <c r="B3" t="s">
        <v>118</v>
      </c>
      <c r="C3" t="s">
        <v>95</v>
      </c>
      <c r="D3" t="s">
        <v>40</v>
      </c>
      <c r="E3" t="s">
        <v>110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122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123</v>
      </c>
      <c r="B16" s="1">
        <f>SUM(B5:B15)</f>
        <v>3834</v>
      </c>
      <c r="C16">
        <f>SystemicVeinsGradient</f>
        <v>8</v>
      </c>
      <c r="D16" s="1">
        <f t="shared" si="1"/>
        <v>479.25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>
        <f>D19/E20</f>
        <v>1.8668971477960243E-3</v>
      </c>
    </row>
    <row r="20" spans="1:6" x14ac:dyDescent="0.25">
      <c r="A20" t="s">
        <v>6</v>
      </c>
      <c r="B20" s="1">
        <f>SUM(B18:B19)</f>
        <v>1350</v>
      </c>
      <c r="C20">
        <f>HepaticGradient</f>
        <v>6</v>
      </c>
      <c r="D20" s="1">
        <f>B20/C20</f>
        <v>225</v>
      </c>
      <c r="E20" s="1">
        <f>LiverMassMale</f>
        <v>1950</v>
      </c>
      <c r="F20" s="4">
        <f>D20/E20</f>
        <v>0.11538461538461539</v>
      </c>
    </row>
    <row r="21" spans="1:6" x14ac:dyDescent="0.25">
      <c r="B21" s="1"/>
      <c r="E21" s="1"/>
      <c r="F21" s="4"/>
    </row>
    <row r="22" spans="1:6" x14ac:dyDescent="0.25">
      <c r="A22" t="s">
        <v>124</v>
      </c>
      <c r="B22" s="1">
        <f>LiverFlowMale</f>
        <v>1350</v>
      </c>
      <c r="C22">
        <f>HepaticGradient</f>
        <v>6</v>
      </c>
      <c r="D22" s="1">
        <f>B22/C22</f>
        <v>225</v>
      </c>
      <c r="E22" s="1"/>
      <c r="F22" s="4"/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95</v>
      </c>
      <c r="D24" s="6">
        <f>B24/C24</f>
        <v>1.8871578947368421</v>
      </c>
      <c r="E24" s="1">
        <f>LHeartMassMale</f>
        <v>292.57499999999993</v>
      </c>
      <c r="F24" s="4">
        <f>D24/E24</f>
        <v>6.4501679731243013E-3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91.5</v>
      </c>
      <c r="D26" s="6">
        <f>LHeartFlowMale/LHeartSmallVesselGradient</f>
        <v>1.9593442622950821</v>
      </c>
      <c r="E26" s="1"/>
      <c r="F26" s="4">
        <f>D26/E24</f>
        <v>6.6968957098011879E-3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95</v>
      </c>
      <c r="D27" s="6">
        <f>B27/C27</f>
        <v>0.38652631578947377</v>
      </c>
      <c r="E27" s="1">
        <f>RHeartMassMale</f>
        <v>59.924999999999997</v>
      </c>
      <c r="F27" s="4">
        <f>D27/E27</f>
        <v>6.4501679731243022E-3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91.5</v>
      </c>
      <c r="D29" s="6">
        <f>RHeartFlowMale/RHeartSmallVesselGradient</f>
        <v>0.40131147540983614</v>
      </c>
      <c r="E29" s="1"/>
      <c r="F29" s="4">
        <f>D29/E27</f>
        <v>6.696895709801187E-3</v>
      </c>
    </row>
    <row r="30" spans="1:6" x14ac:dyDescent="0.25">
      <c r="A30" t="s">
        <v>125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126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100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101</v>
      </c>
      <c r="B35">
        <f>VenousReturn</f>
        <v>5400</v>
      </c>
      <c r="C35">
        <f>PulmCapysGradient</f>
        <v>3</v>
      </c>
      <c r="D35" s="1">
        <f>B35/C35</f>
        <v>1800</v>
      </c>
      <c r="E35" s="1"/>
    </row>
    <row r="36" spans="1:5" x14ac:dyDescent="0.25">
      <c r="A36" t="s">
        <v>127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:H9"/>
    </sheetView>
  </sheetViews>
  <sheetFormatPr defaultRowHeight="15" x14ac:dyDescent="0.25"/>
  <cols>
    <col min="1" max="1" width="11" customWidth="1"/>
  </cols>
  <sheetData>
    <row r="1" spans="1:8" x14ac:dyDescent="0.25">
      <c r="A1" t="s">
        <v>140</v>
      </c>
    </row>
    <row r="3" spans="1:8" x14ac:dyDescent="0.25">
      <c r="B3" t="s">
        <v>82</v>
      </c>
      <c r="F3" t="s">
        <v>83</v>
      </c>
    </row>
    <row r="4" spans="1:8" x14ac:dyDescent="0.25">
      <c r="B4" t="s">
        <v>110</v>
      </c>
      <c r="C4" t="s">
        <v>120</v>
      </c>
      <c r="D4" t="s">
        <v>118</v>
      </c>
      <c r="F4" t="s">
        <v>110</v>
      </c>
      <c r="G4" t="s">
        <v>120</v>
      </c>
      <c r="H4" t="s">
        <v>118</v>
      </c>
    </row>
    <row r="5" spans="1:8" x14ac:dyDescent="0.25">
      <c r="A5" t="s">
        <v>141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142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125</vt:i4>
      </vt:variant>
    </vt:vector>
  </HeadingPairs>
  <TitlesOfParts>
    <vt:vector size="137" baseType="lpstr">
      <vt:lpstr>Body Mass</vt:lpstr>
      <vt:lpstr>Organ Mass - Male</vt:lpstr>
      <vt:lpstr>Organ Mass - Female</vt:lpstr>
      <vt:lpstr>Blood Pressures</vt:lpstr>
      <vt:lpstr>Pressure Gradients</vt:lpstr>
      <vt:lpstr>Organ Composition</vt:lpstr>
      <vt:lpstr>Organ Blood Flow</vt:lpstr>
      <vt:lpstr>Flows &amp; Conductances</vt:lpstr>
      <vt:lpstr>Cardiac Output</vt:lpstr>
      <vt:lpstr>Blood Volume</vt:lpstr>
      <vt:lpstr>Calories Used</vt:lpstr>
      <vt:lpstr>Insulin Receptors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CoronaryGradient</vt:lpstr>
      <vt:lpstr>CoronarySinusOutflow</vt:lpstr>
      <vt:lpstr>EfferentArtyGradient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2012-02-09T13:50:57Z</cp:lastPrinted>
  <dcterms:created xsi:type="dcterms:W3CDTF">2012-02-04T15:43:29Z</dcterms:created>
  <dcterms:modified xsi:type="dcterms:W3CDTF">2012-06-30T20:45:59Z</dcterms:modified>
</cp:coreProperties>
</file>