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13395" windowHeight="6465" activeTab="3"/>
  </bookViews>
  <sheets>
    <sheet name="Organ Mass" sheetId="4" r:id="rId1"/>
    <sheet name="Gender" sheetId="5" r:id="rId2"/>
    <sheet name="Blood Pressures" sheetId="6" r:id="rId3"/>
    <sheet name="Organ Blood Flow" sheetId="7" r:id="rId4"/>
    <sheet name="Mass" sheetId="1" r:id="rId5"/>
    <sheet name="Calories" sheetId="2" r:id="rId6"/>
    <sheet name="Vascular Conductance" sheetId="3" r:id="rId7"/>
  </sheets>
  <calcPr calcId="145621"/>
</workbook>
</file>

<file path=xl/calcChain.xml><?xml version="1.0" encoding="utf-8"?>
<calcChain xmlns="http://schemas.openxmlformats.org/spreadsheetml/2006/main">
  <c r="E23" i="7" l="1"/>
  <c r="D23" i="7"/>
  <c r="C23" i="7"/>
  <c r="D21" i="7"/>
  <c r="C21" i="7"/>
  <c r="D18" i="7"/>
  <c r="D17" i="7"/>
  <c r="C18" i="7"/>
  <c r="C17" i="7"/>
  <c r="D36" i="7"/>
  <c r="D30" i="7"/>
  <c r="D38" i="7"/>
  <c r="D37" i="7"/>
  <c r="D35" i="7"/>
  <c r="D34" i="7"/>
  <c r="D32" i="7"/>
  <c r="D31" i="7"/>
  <c r="D29" i="7"/>
  <c r="D28" i="7"/>
  <c r="D27" i="7"/>
  <c r="D26" i="7"/>
  <c r="C26" i="5"/>
  <c r="C28" i="5" s="1"/>
  <c r="C22" i="5"/>
  <c r="B28" i="5"/>
  <c r="B24" i="5"/>
  <c r="C23" i="5"/>
  <c r="D20" i="7"/>
  <c r="D19" i="7"/>
  <c r="D16" i="7"/>
  <c r="D15" i="7"/>
  <c r="D14" i="7"/>
  <c r="D12" i="7"/>
  <c r="D11" i="7"/>
  <c r="D10" i="7"/>
  <c r="D9" i="7"/>
  <c r="D8" i="7"/>
  <c r="D7" i="7"/>
  <c r="D6" i="7"/>
  <c r="B39" i="7"/>
  <c r="B21" i="7"/>
  <c r="D39" i="7" l="1"/>
  <c r="C24" i="5"/>
  <c r="C27" i="5"/>
  <c r="B2" i="7"/>
  <c r="D2" i="7" s="1"/>
  <c r="C13" i="7" s="1"/>
  <c r="C3" i="7"/>
  <c r="C16" i="5"/>
  <c r="C14" i="5"/>
  <c r="C13" i="5"/>
  <c r="C12" i="5"/>
  <c r="C11" i="5"/>
  <c r="C10" i="5"/>
  <c r="C9" i="5"/>
  <c r="C8" i="5"/>
  <c r="C6" i="5"/>
  <c r="C5" i="5"/>
  <c r="C17" i="5" s="1"/>
  <c r="C2" i="5"/>
  <c r="D8" i="6"/>
  <c r="D9" i="6"/>
  <c r="D7" i="6"/>
  <c r="D6" i="6"/>
  <c r="D5" i="6"/>
  <c r="D16" i="6"/>
  <c r="D17" i="6"/>
  <c r="D13" i="6"/>
  <c r="D12" i="6"/>
  <c r="D4" i="6"/>
  <c r="D3" i="6"/>
  <c r="D2" i="6"/>
  <c r="C19" i="6"/>
  <c r="C17" i="6"/>
  <c r="C16" i="6"/>
  <c r="C13" i="6"/>
  <c r="C12" i="6"/>
  <c r="C9" i="6"/>
  <c r="C8" i="6"/>
  <c r="C7" i="6"/>
  <c r="C6" i="6"/>
  <c r="C5" i="6"/>
  <c r="C4" i="6"/>
  <c r="C3" i="6"/>
  <c r="C2" i="6"/>
  <c r="D9" i="4"/>
  <c r="D20" i="4"/>
  <c r="D16" i="4"/>
  <c r="D14" i="4"/>
  <c r="D13" i="4"/>
  <c r="D12" i="4"/>
  <c r="D11" i="4"/>
  <c r="D10" i="4"/>
  <c r="D8" i="4"/>
  <c r="D6" i="4"/>
  <c r="D5" i="4"/>
  <c r="C17" i="4"/>
  <c r="B17" i="4"/>
  <c r="C37" i="4"/>
  <c r="C36" i="4"/>
  <c r="C35" i="4"/>
  <c r="C34" i="4"/>
  <c r="C33" i="4"/>
  <c r="C32" i="4"/>
  <c r="C31" i="4"/>
  <c r="C30" i="4"/>
  <c r="C20" i="4"/>
  <c r="C19" i="4"/>
  <c r="C18" i="4"/>
  <c r="C16" i="4"/>
  <c r="C15" i="4"/>
  <c r="C14" i="4"/>
  <c r="C13" i="4"/>
  <c r="C12" i="4"/>
  <c r="C11" i="4"/>
  <c r="C10" i="4"/>
  <c r="C9" i="4"/>
  <c r="C8" i="4"/>
  <c r="C7" i="4"/>
  <c r="C6" i="4"/>
  <c r="C5" i="4"/>
  <c r="B13" i="4"/>
  <c r="B28" i="4"/>
  <c r="B15" i="4" s="1"/>
  <c r="B24" i="4"/>
  <c r="B10" i="4" s="1"/>
  <c r="C26" i="4"/>
  <c r="C27" i="4" s="1"/>
  <c r="B14" i="4"/>
  <c r="C22" i="4"/>
  <c r="C23" i="4" s="1"/>
  <c r="C2" i="4"/>
  <c r="D2" i="5" l="1"/>
  <c r="D37" i="5"/>
  <c r="D36" i="5"/>
  <c r="D32" i="5"/>
  <c r="D31" i="5"/>
  <c r="D35" i="5"/>
  <c r="D34" i="5"/>
  <c r="D30" i="5"/>
  <c r="D33" i="5"/>
  <c r="D7" i="5"/>
  <c r="D15" i="5"/>
  <c r="B3" i="7"/>
  <c r="D3" i="7" s="1"/>
  <c r="C33" i="7" s="1"/>
  <c r="D19" i="5"/>
  <c r="C19" i="7"/>
  <c r="E19" i="7" s="1"/>
  <c r="H19" i="7" s="1"/>
  <c r="C12" i="7"/>
  <c r="E12" i="7" s="1"/>
  <c r="H12" i="7" s="1"/>
  <c r="C8" i="7"/>
  <c r="C16" i="7"/>
  <c r="E16" i="7" s="1"/>
  <c r="H16" i="7" s="1"/>
  <c r="C11" i="7"/>
  <c r="E11" i="7" s="1"/>
  <c r="H11" i="7" s="1"/>
  <c r="C7" i="7"/>
  <c r="E7" i="7" s="1"/>
  <c r="H7" i="7" s="1"/>
  <c r="C15" i="7"/>
  <c r="E15" i="7" s="1"/>
  <c r="H15" i="7" s="1"/>
  <c r="C10" i="7"/>
  <c r="E10" i="7" s="1"/>
  <c r="H10" i="7" s="1"/>
  <c r="C6" i="7"/>
  <c r="C20" i="7"/>
  <c r="E20" i="7" s="1"/>
  <c r="H20" i="7" s="1"/>
  <c r="C14" i="7"/>
  <c r="E14" i="7" s="1"/>
  <c r="H14" i="7" s="1"/>
  <c r="C9" i="7"/>
  <c r="E9" i="7" s="1"/>
  <c r="H9" i="7" s="1"/>
  <c r="B18" i="4"/>
  <c r="B20" i="4" s="1"/>
  <c r="C28" i="4"/>
  <c r="C24" i="4"/>
  <c r="D21" i="3"/>
  <c r="D20" i="3"/>
  <c r="D16" i="3"/>
  <c r="D14" i="3"/>
  <c r="D12" i="3"/>
  <c r="D11" i="3"/>
  <c r="D9" i="3"/>
  <c r="D8" i="3"/>
  <c r="D7" i="3"/>
  <c r="D23" i="3"/>
  <c r="D22" i="3"/>
  <c r="D19" i="3"/>
  <c r="D18" i="3"/>
  <c r="D17" i="3"/>
  <c r="D10" i="3"/>
  <c r="D6" i="3"/>
  <c r="D5" i="3"/>
  <c r="D4" i="3"/>
  <c r="D3" i="3"/>
  <c r="D2" i="3"/>
  <c r="B25" i="3"/>
  <c r="B24" i="3"/>
  <c r="D21" i="2"/>
  <c r="D19" i="2"/>
  <c r="D18" i="2"/>
  <c r="D16" i="2"/>
  <c r="D15" i="2"/>
  <c r="D11" i="2"/>
  <c r="D10" i="2"/>
  <c r="D8" i="2"/>
  <c r="D7" i="2"/>
  <c r="D22" i="2"/>
  <c r="D20" i="2"/>
  <c r="D17" i="2"/>
  <c r="D14" i="2"/>
  <c r="D13" i="2"/>
  <c r="D12" i="2"/>
  <c r="D9" i="2"/>
  <c r="D6" i="2"/>
  <c r="D5" i="2"/>
  <c r="D4" i="2"/>
  <c r="D3" i="2"/>
  <c r="D2" i="2"/>
  <c r="B23" i="2"/>
  <c r="C23" i="2"/>
  <c r="I12" i="1"/>
  <c r="I11" i="1"/>
  <c r="I10" i="1"/>
  <c r="I7" i="1"/>
  <c r="I4" i="1"/>
  <c r="I2" i="1"/>
  <c r="H12" i="1"/>
  <c r="H11" i="1"/>
  <c r="H10" i="1"/>
  <c r="H7" i="1"/>
  <c r="H4" i="1"/>
  <c r="H2" i="1"/>
  <c r="F15" i="1"/>
  <c r="F13" i="1"/>
  <c r="F12" i="1"/>
  <c r="F11" i="1"/>
  <c r="F10" i="1"/>
  <c r="F9" i="1"/>
  <c r="F8" i="1"/>
  <c r="F7" i="1"/>
  <c r="F6" i="1"/>
  <c r="F5" i="1"/>
  <c r="F4" i="1"/>
  <c r="F3" i="1"/>
  <c r="F2" i="1"/>
  <c r="E15" i="1"/>
  <c r="E13" i="1"/>
  <c r="E12" i="1"/>
  <c r="E11" i="1"/>
  <c r="E10" i="1"/>
  <c r="E9" i="1"/>
  <c r="E8" i="1"/>
  <c r="E7" i="1"/>
  <c r="E6" i="1"/>
  <c r="E5" i="1"/>
  <c r="E4" i="1"/>
  <c r="E3" i="1"/>
  <c r="E2" i="1"/>
  <c r="B21" i="1"/>
  <c r="B20" i="1"/>
  <c r="B18" i="1"/>
  <c r="B19" i="1"/>
  <c r="B27" i="1"/>
  <c r="B25" i="1"/>
  <c r="B14" i="1"/>
  <c r="C13" i="1" s="1"/>
  <c r="B15" i="1"/>
  <c r="C35" i="7" l="1"/>
  <c r="E35" i="7" s="1"/>
  <c r="I15" i="7" s="1"/>
  <c r="E8" i="7"/>
  <c r="H8" i="7" s="1"/>
  <c r="C31" i="7"/>
  <c r="E31" i="7" s="1"/>
  <c r="I11" i="7" s="1"/>
  <c r="J11" i="7" s="1"/>
  <c r="C28" i="7"/>
  <c r="E28" i="7" s="1"/>
  <c r="I8" i="7" s="1"/>
  <c r="E6" i="7"/>
  <c r="H6" i="7" s="1"/>
  <c r="C34" i="7"/>
  <c r="E34" i="7" s="1"/>
  <c r="I14" i="7" s="1"/>
  <c r="J14" i="7" s="1"/>
  <c r="J15" i="7"/>
  <c r="C26" i="7"/>
  <c r="E26" i="7" s="1"/>
  <c r="I6" i="7" s="1"/>
  <c r="D17" i="5"/>
  <c r="D6" i="5" s="1"/>
  <c r="C32" i="7"/>
  <c r="E32" i="7" s="1"/>
  <c r="I12" i="7" s="1"/>
  <c r="J12" i="7" s="1"/>
  <c r="C30" i="7"/>
  <c r="E30" i="7" s="1"/>
  <c r="I10" i="7" s="1"/>
  <c r="J10" i="7" s="1"/>
  <c r="C27" i="7"/>
  <c r="E27" i="7" s="1"/>
  <c r="I7" i="7" s="1"/>
  <c r="J7" i="7" s="1"/>
  <c r="C37" i="7"/>
  <c r="E37" i="7" s="1"/>
  <c r="I19" i="7" s="1"/>
  <c r="J19" i="7" s="1"/>
  <c r="C29" i="7"/>
  <c r="E29" i="7" s="1"/>
  <c r="I9" i="7" s="1"/>
  <c r="J9" i="7" s="1"/>
  <c r="C36" i="7"/>
  <c r="E36" i="7" s="1"/>
  <c r="I16" i="7" s="1"/>
  <c r="J16" i="7" s="1"/>
  <c r="C38" i="7"/>
  <c r="E38" i="7" s="1"/>
  <c r="I20" i="7" s="1"/>
  <c r="J20" i="7" s="1"/>
  <c r="C6" i="1"/>
  <c r="C10" i="1"/>
  <c r="C5" i="1"/>
  <c r="C9" i="1"/>
  <c r="C2" i="1"/>
  <c r="C7" i="1"/>
  <c r="C11" i="1"/>
  <c r="C3" i="1"/>
  <c r="C8" i="1"/>
  <c r="J8" i="7" l="1"/>
  <c r="J6" i="7"/>
  <c r="D5" i="5"/>
  <c r="C39" i="7"/>
  <c r="D10" i="5"/>
  <c r="D8" i="5"/>
  <c r="D16" i="5"/>
  <c r="D9" i="5"/>
  <c r="D11" i="5"/>
  <c r="D12" i="5"/>
  <c r="D13" i="5"/>
  <c r="D14" i="5"/>
  <c r="C14" i="1"/>
  <c r="D18" i="5" l="1"/>
  <c r="D20" i="5" s="1"/>
</calcChain>
</file>

<file path=xl/sharedStrings.xml><?xml version="1.0" encoding="utf-8"?>
<sst xmlns="http://schemas.openxmlformats.org/spreadsheetml/2006/main" count="250" uniqueCount="105">
  <si>
    <t>Bone</t>
  </si>
  <si>
    <t>Brain</t>
  </si>
  <si>
    <t>Fat</t>
  </si>
  <si>
    <t>GITract</t>
  </si>
  <si>
    <t>Kidney</t>
  </si>
  <si>
    <t>Left Heart</t>
  </si>
  <si>
    <t>Liver</t>
  </si>
  <si>
    <t>Other Tissue</t>
  </si>
  <si>
    <t>Respiratory Muscle</t>
  </si>
  <si>
    <t>Right Heart</t>
  </si>
  <si>
    <t>Skeletal Muscle</t>
  </si>
  <si>
    <t>Skin</t>
  </si>
  <si>
    <t>Base Mass</t>
  </si>
  <si>
    <t>Organ Mass</t>
  </si>
  <si>
    <t>Blood</t>
  </si>
  <si>
    <t>Lung H2O</t>
  </si>
  <si>
    <t>Peritoneum</t>
  </si>
  <si>
    <t>Gut H2O</t>
  </si>
  <si>
    <t>Fluid Mass</t>
  </si>
  <si>
    <t>Body Weight</t>
  </si>
  <si>
    <t>Mass (G)</t>
  </si>
  <si>
    <t>Plasma Volume</t>
  </si>
  <si>
    <t>RBC's</t>
  </si>
  <si>
    <t>H2O</t>
  </si>
  <si>
    <t>Solids</t>
  </si>
  <si>
    <t>Fract. Base</t>
  </si>
  <si>
    <t>Fract. H2O</t>
  </si>
  <si>
    <t>Mass H2O</t>
  </si>
  <si>
    <t>Mass Solid</t>
  </si>
  <si>
    <t>Fract. Other</t>
  </si>
  <si>
    <t>Mass Other</t>
  </si>
  <si>
    <t>Special</t>
  </si>
  <si>
    <t>Mineral</t>
  </si>
  <si>
    <t>Muscle Protein</t>
  </si>
  <si>
    <t>Organ</t>
  </si>
  <si>
    <t>Cals/Min</t>
  </si>
  <si>
    <t>Basal</t>
  </si>
  <si>
    <t>Reabsorption</t>
  </si>
  <si>
    <t>Contraction</t>
  </si>
  <si>
    <t>Total</t>
  </si>
  <si>
    <t>(Cals/Min)/G</t>
  </si>
  <si>
    <t>Arcuate</t>
  </si>
  <si>
    <t>Afferent</t>
  </si>
  <si>
    <t>Efferent</t>
  </si>
  <si>
    <t>Large Vessel</t>
  </si>
  <si>
    <t>Small Vessel</t>
  </si>
  <si>
    <t>Hepatic Artery</t>
  </si>
  <si>
    <t>Portal Vein</t>
  </si>
  <si>
    <t>Hepatic Vein</t>
  </si>
  <si>
    <t>Conductance</t>
  </si>
  <si>
    <t>N/A</t>
  </si>
  <si>
    <t>Infinite</t>
  </si>
  <si>
    <t>Conductance (/G)</t>
  </si>
  <si>
    <t>% BW</t>
  </si>
  <si>
    <t>GI Tract</t>
  </si>
  <si>
    <t>Heart</t>
  </si>
  <si>
    <t>Right</t>
  </si>
  <si>
    <t>Left</t>
  </si>
  <si>
    <t>Adrenals</t>
  </si>
  <si>
    <t>Stomach</t>
  </si>
  <si>
    <t>Small Intestine</t>
  </si>
  <si>
    <t>Large Intestine</t>
  </si>
  <si>
    <t>Lungs</t>
  </si>
  <si>
    <t>Pancreas</t>
  </si>
  <si>
    <t>Spleen</t>
  </si>
  <si>
    <t>Thyroid</t>
  </si>
  <si>
    <t>Muscle</t>
  </si>
  <si>
    <t>Respiratory</t>
  </si>
  <si>
    <t>Skeletal</t>
  </si>
  <si>
    <t>Total Organs</t>
  </si>
  <si>
    <t>Fluids</t>
  </si>
  <si>
    <t>Base Organs</t>
  </si>
  <si>
    <t>% Base Mass</t>
  </si>
  <si>
    <t>kG</t>
  </si>
  <si>
    <t>Lbs</t>
  </si>
  <si>
    <t>Compartment</t>
  </si>
  <si>
    <t>mmHg</t>
  </si>
  <si>
    <t>kPa</t>
  </si>
  <si>
    <t>Systemic Arteries</t>
  </si>
  <si>
    <t>Systemic Veins</t>
  </si>
  <si>
    <t>Splanchnic Veins</t>
  </si>
  <si>
    <t>Right Atrium</t>
  </si>
  <si>
    <t>Pulmonary Artery</t>
  </si>
  <si>
    <t>Pulmonary Capillaries</t>
  </si>
  <si>
    <t>Pulmonary Veins</t>
  </si>
  <si>
    <t>Left Atrium</t>
  </si>
  <si>
    <t>Systolic</t>
  </si>
  <si>
    <t>Diastolic</t>
  </si>
  <si>
    <t>Thorax</t>
  </si>
  <si>
    <t>TMP</t>
  </si>
  <si>
    <t>Scaler</t>
  </si>
  <si>
    <t>Organ Mass (G)</t>
  </si>
  <si>
    <t>Gender</t>
  </si>
  <si>
    <t>Male</t>
  </si>
  <si>
    <t>Female</t>
  </si>
  <si>
    <t>Cardiac Output</t>
  </si>
  <si>
    <t>Organ - Male</t>
  </si>
  <si>
    <t>Adipose</t>
  </si>
  <si>
    <t>Adrenal</t>
  </si>
  <si>
    <t>Lung</t>
  </si>
  <si>
    <t>Organ - Female</t>
  </si>
  <si>
    <t>% Cardiac Output</t>
  </si>
  <si>
    <t>Blood Flow</t>
  </si>
  <si>
    <t>Blood Flow (/G)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</si>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</sst>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0000"/>
    <numFmt numFmtId="166" formatCode="0.0"/>
    <numFmt numFmtId="167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opLeftCell="A4" workbookViewId="0">
      <selection activeCell="C22" sqref="C22"/>
    </sheetView>
  </sheetViews>
  <sheetFormatPr defaultRowHeight="15" x14ac:dyDescent="0.25"/>
  <cols>
    <col min="1" max="1" width="18.5703125" customWidth="1"/>
    <col min="2" max="2" width="10" bestFit="1" customWidth="1"/>
    <col min="4" max="4" width="12.42578125" customWidth="1"/>
  </cols>
  <sheetData>
    <row r="1" spans="1:4" x14ac:dyDescent="0.25">
      <c r="A1" t="s">
        <v>19</v>
      </c>
      <c r="B1" t="s">
        <v>73</v>
      </c>
      <c r="C1" t="s">
        <v>74</v>
      </c>
    </row>
    <row r="2" spans="1:4" x14ac:dyDescent="0.25">
      <c r="B2">
        <v>75</v>
      </c>
      <c r="C2">
        <f>B2 * 2.2</f>
        <v>165</v>
      </c>
    </row>
    <row r="4" spans="1:4" x14ac:dyDescent="0.25">
      <c r="A4" t="s">
        <v>34</v>
      </c>
      <c r="B4" t="s">
        <v>53</v>
      </c>
      <c r="C4" t="s">
        <v>20</v>
      </c>
      <c r="D4" t="s">
        <v>72</v>
      </c>
    </row>
    <row r="5" spans="1:4" x14ac:dyDescent="0.25">
      <c r="A5" t="s">
        <v>0</v>
      </c>
      <c r="B5">
        <v>14.3</v>
      </c>
      <c r="C5" s="1">
        <f>10*B5*B2</f>
        <v>10725</v>
      </c>
      <c r="D5" s="5">
        <f>100*C5/C17</f>
        <v>41.198501872659179</v>
      </c>
    </row>
    <row r="6" spans="1:4" x14ac:dyDescent="0.25">
      <c r="A6" t="s">
        <v>1</v>
      </c>
      <c r="B6">
        <v>2</v>
      </c>
      <c r="C6" s="1">
        <f>10*B6*B2</f>
        <v>1500</v>
      </c>
      <c r="D6" s="5">
        <f>100*C6/C17</f>
        <v>5.762028233938346</v>
      </c>
    </row>
    <row r="7" spans="1:4" x14ac:dyDescent="0.25">
      <c r="A7" t="s">
        <v>2</v>
      </c>
      <c r="B7">
        <v>21.4</v>
      </c>
      <c r="C7" s="1">
        <f>10*B7*B2</f>
        <v>16050</v>
      </c>
      <c r="D7" s="5"/>
    </row>
    <row r="8" spans="1:4" x14ac:dyDescent="0.25">
      <c r="A8" t="s">
        <v>54</v>
      </c>
      <c r="B8">
        <v>1.7</v>
      </c>
      <c r="C8" s="1">
        <f>10*B8*B2</f>
        <v>1275</v>
      </c>
      <c r="D8" s="5">
        <f>100*C8/C17</f>
        <v>4.897723998847594</v>
      </c>
    </row>
    <row r="9" spans="1:4" x14ac:dyDescent="0.25">
      <c r="A9" t="s">
        <v>4</v>
      </c>
      <c r="B9">
        <v>0.44</v>
      </c>
      <c r="C9" s="1">
        <f>10*B9*B2</f>
        <v>330</v>
      </c>
      <c r="D9" s="5">
        <f>100*C9/C17</f>
        <v>1.2676462114664362</v>
      </c>
    </row>
    <row r="10" spans="1:4" x14ac:dyDescent="0.25">
      <c r="A10" t="s">
        <v>5</v>
      </c>
      <c r="B10" s="6">
        <f>B22*B24</f>
        <v>0.39009999999999995</v>
      </c>
      <c r="C10" s="1">
        <f>10*B10*B2</f>
        <v>292.57499999999993</v>
      </c>
      <c r="D10" s="5">
        <f>100*C10/C17</f>
        <v>1.1238836070296743</v>
      </c>
    </row>
    <row r="11" spans="1:4" x14ac:dyDescent="0.25">
      <c r="A11" t="s">
        <v>6</v>
      </c>
      <c r="B11">
        <v>2.6</v>
      </c>
      <c r="C11" s="1">
        <f>10*B11*B2</f>
        <v>1950</v>
      </c>
      <c r="D11" s="5">
        <f>100*C11/C17</f>
        <v>7.4906367041198498</v>
      </c>
    </row>
    <row r="12" spans="1:4" x14ac:dyDescent="0.25">
      <c r="A12" t="s">
        <v>7</v>
      </c>
      <c r="B12">
        <v>4.7</v>
      </c>
      <c r="C12" s="1">
        <f>10*B12*B2</f>
        <v>3525</v>
      </c>
      <c r="D12" s="5">
        <f>100*C12/C17</f>
        <v>13.540766349755113</v>
      </c>
    </row>
    <row r="13" spans="1:4" x14ac:dyDescent="0.25">
      <c r="A13" t="s">
        <v>8</v>
      </c>
      <c r="B13">
        <f>B26*B27</f>
        <v>4.8</v>
      </c>
      <c r="C13" s="1">
        <f>10*B13*B2</f>
        <v>3600</v>
      </c>
      <c r="D13" s="5">
        <f>100*C13/C17</f>
        <v>13.828867761452031</v>
      </c>
    </row>
    <row r="14" spans="1:4" x14ac:dyDescent="0.25">
      <c r="A14" t="s">
        <v>9</v>
      </c>
      <c r="B14" s="6">
        <f>B22*B23</f>
        <v>7.9899999999999999E-2</v>
      </c>
      <c r="C14" s="1">
        <f>10*B14*B2</f>
        <v>59.924999999999997</v>
      </c>
      <c r="D14" s="5">
        <f>100*C14/C17</f>
        <v>0.23019302794583693</v>
      </c>
    </row>
    <row r="15" spans="1:4" x14ac:dyDescent="0.25">
      <c r="A15" t="s">
        <v>10</v>
      </c>
      <c r="B15">
        <f>B26*B28</f>
        <v>35.200000000000003</v>
      </c>
      <c r="C15" s="1">
        <f>10*B15*B2</f>
        <v>26400</v>
      </c>
      <c r="D15" s="5"/>
    </row>
    <row r="16" spans="1:4" x14ac:dyDescent="0.25">
      <c r="A16" t="s">
        <v>11</v>
      </c>
      <c r="B16">
        <v>3.7</v>
      </c>
      <c r="C16" s="1">
        <f>10*B16*B2</f>
        <v>2775</v>
      </c>
      <c r="D16" s="5">
        <f>100*C16/C17</f>
        <v>10.659752232785941</v>
      </c>
    </row>
    <row r="17" spans="1:4" x14ac:dyDescent="0.25">
      <c r="A17" t="s">
        <v>71</v>
      </c>
      <c r="B17" s="5">
        <f>SUM(B5:B6,B8:B14,B16)</f>
        <v>34.71</v>
      </c>
      <c r="C17" s="1">
        <f>10*B17*B2</f>
        <v>26032.5</v>
      </c>
    </row>
    <row r="18" spans="1:4" x14ac:dyDescent="0.25">
      <c r="A18" t="s">
        <v>69</v>
      </c>
      <c r="B18" s="5">
        <f>SUM(B5:B16)</f>
        <v>91.310000000000016</v>
      </c>
      <c r="C18" s="1">
        <f>10*B18*B2</f>
        <v>68482.500000000015</v>
      </c>
    </row>
    <row r="19" spans="1:4" x14ac:dyDescent="0.25">
      <c r="A19" t="s">
        <v>70</v>
      </c>
      <c r="B19">
        <v>8.6999999999999993</v>
      </c>
      <c r="C19" s="1">
        <f>10*B19*B2</f>
        <v>6525</v>
      </c>
    </row>
    <row r="20" spans="1:4" x14ac:dyDescent="0.25">
      <c r="A20" t="s">
        <v>39</v>
      </c>
      <c r="B20" s="5">
        <f>B18+B19</f>
        <v>100.01000000000002</v>
      </c>
      <c r="C20" s="1">
        <f>10*B20*B2</f>
        <v>75007.500000000015</v>
      </c>
      <c r="D20" s="5">
        <f>SUM(D5:D16)</f>
        <v>100</v>
      </c>
    </row>
    <row r="22" spans="1:4" x14ac:dyDescent="0.25">
      <c r="A22" t="s">
        <v>55</v>
      </c>
      <c r="B22">
        <v>0.47</v>
      </c>
      <c r="C22" s="1">
        <f>10 * B22 * B2</f>
        <v>352.49999999999994</v>
      </c>
    </row>
    <row r="23" spans="1:4" x14ac:dyDescent="0.25">
      <c r="A23" s="2" t="s">
        <v>56</v>
      </c>
      <c r="B23">
        <v>0.17</v>
      </c>
      <c r="C23" s="1">
        <f>B23 * C22</f>
        <v>59.924999999999997</v>
      </c>
    </row>
    <row r="24" spans="1:4" x14ac:dyDescent="0.25">
      <c r="A24" s="2" t="s">
        <v>57</v>
      </c>
      <c r="B24">
        <f>1-B23</f>
        <v>0.83</v>
      </c>
      <c r="C24" s="1">
        <f>B24 * C22</f>
        <v>292.57499999999993</v>
      </c>
    </row>
    <row r="26" spans="1:4" x14ac:dyDescent="0.25">
      <c r="A26" t="s">
        <v>66</v>
      </c>
      <c r="B26">
        <v>40</v>
      </c>
      <c r="C26">
        <f>10*B26*B2</f>
        <v>30000</v>
      </c>
    </row>
    <row r="27" spans="1:4" x14ac:dyDescent="0.25">
      <c r="A27" s="2" t="s">
        <v>67</v>
      </c>
      <c r="B27">
        <v>0.12</v>
      </c>
      <c r="C27">
        <f>C26*B27</f>
        <v>3600</v>
      </c>
    </row>
    <row r="28" spans="1:4" x14ac:dyDescent="0.25">
      <c r="A28" s="2" t="s">
        <v>68</v>
      </c>
      <c r="B28">
        <f>1-B27</f>
        <v>0.88</v>
      </c>
      <c r="C28">
        <f>C26*B28</f>
        <v>26400</v>
      </c>
    </row>
    <row r="29" spans="1:4" x14ac:dyDescent="0.25">
      <c r="A29" s="2"/>
    </row>
    <row r="30" spans="1:4" x14ac:dyDescent="0.25">
      <c r="A30" t="s">
        <v>58</v>
      </c>
      <c r="B30">
        <v>0.02</v>
      </c>
      <c r="C30">
        <f>10*B30*B2</f>
        <v>15</v>
      </c>
    </row>
    <row r="31" spans="1:4" x14ac:dyDescent="0.25">
      <c r="A31" t="s">
        <v>59</v>
      </c>
      <c r="B31">
        <v>0.21</v>
      </c>
      <c r="C31">
        <f>10*B31*B2</f>
        <v>157.5</v>
      </c>
    </row>
    <row r="32" spans="1:4" x14ac:dyDescent="0.25">
      <c r="A32" t="s">
        <v>60</v>
      </c>
      <c r="B32">
        <v>0.91</v>
      </c>
      <c r="C32">
        <f>10*B32*B2</f>
        <v>682.5</v>
      </c>
    </row>
    <row r="33" spans="1:3" x14ac:dyDescent="0.25">
      <c r="A33" t="s">
        <v>61</v>
      </c>
      <c r="B33">
        <v>0.53</v>
      </c>
      <c r="C33">
        <f>10*B33*B2</f>
        <v>397.50000000000006</v>
      </c>
    </row>
    <row r="34" spans="1:3" x14ac:dyDescent="0.25">
      <c r="A34" t="s">
        <v>62</v>
      </c>
      <c r="B34">
        <v>0.76</v>
      </c>
      <c r="C34">
        <f>10*B34*B2</f>
        <v>570</v>
      </c>
    </row>
    <row r="35" spans="1:3" x14ac:dyDescent="0.25">
      <c r="A35" t="s">
        <v>63</v>
      </c>
      <c r="B35">
        <v>0.14000000000000001</v>
      </c>
      <c r="C35">
        <f>10*B35*B2</f>
        <v>105.00000000000001</v>
      </c>
    </row>
    <row r="36" spans="1:3" x14ac:dyDescent="0.25">
      <c r="A36" t="s">
        <v>64</v>
      </c>
      <c r="B36">
        <v>0.26</v>
      </c>
      <c r="C36">
        <f>10*B36*B2</f>
        <v>195</v>
      </c>
    </row>
    <row r="37" spans="1:3" x14ac:dyDescent="0.25">
      <c r="A37" t="s">
        <v>65</v>
      </c>
      <c r="B37">
        <v>0.03</v>
      </c>
      <c r="C37">
        <f>10*B37*B2</f>
        <v>22.5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opLeftCell="A10" workbookViewId="0">
      <selection activeCell="F26" sqref="F26"/>
    </sheetView>
  </sheetViews>
  <sheetFormatPr defaultRowHeight="15" x14ac:dyDescent="0.25"/>
  <cols>
    <col min="1" max="1" width="18.5703125" customWidth="1"/>
    <col min="2" max="2" width="7.28515625" customWidth="1"/>
    <col min="3" max="3" width="12.28515625" customWidth="1"/>
    <col min="4" max="4" width="15.140625" customWidth="1"/>
  </cols>
  <sheetData>
    <row r="1" spans="1:4" x14ac:dyDescent="0.25">
      <c r="A1" t="s">
        <v>19</v>
      </c>
      <c r="B1" t="s">
        <v>90</v>
      </c>
      <c r="C1" t="s">
        <v>73</v>
      </c>
      <c r="D1" t="s">
        <v>74</v>
      </c>
    </row>
    <row r="2" spans="1:4" x14ac:dyDescent="0.25">
      <c r="B2">
        <v>0.80600000000000005</v>
      </c>
      <c r="C2" s="5">
        <f>B2*'Organ Mass'!$B$2</f>
        <v>60.45</v>
      </c>
      <c r="D2" s="1">
        <f>C2*2.2</f>
        <v>132.99</v>
      </c>
    </row>
    <row r="4" spans="1:4" x14ac:dyDescent="0.25">
      <c r="A4" t="s">
        <v>34</v>
      </c>
      <c r="B4" t="s">
        <v>53</v>
      </c>
      <c r="C4" t="s">
        <v>72</v>
      </c>
      <c r="D4" t="s">
        <v>91</v>
      </c>
    </row>
    <row r="5" spans="1:4" x14ac:dyDescent="0.25">
      <c r="A5" t="s">
        <v>0</v>
      </c>
      <c r="C5" s="5">
        <f>'Organ Mass'!D5</f>
        <v>41.198501872659179</v>
      </c>
      <c r="D5" s="1">
        <f>0.01*C5*D17</f>
        <v>8567.1460674157297</v>
      </c>
    </row>
    <row r="6" spans="1:4" x14ac:dyDescent="0.25">
      <c r="A6" t="s">
        <v>1</v>
      </c>
      <c r="C6" s="5">
        <f>'Organ Mass'!D6</f>
        <v>5.762028233938346</v>
      </c>
      <c r="D6" s="1">
        <f>0.01*C6*D17</f>
        <v>1198.2022471910109</v>
      </c>
    </row>
    <row r="7" spans="1:4" x14ac:dyDescent="0.25">
      <c r="A7" t="s">
        <v>2</v>
      </c>
      <c r="B7">
        <v>32.700000000000003</v>
      </c>
      <c r="C7" s="5"/>
      <c r="D7" s="1">
        <f>10*B7*C2</f>
        <v>19767.150000000001</v>
      </c>
    </row>
    <row r="8" spans="1:4" x14ac:dyDescent="0.25">
      <c r="A8" t="s">
        <v>54</v>
      </c>
      <c r="C8" s="5">
        <f>'Organ Mass'!D8</f>
        <v>4.897723998847594</v>
      </c>
      <c r="D8" s="1">
        <f>0.01*C8*D17</f>
        <v>1018.4719101123592</v>
      </c>
    </row>
    <row r="9" spans="1:4" x14ac:dyDescent="0.25">
      <c r="A9" t="s">
        <v>4</v>
      </c>
      <c r="C9" s="5">
        <f>'Organ Mass'!D9</f>
        <v>1.2676462114664362</v>
      </c>
      <c r="D9" s="1">
        <f>0.01*C9*D17</f>
        <v>263.60449438202244</v>
      </c>
    </row>
    <row r="10" spans="1:4" x14ac:dyDescent="0.25">
      <c r="A10" t="s">
        <v>5</v>
      </c>
      <c r="C10" s="5">
        <f>'Organ Mass'!D10</f>
        <v>1.1238836070296743</v>
      </c>
      <c r="D10" s="1">
        <f>0.01*C10*D17</f>
        <v>233.70934831460664</v>
      </c>
    </row>
    <row r="11" spans="1:4" x14ac:dyDescent="0.25">
      <c r="A11" t="s">
        <v>6</v>
      </c>
      <c r="C11" s="5">
        <f>'Organ Mass'!D11</f>
        <v>7.4906367041198498</v>
      </c>
      <c r="D11" s="1">
        <f>0.01*C11*D17</f>
        <v>1557.6629213483143</v>
      </c>
    </row>
    <row r="12" spans="1:4" x14ac:dyDescent="0.25">
      <c r="A12" t="s">
        <v>7</v>
      </c>
      <c r="C12" s="5">
        <f>'Organ Mass'!D12</f>
        <v>13.540766349755113</v>
      </c>
      <c r="D12" s="1">
        <f>0.01*C12*D17</f>
        <v>2815.7752808988762</v>
      </c>
    </row>
    <row r="13" spans="1:4" x14ac:dyDescent="0.25">
      <c r="A13" t="s">
        <v>8</v>
      </c>
      <c r="C13" s="5">
        <f>'Organ Mass'!D13</f>
        <v>13.828867761452031</v>
      </c>
      <c r="D13" s="1">
        <f>0.01*C13*D17</f>
        <v>2875.6853932584268</v>
      </c>
    </row>
    <row r="14" spans="1:4" x14ac:dyDescent="0.25">
      <c r="A14" t="s">
        <v>9</v>
      </c>
      <c r="C14" s="5">
        <f>'Organ Mass'!D14</f>
        <v>0.23019302794583693</v>
      </c>
      <c r="D14" s="1">
        <f>0.01*C14*D17</f>
        <v>47.868179775280893</v>
      </c>
    </row>
    <row r="15" spans="1:4" x14ac:dyDescent="0.25">
      <c r="A15" t="s">
        <v>10</v>
      </c>
      <c r="B15">
        <v>24.2</v>
      </c>
      <c r="C15" s="5"/>
      <c r="D15" s="1">
        <f>10*B15*C2</f>
        <v>14628.900000000001</v>
      </c>
    </row>
    <row r="16" spans="1:4" x14ac:dyDescent="0.25">
      <c r="A16" t="s">
        <v>11</v>
      </c>
      <c r="C16" s="5">
        <f>'Organ Mass'!D16</f>
        <v>10.659752232785941</v>
      </c>
      <c r="D16" s="1">
        <f>0.01*C16*D17</f>
        <v>2216.6741573033705</v>
      </c>
    </row>
    <row r="17" spans="1:4" x14ac:dyDescent="0.25">
      <c r="A17" t="s">
        <v>71</v>
      </c>
      <c r="C17" s="5">
        <f>SUM(C5:C6,C8:C14,C16)</f>
        <v>100</v>
      </c>
      <c r="D17" s="1">
        <f>1000*C2 - D7 -D15-D19</f>
        <v>20794.799999999996</v>
      </c>
    </row>
    <row r="18" spans="1:4" x14ac:dyDescent="0.25">
      <c r="A18" t="s">
        <v>69</v>
      </c>
      <c r="D18" s="1">
        <f>SUM(D5:D16)</f>
        <v>55190.85</v>
      </c>
    </row>
    <row r="19" spans="1:4" x14ac:dyDescent="0.25">
      <c r="A19" t="s">
        <v>70</v>
      </c>
      <c r="B19">
        <v>8.6999999999999993</v>
      </c>
      <c r="D19" s="1">
        <f>10*B19*C2</f>
        <v>5259.1500000000005</v>
      </c>
    </row>
    <row r="20" spans="1:4" x14ac:dyDescent="0.25">
      <c r="A20" t="s">
        <v>39</v>
      </c>
      <c r="D20" s="1">
        <f>D18+D19</f>
        <v>60450</v>
      </c>
    </row>
    <row r="21" spans="1:4" x14ac:dyDescent="0.25">
      <c r="D21" s="1"/>
    </row>
    <row r="22" spans="1:4" x14ac:dyDescent="0.25">
      <c r="A22" t="s">
        <v>55</v>
      </c>
      <c r="B22">
        <v>0.47</v>
      </c>
      <c r="C22" s="1">
        <f>10 * B22 * C2</f>
        <v>284.11499999999995</v>
      </c>
      <c r="D22" s="1"/>
    </row>
    <row r="23" spans="1:4" x14ac:dyDescent="0.25">
      <c r="A23" s="2" t="s">
        <v>56</v>
      </c>
      <c r="B23">
        <v>0.17</v>
      </c>
      <c r="C23" s="1">
        <f>B23 * C22</f>
        <v>48.299549999999996</v>
      </c>
      <c r="D23" s="1"/>
    </row>
    <row r="24" spans="1:4" x14ac:dyDescent="0.25">
      <c r="A24" s="2" t="s">
        <v>57</v>
      </c>
      <c r="B24">
        <f>1-B23</f>
        <v>0.83</v>
      </c>
      <c r="C24" s="1">
        <f>B24 * C22</f>
        <v>235.81544999999994</v>
      </c>
      <c r="D24" s="1"/>
    </row>
    <row r="25" spans="1:4" x14ac:dyDescent="0.25">
      <c r="C25" s="1"/>
      <c r="D25" s="1"/>
    </row>
    <row r="26" spans="1:4" x14ac:dyDescent="0.25">
      <c r="A26" t="s">
        <v>66</v>
      </c>
      <c r="B26">
        <v>40</v>
      </c>
      <c r="C26" s="1">
        <f>10*B26*C2</f>
        <v>24180</v>
      </c>
      <c r="D26" s="1"/>
    </row>
    <row r="27" spans="1:4" x14ac:dyDescent="0.25">
      <c r="A27" s="2" t="s">
        <v>67</v>
      </c>
      <c r="B27">
        <v>0.12</v>
      </c>
      <c r="C27" s="1">
        <f>C26*B27</f>
        <v>2901.6</v>
      </c>
      <c r="D27" s="1"/>
    </row>
    <row r="28" spans="1:4" x14ac:dyDescent="0.25">
      <c r="A28" s="2" t="s">
        <v>68</v>
      </c>
      <c r="B28">
        <f>1-B27</f>
        <v>0.88</v>
      </c>
      <c r="C28" s="1">
        <f>C26*B28</f>
        <v>21278.400000000001</v>
      </c>
      <c r="D28" s="1"/>
    </row>
    <row r="30" spans="1:4" x14ac:dyDescent="0.25">
      <c r="A30" t="s">
        <v>58</v>
      </c>
      <c r="B30">
        <v>0.02</v>
      </c>
      <c r="D30" s="5">
        <f>10*B30*C2</f>
        <v>12.090000000000002</v>
      </c>
    </row>
    <row r="31" spans="1:4" x14ac:dyDescent="0.25">
      <c r="A31" t="s">
        <v>59</v>
      </c>
      <c r="B31">
        <v>0.21</v>
      </c>
      <c r="D31" s="5">
        <f>10*B31*C2</f>
        <v>126.94500000000001</v>
      </c>
    </row>
    <row r="32" spans="1:4" x14ac:dyDescent="0.25">
      <c r="A32" t="s">
        <v>60</v>
      </c>
      <c r="B32">
        <v>0.91</v>
      </c>
      <c r="D32" s="5">
        <f>10*B32*C2</f>
        <v>550.09500000000003</v>
      </c>
    </row>
    <row r="33" spans="1:4" x14ac:dyDescent="0.25">
      <c r="A33" t="s">
        <v>61</v>
      </c>
      <c r="B33">
        <v>0.53</v>
      </c>
      <c r="D33" s="5">
        <f>10*B33*C2</f>
        <v>320.38500000000005</v>
      </c>
    </row>
    <row r="34" spans="1:4" x14ac:dyDescent="0.25">
      <c r="A34" t="s">
        <v>62</v>
      </c>
      <c r="B34">
        <v>0.76</v>
      </c>
      <c r="D34" s="5">
        <f>10*B34*C2</f>
        <v>459.42</v>
      </c>
    </row>
    <row r="35" spans="1:4" x14ac:dyDescent="0.25">
      <c r="A35" t="s">
        <v>63</v>
      </c>
      <c r="B35">
        <v>0.14000000000000001</v>
      </c>
      <c r="D35" s="5">
        <f>10*B35*C2</f>
        <v>84.63000000000001</v>
      </c>
    </row>
    <row r="36" spans="1:4" x14ac:dyDescent="0.25">
      <c r="A36" t="s">
        <v>64</v>
      </c>
      <c r="B36">
        <v>0.26</v>
      </c>
      <c r="D36" s="5">
        <f>10*B36*C2</f>
        <v>157.17000000000002</v>
      </c>
    </row>
    <row r="37" spans="1:4" x14ac:dyDescent="0.25">
      <c r="A37" t="s">
        <v>65</v>
      </c>
      <c r="B37">
        <v>0.03</v>
      </c>
      <c r="D37" s="5">
        <f>10*B37*C2</f>
        <v>18.135000000000002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9" sqref="D9"/>
    </sheetView>
  </sheetViews>
  <sheetFormatPr defaultRowHeight="15" x14ac:dyDescent="0.25"/>
  <cols>
    <col min="1" max="1" width="21.5703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89</v>
      </c>
    </row>
    <row r="2" spans="1:4" x14ac:dyDescent="0.25">
      <c r="A2" t="s">
        <v>78</v>
      </c>
      <c r="B2">
        <v>97</v>
      </c>
      <c r="C2" s="5">
        <f t="shared" ref="C2:C9" si="0">0.1333*B2</f>
        <v>12.930099999999999</v>
      </c>
      <c r="D2">
        <f>B2</f>
        <v>97</v>
      </c>
    </row>
    <row r="3" spans="1:4" x14ac:dyDescent="0.25">
      <c r="A3" t="s">
        <v>79</v>
      </c>
      <c r="B3">
        <v>10</v>
      </c>
      <c r="C3" s="5">
        <f t="shared" si="0"/>
        <v>1.333</v>
      </c>
      <c r="D3">
        <f>B3</f>
        <v>10</v>
      </c>
    </row>
    <row r="4" spans="1:4" x14ac:dyDescent="0.25">
      <c r="A4" t="s">
        <v>80</v>
      </c>
      <c r="B4">
        <v>8</v>
      </c>
      <c r="C4" s="5">
        <f t="shared" si="0"/>
        <v>1.0664</v>
      </c>
      <c r="D4">
        <f>B4</f>
        <v>8</v>
      </c>
    </row>
    <row r="5" spans="1:4" x14ac:dyDescent="0.25">
      <c r="A5" t="s">
        <v>81</v>
      </c>
      <c r="B5">
        <v>2</v>
      </c>
      <c r="C5" s="5">
        <f t="shared" si="0"/>
        <v>0.2666</v>
      </c>
      <c r="D5">
        <f>B5-B19</f>
        <v>6</v>
      </c>
    </row>
    <row r="6" spans="1:4" x14ac:dyDescent="0.25">
      <c r="A6" t="s">
        <v>82</v>
      </c>
      <c r="B6">
        <v>14</v>
      </c>
      <c r="C6" s="5">
        <f t="shared" si="0"/>
        <v>1.8662000000000001</v>
      </c>
      <c r="D6">
        <f>B6-B19</f>
        <v>18</v>
      </c>
    </row>
    <row r="7" spans="1:4" x14ac:dyDescent="0.25">
      <c r="A7" t="s">
        <v>83</v>
      </c>
      <c r="B7">
        <v>10</v>
      </c>
      <c r="C7" s="5">
        <f t="shared" si="0"/>
        <v>1.333</v>
      </c>
      <c r="D7">
        <f>B7-B19</f>
        <v>14</v>
      </c>
    </row>
    <row r="8" spans="1:4" x14ac:dyDescent="0.25">
      <c r="A8" t="s">
        <v>84</v>
      </c>
      <c r="B8">
        <v>7</v>
      </c>
      <c r="C8" s="5">
        <f t="shared" si="0"/>
        <v>0.93310000000000004</v>
      </c>
      <c r="D8">
        <f>B8-B19</f>
        <v>11</v>
      </c>
    </row>
    <row r="9" spans="1:4" x14ac:dyDescent="0.25">
      <c r="A9" t="s">
        <v>85</v>
      </c>
      <c r="B9">
        <v>6</v>
      </c>
      <c r="C9" s="5">
        <f t="shared" si="0"/>
        <v>0.79980000000000007</v>
      </c>
      <c r="D9">
        <f>B9-B19</f>
        <v>10</v>
      </c>
    </row>
    <row r="10" spans="1:4" x14ac:dyDescent="0.25">
      <c r="C10" s="5"/>
    </row>
    <row r="11" spans="1:4" x14ac:dyDescent="0.25">
      <c r="A11" t="s">
        <v>78</v>
      </c>
      <c r="C11" s="5"/>
    </row>
    <row r="12" spans="1:4" x14ac:dyDescent="0.25">
      <c r="A12" s="2" t="s">
        <v>86</v>
      </c>
      <c r="B12">
        <v>120</v>
      </c>
      <c r="C12" s="5">
        <f>0.1333*B12</f>
        <v>15.996</v>
      </c>
      <c r="D12">
        <f>B12</f>
        <v>120</v>
      </c>
    </row>
    <row r="13" spans="1:4" x14ac:dyDescent="0.25">
      <c r="A13" s="2" t="s">
        <v>87</v>
      </c>
      <c r="B13">
        <v>80</v>
      </c>
      <c r="C13" s="5">
        <f>0.1333*B13</f>
        <v>10.664</v>
      </c>
      <c r="D13">
        <f>B13</f>
        <v>80</v>
      </c>
    </row>
    <row r="14" spans="1:4" x14ac:dyDescent="0.25">
      <c r="C14" s="5"/>
    </row>
    <row r="15" spans="1:4" x14ac:dyDescent="0.25">
      <c r="A15" t="s">
        <v>82</v>
      </c>
      <c r="C15" s="5"/>
    </row>
    <row r="16" spans="1:4" x14ac:dyDescent="0.25">
      <c r="A16" s="2" t="s">
        <v>86</v>
      </c>
      <c r="B16">
        <v>21</v>
      </c>
      <c r="C16" s="5">
        <f>0.1333*B16</f>
        <v>2.7993000000000001</v>
      </c>
      <c r="D16">
        <f>B16-B19</f>
        <v>25</v>
      </c>
    </row>
    <row r="17" spans="1:4" x14ac:dyDescent="0.25">
      <c r="A17" s="2" t="s">
        <v>87</v>
      </c>
      <c r="B17">
        <v>9</v>
      </c>
      <c r="C17" s="5">
        <f>0.1333*B17</f>
        <v>1.1997</v>
      </c>
      <c r="D17">
        <f>B17-B19</f>
        <v>13</v>
      </c>
    </row>
    <row r="18" spans="1:4" x14ac:dyDescent="0.25">
      <c r="C18" s="5"/>
    </row>
    <row r="19" spans="1:4" x14ac:dyDescent="0.25">
      <c r="A19" t="s">
        <v>88</v>
      </c>
      <c r="B19">
        <v>-4</v>
      </c>
      <c r="C19" s="5">
        <f>0.1333*B19</f>
        <v>-0.53320000000000001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topLeftCell="A4" workbookViewId="0">
      <selection activeCell="E24" sqref="E24"/>
    </sheetView>
  </sheetViews>
  <sheetFormatPr defaultRowHeight="15" x14ac:dyDescent="0.25"/>
  <cols>
    <col min="1" max="1" width="14.7109375" customWidth="1"/>
    <col min="2" max="2" width="16" customWidth="1"/>
    <col min="3" max="3" width="10.85546875" customWidth="1"/>
    <col min="4" max="5" width="14.85546875" customWidth="1"/>
    <col min="7" max="7" width="15.42578125" customWidth="1"/>
  </cols>
  <sheetData>
    <row r="1" spans="1:10" x14ac:dyDescent="0.25">
      <c r="A1" t="s">
        <v>92</v>
      </c>
      <c r="B1" t="s">
        <v>19</v>
      </c>
      <c r="C1" t="s">
        <v>90</v>
      </c>
      <c r="D1" t="s">
        <v>95</v>
      </c>
    </row>
    <row r="2" spans="1:10" x14ac:dyDescent="0.25">
      <c r="A2" t="s">
        <v>93</v>
      </c>
      <c r="B2">
        <f>'Organ Mass'!B2</f>
        <v>75</v>
      </c>
      <c r="C2">
        <v>7.1999999999999995E-2</v>
      </c>
      <c r="D2">
        <f>1000*C2*B2</f>
        <v>5400</v>
      </c>
    </row>
    <row r="3" spans="1:10" x14ac:dyDescent="0.25">
      <c r="A3" t="s">
        <v>94</v>
      </c>
      <c r="B3" s="5">
        <f>Gender!C2</f>
        <v>60.45</v>
      </c>
      <c r="C3">
        <f>C2</f>
        <v>7.1999999999999995E-2</v>
      </c>
      <c r="D3" s="1">
        <f>1000*C3*B3</f>
        <v>4352.4000000000005</v>
      </c>
      <c r="G3" t="s">
        <v>103</v>
      </c>
    </row>
    <row r="5" spans="1:10" x14ac:dyDescent="0.25">
      <c r="A5" t="s">
        <v>96</v>
      </c>
      <c r="B5" t="s">
        <v>101</v>
      </c>
      <c r="C5" t="s">
        <v>102</v>
      </c>
      <c r="D5" t="s">
        <v>91</v>
      </c>
      <c r="E5" t="s">
        <v>103</v>
      </c>
      <c r="G5" t="s">
        <v>34</v>
      </c>
      <c r="H5" t="s">
        <v>93</v>
      </c>
      <c r="I5" t="s">
        <v>94</v>
      </c>
      <c r="J5" t="s">
        <v>104</v>
      </c>
    </row>
    <row r="6" spans="1:10" x14ac:dyDescent="0.25">
      <c r="A6" t="s">
        <v>97</v>
      </c>
      <c r="B6">
        <v>5</v>
      </c>
      <c r="C6" s="1">
        <f>0.01*B6*D2</f>
        <v>270</v>
      </c>
      <c r="D6" s="1">
        <f>'Organ Mass'!C7</f>
        <v>16050</v>
      </c>
      <c r="E6" s="7">
        <f>C6/D6</f>
        <v>1.6822429906542057E-2</v>
      </c>
      <c r="G6" t="s">
        <v>97</v>
      </c>
      <c r="H6" s="7">
        <f>E6</f>
        <v>1.6822429906542057E-2</v>
      </c>
      <c r="I6" s="7">
        <f>E26</f>
        <v>1.8715596330275232E-2</v>
      </c>
      <c r="J6" s="7">
        <f>(H6+I6)/2</f>
        <v>1.7769013118408644E-2</v>
      </c>
    </row>
    <row r="7" spans="1:10" x14ac:dyDescent="0.25">
      <c r="A7" t="s">
        <v>98</v>
      </c>
      <c r="B7">
        <v>0.3</v>
      </c>
      <c r="C7" s="1">
        <f>0.01*B7*D2</f>
        <v>16.2</v>
      </c>
      <c r="D7" s="1">
        <f>'Organ Mass'!C30</f>
        <v>15</v>
      </c>
      <c r="E7" s="7">
        <f>C7/D7</f>
        <v>1.0799999999999998</v>
      </c>
      <c r="G7" t="s">
        <v>98</v>
      </c>
      <c r="H7" s="7">
        <f>E7</f>
        <v>1.0799999999999998</v>
      </c>
      <c r="I7" s="7">
        <f>E27</f>
        <v>1.08</v>
      </c>
      <c r="J7" s="7">
        <f>(H7+I7)/2</f>
        <v>1.08</v>
      </c>
    </row>
    <row r="8" spans="1:10" x14ac:dyDescent="0.25">
      <c r="A8" t="s">
        <v>0</v>
      </c>
      <c r="B8">
        <v>5</v>
      </c>
      <c r="C8" s="1">
        <f>0.01*B8*D2</f>
        <v>270</v>
      </c>
      <c r="D8" s="1">
        <f>'Organ Mass'!C5</f>
        <v>10725</v>
      </c>
      <c r="E8" s="7">
        <f>C8/D8</f>
        <v>2.5174825174825177E-2</v>
      </c>
      <c r="G8" t="s">
        <v>0</v>
      </c>
      <c r="H8" s="7">
        <f>E8</f>
        <v>2.5174825174825177E-2</v>
      </c>
      <c r="I8" s="7">
        <f>E28</f>
        <v>2.5401691331923895E-2</v>
      </c>
      <c r="J8" s="7">
        <f>(H8+I8)/2</f>
        <v>2.5288258253374538E-2</v>
      </c>
    </row>
    <row r="9" spans="1:10" x14ac:dyDescent="0.25">
      <c r="A9" t="s">
        <v>1</v>
      </c>
      <c r="B9">
        <v>12</v>
      </c>
      <c r="C9" s="1">
        <f>0.01*B9*D2</f>
        <v>648</v>
      </c>
      <c r="D9" s="1">
        <f>'Organ Mass'!C6</f>
        <v>1500</v>
      </c>
      <c r="E9" s="7">
        <f>C9/D9</f>
        <v>0.432</v>
      </c>
      <c r="G9" t="s">
        <v>1</v>
      </c>
      <c r="H9" s="7">
        <f>E9</f>
        <v>0.432</v>
      </c>
      <c r="I9" s="7">
        <f>E29</f>
        <v>0.43589302325581408</v>
      </c>
      <c r="J9" s="7">
        <f>(H9+I9)/2</f>
        <v>0.43394651162790704</v>
      </c>
    </row>
    <row r="10" spans="1:10" x14ac:dyDescent="0.25">
      <c r="A10" t="s">
        <v>55</v>
      </c>
      <c r="B10">
        <v>4</v>
      </c>
      <c r="C10" s="1">
        <f>0.01*B10*D2</f>
        <v>216</v>
      </c>
      <c r="D10" s="1">
        <f>'Organ Mass'!C22</f>
        <v>352.49999999999994</v>
      </c>
      <c r="E10" s="7">
        <f>C10/D10</f>
        <v>0.61276595744680862</v>
      </c>
      <c r="G10" t="s">
        <v>55</v>
      </c>
      <c r="H10" s="7">
        <f>E10</f>
        <v>0.61276595744680862</v>
      </c>
      <c r="I10" s="7">
        <f>E30</f>
        <v>0.76595744680851086</v>
      </c>
      <c r="J10" s="7">
        <f>(H10+I10)/2</f>
        <v>0.68936170212765968</v>
      </c>
    </row>
    <row r="11" spans="1:10" x14ac:dyDescent="0.25">
      <c r="A11" t="s">
        <v>4</v>
      </c>
      <c r="B11">
        <v>19</v>
      </c>
      <c r="C11" s="1">
        <f>0.01*B11*D2</f>
        <v>1026</v>
      </c>
      <c r="D11" s="1">
        <f>'Organ Mass'!C9</f>
        <v>330</v>
      </c>
      <c r="E11" s="7">
        <f>C11/D11</f>
        <v>3.1090909090909089</v>
      </c>
      <c r="G11" t="s">
        <v>4</v>
      </c>
      <c r="H11" s="7">
        <f>E11</f>
        <v>3.1090909090909089</v>
      </c>
      <c r="I11" s="7">
        <f>E31</f>
        <v>2.8068868921775909</v>
      </c>
      <c r="J11" s="7">
        <f>(H11+I11)/2</f>
        <v>2.9579889006342501</v>
      </c>
    </row>
    <row r="12" spans="1:10" x14ac:dyDescent="0.25">
      <c r="A12" t="s">
        <v>6</v>
      </c>
      <c r="B12">
        <v>25</v>
      </c>
      <c r="C12" s="1">
        <f>0.01*B12*D2</f>
        <v>1350</v>
      </c>
      <c r="D12" s="1">
        <f>'Organ Mass'!C11</f>
        <v>1950</v>
      </c>
      <c r="E12" s="7">
        <f>C12/D12</f>
        <v>0.69230769230769229</v>
      </c>
      <c r="G12" t="s">
        <v>6</v>
      </c>
      <c r="H12" s="7">
        <f>E12</f>
        <v>0.69230769230769229</v>
      </c>
      <c r="I12" s="7">
        <f>E32</f>
        <v>0.75443023255813979</v>
      </c>
      <c r="J12" s="7">
        <f>(H12+I12)/2</f>
        <v>0.72336896243291604</v>
      </c>
    </row>
    <row r="13" spans="1:10" x14ac:dyDescent="0.25">
      <c r="A13" s="2" t="s">
        <v>46</v>
      </c>
      <c r="B13">
        <v>6</v>
      </c>
      <c r="C13" s="1">
        <f>0.01*B13*D2</f>
        <v>324</v>
      </c>
      <c r="E13" s="7"/>
      <c r="G13" s="2" t="s">
        <v>46</v>
      </c>
      <c r="H13" s="7"/>
      <c r="I13" s="7"/>
      <c r="J13" s="7"/>
    </row>
    <row r="14" spans="1:10" x14ac:dyDescent="0.25">
      <c r="A14" s="2" t="s">
        <v>47</v>
      </c>
      <c r="B14">
        <v>19</v>
      </c>
      <c r="C14" s="1">
        <f>0.01*B14*D2</f>
        <v>1026</v>
      </c>
      <c r="D14" s="1">
        <f>'Organ Mass'!C8</f>
        <v>1275</v>
      </c>
      <c r="E14" s="7">
        <f>C14/D14</f>
        <v>0.80470588235294116</v>
      </c>
      <c r="G14" s="2" t="s">
        <v>47</v>
      </c>
      <c r="H14" s="7">
        <f>E14</f>
        <v>0.80470588235294116</v>
      </c>
      <c r="I14" s="7">
        <f>E34</f>
        <v>0.89742681258549972</v>
      </c>
      <c r="J14" s="7">
        <f>(H14+I14)/2</f>
        <v>0.85106634746922039</v>
      </c>
    </row>
    <row r="15" spans="1:10" x14ac:dyDescent="0.25">
      <c r="A15" t="s">
        <v>99</v>
      </c>
      <c r="B15">
        <v>2.5</v>
      </c>
      <c r="C15" s="1">
        <f>0.01*B15*D2</f>
        <v>135</v>
      </c>
      <c r="D15" s="1">
        <f>'Organ Mass'!C34</f>
        <v>570</v>
      </c>
      <c r="E15" s="7">
        <f>C15/D15</f>
        <v>0.23684210526315788</v>
      </c>
      <c r="G15" t="s">
        <v>99</v>
      </c>
      <c r="H15" s="7">
        <f>E15</f>
        <v>0.23684210526315788</v>
      </c>
      <c r="I15" s="7">
        <f>E35</f>
        <v>0.23684210526315791</v>
      </c>
      <c r="J15" s="7">
        <f>(H15+I15)/2</f>
        <v>0.23684210526315791</v>
      </c>
    </row>
    <row r="16" spans="1:10" x14ac:dyDescent="0.25">
      <c r="A16" t="s">
        <v>66</v>
      </c>
      <c r="B16">
        <v>17</v>
      </c>
      <c r="C16" s="1">
        <f>0.01*B16*D2</f>
        <v>918.00000000000011</v>
      </c>
      <c r="D16" s="1">
        <f>'Organ Mass'!C26</f>
        <v>30000</v>
      </c>
      <c r="E16" s="7">
        <f>C16/D16</f>
        <v>3.0600000000000002E-2</v>
      </c>
      <c r="G16" t="s">
        <v>66</v>
      </c>
      <c r="H16" s="7">
        <f>E16</f>
        <v>3.0600000000000002E-2</v>
      </c>
      <c r="I16" s="7">
        <f>E36</f>
        <v>2.1600000000000001E-2</v>
      </c>
      <c r="J16" s="7">
        <f>(H16+I16)/2</f>
        <v>2.6100000000000002E-2</v>
      </c>
    </row>
    <row r="17" spans="1:10" x14ac:dyDescent="0.25">
      <c r="A17" s="2" t="s">
        <v>67</v>
      </c>
      <c r="C17" s="1">
        <f>'Organ Mass'!B27 * C16</f>
        <v>110.16000000000001</v>
      </c>
      <c r="D17" s="1">
        <f>'Organ Mass'!B27 * D16</f>
        <v>3600</v>
      </c>
      <c r="E17" s="7"/>
      <c r="H17" s="7"/>
      <c r="I17" s="7"/>
      <c r="J17" s="7"/>
    </row>
    <row r="18" spans="1:10" x14ac:dyDescent="0.25">
      <c r="A18" s="2" t="s">
        <v>68</v>
      </c>
      <c r="C18" s="1">
        <f>'Organ Mass'!B28 * C16</f>
        <v>807.84000000000015</v>
      </c>
      <c r="D18" s="1">
        <f>'Organ Mass'!B28 * D16</f>
        <v>26400</v>
      </c>
      <c r="E18" s="7"/>
      <c r="H18" s="7"/>
      <c r="I18" s="7"/>
      <c r="J18" s="7"/>
    </row>
    <row r="19" spans="1:10" x14ac:dyDescent="0.25">
      <c r="A19" t="s">
        <v>11</v>
      </c>
      <c r="B19">
        <v>5</v>
      </c>
      <c r="C19" s="1">
        <f>0.01*B19*D2</f>
        <v>270</v>
      </c>
      <c r="D19" s="1">
        <f>'Organ Mass'!C16</f>
        <v>2775</v>
      </c>
      <c r="E19" s="7">
        <f>C19/D19</f>
        <v>9.7297297297297303E-2</v>
      </c>
      <c r="G19" t="s">
        <v>11</v>
      </c>
      <c r="H19" s="7">
        <f>E19</f>
        <v>9.7297297297297303E-2</v>
      </c>
      <c r="I19" s="7">
        <f>E37</f>
        <v>9.8174104336895066E-2</v>
      </c>
      <c r="J19" s="7">
        <f>(H19+I19)/2</f>
        <v>9.7735700817096177E-2</v>
      </c>
    </row>
    <row r="20" spans="1:10" x14ac:dyDescent="0.25">
      <c r="A20" t="s">
        <v>65</v>
      </c>
      <c r="B20">
        <v>1.5</v>
      </c>
      <c r="C20" s="1">
        <f>0.01*B20*D2</f>
        <v>81</v>
      </c>
      <c r="D20" s="1">
        <f>'Organ Mass'!C37</f>
        <v>22.5</v>
      </c>
      <c r="E20" s="7">
        <f>C20/D20</f>
        <v>3.6</v>
      </c>
      <c r="G20" t="s">
        <v>65</v>
      </c>
      <c r="H20" s="7">
        <f>E20</f>
        <v>3.6</v>
      </c>
      <c r="I20" s="7">
        <f>E38</f>
        <v>3.5999999999999996</v>
      </c>
      <c r="J20" s="7">
        <f>(H20+I20)/2</f>
        <v>3.5999999999999996</v>
      </c>
    </row>
    <row r="21" spans="1:10" x14ac:dyDescent="0.25">
      <c r="A21" t="s">
        <v>39</v>
      </c>
      <c r="B21">
        <f>SUM(B6:B12,B15:B20)</f>
        <v>96.3</v>
      </c>
      <c r="C21" s="1">
        <f>SUM(C6:C12,C15:C16,C19:C20)</f>
        <v>5200.2</v>
      </c>
      <c r="D21" s="1">
        <f>SUM(D6:D12,D15:D16,D19:D20)</f>
        <v>64290</v>
      </c>
      <c r="E21" s="7"/>
    </row>
    <row r="22" spans="1:10" x14ac:dyDescent="0.25">
      <c r="C22" s="1"/>
      <c r="D22" s="1"/>
      <c r="E22" s="7"/>
    </row>
    <row r="23" spans="1:10" x14ac:dyDescent="0.25">
      <c r="A23" t="s">
        <v>71</v>
      </c>
      <c r="C23" s="1">
        <f>SUM(C7:C12,C15,C19)</f>
        <v>3931.2</v>
      </c>
      <c r="D23" s="1">
        <f>SUM(D7:D12,D14:D16,D19:D20)</f>
        <v>49515</v>
      </c>
      <c r="E23" s="7">
        <f>C23/D23</f>
        <v>7.9394122993032404E-2</v>
      </c>
    </row>
    <row r="24" spans="1:10" x14ac:dyDescent="0.25">
      <c r="C24" s="1"/>
      <c r="E24" s="7"/>
    </row>
    <row r="25" spans="1:10" x14ac:dyDescent="0.25">
      <c r="A25" t="s">
        <v>100</v>
      </c>
      <c r="C25" s="1"/>
      <c r="E25" s="7"/>
    </row>
    <row r="26" spans="1:10" x14ac:dyDescent="0.25">
      <c r="A26" t="s">
        <v>97</v>
      </c>
      <c r="B26">
        <v>8.5</v>
      </c>
      <c r="C26" s="1">
        <f>0.01*B26*D3</f>
        <v>369.95400000000006</v>
      </c>
      <c r="D26" s="1">
        <f>Gender!D7</f>
        <v>19767.150000000001</v>
      </c>
      <c r="E26" s="7">
        <f>C26/D26</f>
        <v>1.8715596330275232E-2</v>
      </c>
    </row>
    <row r="27" spans="1:10" x14ac:dyDescent="0.25">
      <c r="A27" t="s">
        <v>98</v>
      </c>
      <c r="B27">
        <v>0.3</v>
      </c>
      <c r="C27" s="1">
        <f>0.01*B27*D3</f>
        <v>13.057200000000002</v>
      </c>
      <c r="D27" s="1">
        <f>Gender!D30</f>
        <v>12.090000000000002</v>
      </c>
      <c r="E27" s="7">
        <f>C27/D27</f>
        <v>1.08</v>
      </c>
    </row>
    <row r="28" spans="1:10" x14ac:dyDescent="0.25">
      <c r="A28" t="s">
        <v>0</v>
      </c>
      <c r="B28">
        <v>5</v>
      </c>
      <c r="C28" s="1">
        <f>0.01*B28*D3</f>
        <v>217.62000000000003</v>
      </c>
      <c r="D28" s="1">
        <f>Gender!D5</f>
        <v>8567.1460674157297</v>
      </c>
      <c r="E28" s="7">
        <f>C28/D28</f>
        <v>2.5401691331923895E-2</v>
      </c>
    </row>
    <row r="29" spans="1:10" x14ac:dyDescent="0.25">
      <c r="A29" t="s">
        <v>1</v>
      </c>
      <c r="B29">
        <v>12</v>
      </c>
      <c r="C29" s="1">
        <f>0.01*B29*D3</f>
        <v>522.28800000000001</v>
      </c>
      <c r="D29" s="1">
        <f>Gender!D6</f>
        <v>1198.2022471910109</v>
      </c>
      <c r="E29" s="7">
        <f>C29/D29</f>
        <v>0.43589302325581408</v>
      </c>
    </row>
    <row r="30" spans="1:10" x14ac:dyDescent="0.25">
      <c r="A30" t="s">
        <v>55</v>
      </c>
      <c r="B30">
        <v>5</v>
      </c>
      <c r="C30" s="1">
        <f>0.01*B30*D3</f>
        <v>217.62000000000003</v>
      </c>
      <c r="D30" s="1">
        <f>Gender!C22</f>
        <v>284.11499999999995</v>
      </c>
      <c r="E30" s="7">
        <f>C30/D30</f>
        <v>0.76595744680851086</v>
      </c>
    </row>
    <row r="31" spans="1:10" x14ac:dyDescent="0.25">
      <c r="A31" t="s">
        <v>4</v>
      </c>
      <c r="B31">
        <v>17</v>
      </c>
      <c r="C31" s="1">
        <f>0.01*B31*D3</f>
        <v>739.90800000000013</v>
      </c>
      <c r="D31" s="1">
        <f>Gender!D9</f>
        <v>263.60449438202244</v>
      </c>
      <c r="E31" s="7">
        <f>C31/D31</f>
        <v>2.8068868921775909</v>
      </c>
    </row>
    <row r="32" spans="1:10" x14ac:dyDescent="0.25">
      <c r="A32" t="s">
        <v>6</v>
      </c>
      <c r="B32">
        <v>27</v>
      </c>
      <c r="C32" s="1">
        <f>0.01*B32*D3</f>
        <v>1175.1480000000001</v>
      </c>
      <c r="D32" s="1">
        <f>Gender!D11</f>
        <v>1557.6629213483143</v>
      </c>
      <c r="E32" s="7">
        <f>C32/D32</f>
        <v>0.75443023255813979</v>
      </c>
    </row>
    <row r="33" spans="1:5" x14ac:dyDescent="0.25">
      <c r="A33" s="2" t="s">
        <v>46</v>
      </c>
      <c r="B33">
        <v>6</v>
      </c>
      <c r="C33" s="1">
        <f>0.01*B33*D3</f>
        <v>261.14400000000001</v>
      </c>
      <c r="E33" s="7"/>
    </row>
    <row r="34" spans="1:5" x14ac:dyDescent="0.25">
      <c r="A34" s="2" t="s">
        <v>47</v>
      </c>
      <c r="B34">
        <v>21</v>
      </c>
      <c r="C34" s="1">
        <f>0.01*B34*D3</f>
        <v>914.00400000000013</v>
      </c>
      <c r="D34" s="1">
        <f>Gender!D8</f>
        <v>1018.4719101123592</v>
      </c>
      <c r="E34" s="7">
        <f>C34/D34</f>
        <v>0.89742681258549972</v>
      </c>
    </row>
    <row r="35" spans="1:5" x14ac:dyDescent="0.25">
      <c r="A35" t="s">
        <v>99</v>
      </c>
      <c r="B35">
        <v>2.5</v>
      </c>
      <c r="C35" s="1">
        <f>0.01*B35*D3</f>
        <v>108.81000000000002</v>
      </c>
      <c r="D35" s="1">
        <f>Gender!D34</f>
        <v>459.42</v>
      </c>
      <c r="E35" s="7">
        <f>C35/D35</f>
        <v>0.23684210526315791</v>
      </c>
    </row>
    <row r="36" spans="1:5" x14ac:dyDescent="0.25">
      <c r="A36" t="s">
        <v>66</v>
      </c>
      <c r="B36">
        <v>12</v>
      </c>
      <c r="C36" s="1">
        <f>0.01*B36*D3</f>
        <v>522.28800000000001</v>
      </c>
      <c r="D36" s="1">
        <f>Gender!C26</f>
        <v>24180</v>
      </c>
      <c r="E36" s="7">
        <f>C36/D36</f>
        <v>2.1600000000000001E-2</v>
      </c>
    </row>
    <row r="37" spans="1:5" x14ac:dyDescent="0.25">
      <c r="A37" t="s">
        <v>11</v>
      </c>
      <c r="B37">
        <v>5</v>
      </c>
      <c r="C37" s="1">
        <f>0.01*B37*D3</f>
        <v>217.62000000000003</v>
      </c>
      <c r="D37" s="1">
        <f>Gender!D16</f>
        <v>2216.6741573033705</v>
      </c>
      <c r="E37" s="7">
        <f>C37/D37</f>
        <v>9.8174104336895066E-2</v>
      </c>
    </row>
    <row r="38" spans="1:5" x14ac:dyDescent="0.25">
      <c r="A38" t="s">
        <v>65</v>
      </c>
      <c r="B38">
        <v>1.5</v>
      </c>
      <c r="C38" s="1">
        <f>0.01*B38*D3</f>
        <v>65.286000000000001</v>
      </c>
      <c r="D38" s="1">
        <f>Gender!D37</f>
        <v>18.135000000000002</v>
      </c>
      <c r="E38" s="7">
        <f>C38/D38</f>
        <v>3.5999999999999996</v>
      </c>
    </row>
    <row r="39" spans="1:5" x14ac:dyDescent="0.25">
      <c r="A39" t="s">
        <v>39</v>
      </c>
      <c r="B39">
        <f>SUM(B26:B32, B35:B38)</f>
        <v>95.8</v>
      </c>
      <c r="C39" s="1">
        <f>SUM(C26:C32,C35:C38)</f>
        <v>4169.5992000000006</v>
      </c>
      <c r="D39" s="1">
        <f>SUM(D26:D38)</f>
        <v>59542.671797752817</v>
      </c>
      <c r="E39" s="7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sqref="A1:B15"/>
    </sheetView>
  </sheetViews>
  <sheetFormatPr defaultRowHeight="15" x14ac:dyDescent="0.25"/>
  <cols>
    <col min="1" max="1" width="17.85546875" customWidth="1"/>
    <col min="3" max="3" width="10.28515625" customWidth="1"/>
    <col min="4" max="4" width="10.85546875" customWidth="1"/>
    <col min="5" max="5" width="10" customWidth="1"/>
    <col min="6" max="6" width="10.42578125" customWidth="1"/>
    <col min="7" max="7" width="11.5703125" customWidth="1"/>
    <col min="8" max="8" width="11.140625" customWidth="1"/>
    <col min="10" max="10" width="14.85546875" customWidth="1"/>
  </cols>
  <sheetData>
    <row r="1" spans="1:10" x14ac:dyDescent="0.25">
      <c r="A1" t="s">
        <v>34</v>
      </c>
      <c r="B1" t="s">
        <v>20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</row>
    <row r="2" spans="1:10" x14ac:dyDescent="0.25">
      <c r="A2" t="s">
        <v>0</v>
      </c>
      <c r="B2">
        <v>9700</v>
      </c>
      <c r="C2">
        <f>B2/B14</f>
        <v>0.38800000000000001</v>
      </c>
      <c r="D2">
        <v>0.32</v>
      </c>
      <c r="E2" s="1">
        <f t="shared" ref="E2:E13" si="0">B2*D2</f>
        <v>3104</v>
      </c>
      <c r="F2" s="1">
        <f t="shared" ref="F2:F13" si="1">B2-E2</f>
        <v>6596</v>
      </c>
      <c r="G2">
        <v>0.24</v>
      </c>
      <c r="H2" s="1">
        <f>F2*G2</f>
        <v>1583.04</v>
      </c>
      <c r="I2" s="1">
        <f>F2-H2</f>
        <v>5012.96</v>
      </c>
      <c r="J2" t="s">
        <v>32</v>
      </c>
    </row>
    <row r="3" spans="1:10" x14ac:dyDescent="0.25">
      <c r="A3" t="s">
        <v>1</v>
      </c>
      <c r="B3">
        <v>1300</v>
      </c>
      <c r="C3">
        <f>B3/B14</f>
        <v>5.1999999999999998E-2</v>
      </c>
      <c r="D3">
        <v>0.67</v>
      </c>
      <c r="E3" s="1">
        <f t="shared" si="0"/>
        <v>871</v>
      </c>
      <c r="F3" s="1">
        <f t="shared" si="1"/>
        <v>429</v>
      </c>
      <c r="H3" s="1"/>
    </row>
    <row r="4" spans="1:10" x14ac:dyDescent="0.25">
      <c r="A4" t="s">
        <v>2</v>
      </c>
      <c r="B4">
        <v>16600</v>
      </c>
      <c r="D4">
        <v>0.15</v>
      </c>
      <c r="E4" s="1">
        <f t="shared" si="0"/>
        <v>2490</v>
      </c>
      <c r="F4" s="1">
        <f t="shared" si="1"/>
        <v>14110</v>
      </c>
      <c r="G4">
        <v>0.11</v>
      </c>
      <c r="H4" s="1">
        <f>F4*G4</f>
        <v>1552.1</v>
      </c>
      <c r="I4" s="1">
        <f>F4-H4</f>
        <v>12557.9</v>
      </c>
      <c r="J4" t="s">
        <v>2</v>
      </c>
    </row>
    <row r="5" spans="1:10" x14ac:dyDescent="0.25">
      <c r="A5" t="s">
        <v>3</v>
      </c>
      <c r="B5">
        <v>1500</v>
      </c>
      <c r="C5">
        <f>B5/B14</f>
        <v>0.06</v>
      </c>
      <c r="D5">
        <v>0.67</v>
      </c>
      <c r="E5" s="1">
        <f t="shared" si="0"/>
        <v>1005.0000000000001</v>
      </c>
      <c r="F5" s="1">
        <f t="shared" si="1"/>
        <v>494.99999999999989</v>
      </c>
      <c r="H5" s="1"/>
    </row>
    <row r="6" spans="1:10" x14ac:dyDescent="0.25">
      <c r="A6" t="s">
        <v>4</v>
      </c>
      <c r="B6">
        <v>290</v>
      </c>
      <c r="C6">
        <f>B6/B14</f>
        <v>1.1599999999999999E-2</v>
      </c>
      <c r="D6">
        <v>0.67</v>
      </c>
      <c r="E6" s="1">
        <f t="shared" si="0"/>
        <v>194.3</v>
      </c>
      <c r="F6" s="1">
        <f t="shared" si="1"/>
        <v>95.699999999999989</v>
      </c>
      <c r="H6" s="1"/>
    </row>
    <row r="7" spans="1:10" x14ac:dyDescent="0.25">
      <c r="A7" t="s">
        <v>5</v>
      </c>
      <c r="B7">
        <v>260</v>
      </c>
      <c r="C7">
        <f>B7/B14</f>
        <v>1.04E-2</v>
      </c>
      <c r="D7">
        <v>0.67</v>
      </c>
      <c r="E7" s="1">
        <f t="shared" si="0"/>
        <v>174.20000000000002</v>
      </c>
      <c r="F7" s="1">
        <f t="shared" si="1"/>
        <v>85.799999999999983</v>
      </c>
      <c r="G7">
        <v>0.3</v>
      </c>
      <c r="H7" s="1">
        <f>F7*G7</f>
        <v>25.739999999999995</v>
      </c>
      <c r="I7" s="1">
        <f>F7-H7</f>
        <v>60.059999999999988</v>
      </c>
      <c r="J7" t="s">
        <v>33</v>
      </c>
    </row>
    <row r="8" spans="1:10" x14ac:dyDescent="0.25">
      <c r="A8" t="s">
        <v>6</v>
      </c>
      <c r="B8">
        <v>1750</v>
      </c>
      <c r="C8">
        <f>B8/B14</f>
        <v>7.0000000000000007E-2</v>
      </c>
      <c r="D8">
        <v>0.67</v>
      </c>
      <c r="E8" s="1">
        <f t="shared" si="0"/>
        <v>1172.5</v>
      </c>
      <c r="F8" s="1">
        <f t="shared" si="1"/>
        <v>577.5</v>
      </c>
      <c r="H8" s="1"/>
    </row>
    <row r="9" spans="1:10" x14ac:dyDescent="0.25">
      <c r="A9" t="s">
        <v>7</v>
      </c>
      <c r="B9">
        <v>4100</v>
      </c>
      <c r="C9">
        <f>B9/B14</f>
        <v>0.16400000000000001</v>
      </c>
      <c r="D9">
        <v>0.67</v>
      </c>
      <c r="E9" s="1">
        <f t="shared" si="0"/>
        <v>2747</v>
      </c>
      <c r="F9" s="1">
        <f t="shared" si="1"/>
        <v>1353</v>
      </c>
      <c r="H9" s="1"/>
    </row>
    <row r="10" spans="1:10" x14ac:dyDescent="0.25">
      <c r="A10" t="s">
        <v>8</v>
      </c>
      <c r="B10">
        <v>3500</v>
      </c>
      <c r="C10">
        <f>B10/B14</f>
        <v>0.14000000000000001</v>
      </c>
      <c r="D10">
        <v>0.79</v>
      </c>
      <c r="E10" s="1">
        <f t="shared" si="0"/>
        <v>2765</v>
      </c>
      <c r="F10" s="1">
        <f t="shared" si="1"/>
        <v>735</v>
      </c>
      <c r="G10">
        <v>0.5</v>
      </c>
      <c r="H10" s="1">
        <f>F10*G10</f>
        <v>367.5</v>
      </c>
      <c r="I10" s="1">
        <f>F10-H10</f>
        <v>367.5</v>
      </c>
      <c r="J10" t="s">
        <v>33</v>
      </c>
    </row>
    <row r="11" spans="1:10" x14ac:dyDescent="0.25">
      <c r="A11" t="s">
        <v>9</v>
      </c>
      <c r="B11">
        <v>50</v>
      </c>
      <c r="C11">
        <f>B11/B14</f>
        <v>2E-3</v>
      </c>
      <c r="D11">
        <v>0.67</v>
      </c>
      <c r="E11" s="1">
        <f t="shared" si="0"/>
        <v>33.5</v>
      </c>
      <c r="F11" s="1">
        <f t="shared" si="1"/>
        <v>16.5</v>
      </c>
      <c r="G11">
        <v>0.3</v>
      </c>
      <c r="H11" s="1">
        <f>F11*G11</f>
        <v>4.95</v>
      </c>
      <c r="I11" s="1">
        <f>F11-H11</f>
        <v>11.55</v>
      </c>
      <c r="J11" t="s">
        <v>33</v>
      </c>
    </row>
    <row r="12" spans="1:10" x14ac:dyDescent="0.25">
      <c r="A12" t="s">
        <v>10</v>
      </c>
      <c r="B12">
        <v>27000</v>
      </c>
      <c r="D12">
        <v>0.79</v>
      </c>
      <c r="E12" s="1">
        <f t="shared" si="0"/>
        <v>21330</v>
      </c>
      <c r="F12" s="1">
        <f t="shared" si="1"/>
        <v>5670</v>
      </c>
      <c r="G12">
        <v>0.5</v>
      </c>
      <c r="H12" s="1">
        <f>F12*G12</f>
        <v>2835</v>
      </c>
      <c r="I12" s="1">
        <f>F12-H12</f>
        <v>2835</v>
      </c>
      <c r="J12" t="s">
        <v>33</v>
      </c>
    </row>
    <row r="13" spans="1:10" x14ac:dyDescent="0.25">
      <c r="A13" t="s">
        <v>11</v>
      </c>
      <c r="B13">
        <v>2550</v>
      </c>
      <c r="C13">
        <f>B13/B14</f>
        <v>0.10199999999999999</v>
      </c>
      <c r="D13">
        <v>0.67</v>
      </c>
      <c r="E13" s="1">
        <f t="shared" si="0"/>
        <v>1708.5</v>
      </c>
      <c r="F13" s="1">
        <f t="shared" si="1"/>
        <v>841.5</v>
      </c>
    </row>
    <row r="14" spans="1:10" x14ac:dyDescent="0.25">
      <c r="A14" t="s">
        <v>12</v>
      </c>
      <c r="B14">
        <f>SUM(B2,B3,B5:B11,B13)</f>
        <v>25000</v>
      </c>
      <c r="C14">
        <f>SUM(C2:C3,C5:C11,C13)</f>
        <v>1.0000000000000002</v>
      </c>
    </row>
    <row r="15" spans="1:10" x14ac:dyDescent="0.25">
      <c r="A15" t="s">
        <v>13</v>
      </c>
      <c r="B15">
        <f>SUM(B2:B13)</f>
        <v>68600</v>
      </c>
      <c r="E15" s="1">
        <f>SUM(E2:E13)</f>
        <v>37595</v>
      </c>
      <c r="F15" s="1">
        <f>SUM(F2:F13)</f>
        <v>31005</v>
      </c>
    </row>
    <row r="17" spans="1:3" x14ac:dyDescent="0.25">
      <c r="A17" t="s">
        <v>14</v>
      </c>
      <c r="B17">
        <v>5600</v>
      </c>
      <c r="C17">
        <v>0.44</v>
      </c>
    </row>
    <row r="18" spans="1:3" x14ac:dyDescent="0.25">
      <c r="A18" t="s">
        <v>21</v>
      </c>
      <c r="B18">
        <f>B17*(1-C17)</f>
        <v>3136.0000000000005</v>
      </c>
    </row>
    <row r="19" spans="1:3" x14ac:dyDescent="0.25">
      <c r="A19" t="s">
        <v>22</v>
      </c>
      <c r="B19">
        <f>B17*C17</f>
        <v>2464</v>
      </c>
    </row>
    <row r="20" spans="1:3" x14ac:dyDescent="0.25">
      <c r="A20" t="s">
        <v>23</v>
      </c>
      <c r="B20" s="1">
        <f>B19*C20</f>
        <v>1626.24</v>
      </c>
      <c r="C20">
        <v>0.66</v>
      </c>
    </row>
    <row r="21" spans="1:3" x14ac:dyDescent="0.25">
      <c r="A21" t="s">
        <v>24</v>
      </c>
      <c r="B21" s="1">
        <f>B19*C21</f>
        <v>837.7600000000001</v>
      </c>
      <c r="C21">
        <v>0.34</v>
      </c>
    </row>
    <row r="22" spans="1:3" x14ac:dyDescent="0.25">
      <c r="A22" t="s">
        <v>15</v>
      </c>
      <c r="B22">
        <v>0</v>
      </c>
    </row>
    <row r="23" spans="1:3" x14ac:dyDescent="0.25">
      <c r="A23" t="s">
        <v>16</v>
      </c>
      <c r="B23">
        <v>0</v>
      </c>
    </row>
    <row r="24" spans="1:3" x14ac:dyDescent="0.25">
      <c r="A24" t="s">
        <v>17</v>
      </c>
      <c r="B24">
        <v>1000</v>
      </c>
    </row>
    <row r="25" spans="1:3" x14ac:dyDescent="0.25">
      <c r="A25" t="s">
        <v>18</v>
      </c>
      <c r="B25">
        <f>SUM(B17,B22:B24)</f>
        <v>6600</v>
      </c>
    </row>
    <row r="27" spans="1:3" x14ac:dyDescent="0.25">
      <c r="A27" t="s">
        <v>19</v>
      </c>
      <c r="B27">
        <f>B15+B25</f>
        <v>75200</v>
      </c>
    </row>
  </sheetData>
  <pageMargins left="0.7" right="0.7" top="0.75" bottom="0.75" header="0.3" footer="0.3"/>
  <pageSetup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D24" sqref="D24"/>
    </sheetView>
  </sheetViews>
  <sheetFormatPr defaultRowHeight="15" x14ac:dyDescent="0.25"/>
  <cols>
    <col min="1" max="1" width="18.42578125" customWidth="1"/>
    <col min="2" max="2" width="9.85546875" customWidth="1"/>
    <col min="4" max="4" width="12.7109375" customWidth="1"/>
  </cols>
  <sheetData>
    <row r="1" spans="1:4" x14ac:dyDescent="0.25">
      <c r="A1" t="s">
        <v>34</v>
      </c>
      <c r="B1" t="s">
        <v>20</v>
      </c>
      <c r="C1" t="s">
        <v>35</v>
      </c>
      <c r="D1" t="s">
        <v>40</v>
      </c>
    </row>
    <row r="2" spans="1:4" x14ac:dyDescent="0.25">
      <c r="A2" t="s">
        <v>0</v>
      </c>
      <c r="B2">
        <v>9700</v>
      </c>
      <c r="C2">
        <v>90</v>
      </c>
      <c r="D2" s="3">
        <f>C2/B2</f>
        <v>9.2783505154639175E-3</v>
      </c>
    </row>
    <row r="3" spans="1:4" x14ac:dyDescent="0.25">
      <c r="A3" t="s">
        <v>1</v>
      </c>
      <c r="B3">
        <v>1300</v>
      </c>
      <c r="C3">
        <v>240</v>
      </c>
      <c r="D3" s="3">
        <f>C3/B3</f>
        <v>0.18461538461538463</v>
      </c>
    </row>
    <row r="4" spans="1:4" x14ac:dyDescent="0.25">
      <c r="A4" t="s">
        <v>2</v>
      </c>
      <c r="B4">
        <v>16600</v>
      </c>
      <c r="C4">
        <v>30</v>
      </c>
      <c r="D4" s="3">
        <f>C4/B4</f>
        <v>1.8072289156626507E-3</v>
      </c>
    </row>
    <row r="5" spans="1:4" x14ac:dyDescent="0.25">
      <c r="A5" t="s">
        <v>3</v>
      </c>
      <c r="B5">
        <v>1500</v>
      </c>
      <c r="C5">
        <v>120</v>
      </c>
      <c r="D5" s="3">
        <f>C5/B5</f>
        <v>0.08</v>
      </c>
    </row>
    <row r="6" spans="1:4" x14ac:dyDescent="0.25">
      <c r="A6" t="s">
        <v>4</v>
      </c>
      <c r="B6">
        <v>290</v>
      </c>
      <c r="C6">
        <v>110</v>
      </c>
      <c r="D6" s="3">
        <f>C6/B6</f>
        <v>0.37931034482758619</v>
      </c>
    </row>
    <row r="7" spans="1:4" x14ac:dyDescent="0.25">
      <c r="A7" s="2" t="s">
        <v>36</v>
      </c>
      <c r="C7">
        <v>50</v>
      </c>
      <c r="D7" s="3">
        <f>C7/B6</f>
        <v>0.17241379310344829</v>
      </c>
    </row>
    <row r="8" spans="1:4" x14ac:dyDescent="0.25">
      <c r="A8" s="2" t="s">
        <v>37</v>
      </c>
      <c r="C8">
        <v>60</v>
      </c>
      <c r="D8" s="3">
        <f>C8/B6</f>
        <v>0.20689655172413793</v>
      </c>
    </row>
    <row r="9" spans="1:4" x14ac:dyDescent="0.25">
      <c r="A9" t="s">
        <v>5</v>
      </c>
      <c r="B9">
        <v>260</v>
      </c>
      <c r="C9">
        <v>130</v>
      </c>
      <c r="D9" s="3">
        <f>C9/B9</f>
        <v>0.5</v>
      </c>
    </row>
    <row r="10" spans="1:4" x14ac:dyDescent="0.25">
      <c r="A10" s="2" t="s">
        <v>36</v>
      </c>
      <c r="C10">
        <v>20</v>
      </c>
      <c r="D10" s="3">
        <f>C10/B9</f>
        <v>7.6923076923076927E-2</v>
      </c>
    </row>
    <row r="11" spans="1:4" x14ac:dyDescent="0.25">
      <c r="A11" s="2" t="s">
        <v>38</v>
      </c>
      <c r="C11">
        <v>110</v>
      </c>
      <c r="D11" s="3">
        <f>C11/B9</f>
        <v>0.42307692307692307</v>
      </c>
    </row>
    <row r="12" spans="1:4" x14ac:dyDescent="0.25">
      <c r="A12" t="s">
        <v>6</v>
      </c>
      <c r="B12">
        <v>1750</v>
      </c>
      <c r="C12">
        <v>190</v>
      </c>
      <c r="D12" s="3">
        <f>C12/B12</f>
        <v>0.10857142857142857</v>
      </c>
    </row>
    <row r="13" spans="1:4" x14ac:dyDescent="0.25">
      <c r="A13" t="s">
        <v>7</v>
      </c>
      <c r="B13">
        <v>4100</v>
      </c>
      <c r="C13">
        <v>50</v>
      </c>
      <c r="D13" s="3">
        <f>C13/B13</f>
        <v>1.2195121951219513E-2</v>
      </c>
    </row>
    <row r="14" spans="1:4" x14ac:dyDescent="0.25">
      <c r="A14" t="s">
        <v>8</v>
      </c>
      <c r="B14">
        <v>3500</v>
      </c>
      <c r="C14">
        <v>30</v>
      </c>
      <c r="D14" s="3">
        <f>C14/B14</f>
        <v>8.5714285714285719E-3</v>
      </c>
    </row>
    <row r="15" spans="1:4" x14ac:dyDescent="0.25">
      <c r="A15" s="2" t="s">
        <v>36</v>
      </c>
      <c r="C15">
        <v>10</v>
      </c>
      <c r="D15" s="3">
        <f>C15/B14</f>
        <v>2.8571428571428571E-3</v>
      </c>
    </row>
    <row r="16" spans="1:4" x14ac:dyDescent="0.25">
      <c r="A16" s="2" t="s">
        <v>38</v>
      </c>
      <c r="C16">
        <v>20</v>
      </c>
      <c r="D16" s="3">
        <f>C16/B14</f>
        <v>5.7142857142857143E-3</v>
      </c>
    </row>
    <row r="17" spans="1:4" x14ac:dyDescent="0.25">
      <c r="A17" t="s">
        <v>9</v>
      </c>
      <c r="B17">
        <v>50</v>
      </c>
      <c r="C17">
        <v>25</v>
      </c>
      <c r="D17" s="3">
        <f>C17/B17</f>
        <v>0.5</v>
      </c>
    </row>
    <row r="18" spans="1:4" x14ac:dyDescent="0.25">
      <c r="A18" s="2" t="s">
        <v>36</v>
      </c>
      <c r="C18">
        <v>3</v>
      </c>
      <c r="D18" s="3">
        <f>C18/B17</f>
        <v>0.06</v>
      </c>
    </row>
    <row r="19" spans="1:4" x14ac:dyDescent="0.25">
      <c r="A19" s="2" t="s">
        <v>38</v>
      </c>
      <c r="C19">
        <v>22</v>
      </c>
      <c r="D19" s="3">
        <f>C19/B17</f>
        <v>0.44</v>
      </c>
    </row>
    <row r="20" spans="1:4" x14ac:dyDescent="0.25">
      <c r="A20" t="s">
        <v>10</v>
      </c>
      <c r="B20">
        <v>27000</v>
      </c>
      <c r="C20">
        <v>140</v>
      </c>
      <c r="D20" s="3">
        <f>C20/B20</f>
        <v>5.185185185185185E-3</v>
      </c>
    </row>
    <row r="21" spans="1:4" x14ac:dyDescent="0.25">
      <c r="A21" s="2" t="s">
        <v>36</v>
      </c>
      <c r="C21">
        <v>140</v>
      </c>
      <c r="D21" s="3">
        <f>C21/B20</f>
        <v>5.185185185185185E-3</v>
      </c>
    </row>
    <row r="22" spans="1:4" x14ac:dyDescent="0.25">
      <c r="A22" t="s">
        <v>11</v>
      </c>
      <c r="B22">
        <v>2550</v>
      </c>
      <c r="C22">
        <v>40</v>
      </c>
      <c r="D22" s="3">
        <f>C22/B22</f>
        <v>1.5686274509803921E-2</v>
      </c>
    </row>
    <row r="23" spans="1:4" x14ac:dyDescent="0.25">
      <c r="A23" s="2" t="s">
        <v>39</v>
      </c>
      <c r="B23">
        <f>SUM(B2:B22)</f>
        <v>68600</v>
      </c>
      <c r="C23">
        <f>SUM(C2:C6,C9,C12:C14,C17,C20,C22)</f>
        <v>1195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D2" sqref="D2:D23"/>
    </sheetView>
  </sheetViews>
  <sheetFormatPr defaultRowHeight="15" x14ac:dyDescent="0.25"/>
  <cols>
    <col min="1" max="1" width="18.85546875" customWidth="1"/>
    <col min="2" max="2" width="10" customWidth="1"/>
    <col min="3" max="3" width="12.7109375" customWidth="1"/>
    <col min="4" max="4" width="16.7109375" customWidth="1"/>
  </cols>
  <sheetData>
    <row r="1" spans="1:4" x14ac:dyDescent="0.25">
      <c r="A1" t="s">
        <v>34</v>
      </c>
      <c r="B1" t="s">
        <v>20</v>
      </c>
      <c r="C1" t="s">
        <v>49</v>
      </c>
      <c r="D1" t="s">
        <v>52</v>
      </c>
    </row>
    <row r="2" spans="1:4" x14ac:dyDescent="0.25">
      <c r="A2" t="s">
        <v>0</v>
      </c>
      <c r="B2">
        <v>9700</v>
      </c>
      <c r="C2">
        <v>4.7</v>
      </c>
      <c r="D2" s="4">
        <f>C2/B2</f>
        <v>4.8453608247422681E-4</v>
      </c>
    </row>
    <row r="3" spans="1:4" x14ac:dyDescent="0.25">
      <c r="A3" t="s">
        <v>1</v>
      </c>
      <c r="B3">
        <v>1300</v>
      </c>
      <c r="C3">
        <v>9.1</v>
      </c>
      <c r="D3" s="4">
        <f>C3/B3</f>
        <v>7.0000000000000001E-3</v>
      </c>
    </row>
    <row r="4" spans="1:4" x14ac:dyDescent="0.25">
      <c r="A4" t="s">
        <v>2</v>
      </c>
      <c r="B4">
        <v>16600</v>
      </c>
      <c r="C4">
        <v>2.7</v>
      </c>
      <c r="D4" s="4">
        <f>C4/B4</f>
        <v>1.6265060240963855E-4</v>
      </c>
    </row>
    <row r="5" spans="1:4" x14ac:dyDescent="0.25">
      <c r="A5" t="s">
        <v>3</v>
      </c>
      <c r="B5">
        <v>1500</v>
      </c>
      <c r="C5">
        <v>10</v>
      </c>
      <c r="D5" s="4">
        <f>C5/B5</f>
        <v>6.6666666666666671E-3</v>
      </c>
    </row>
    <row r="6" spans="1:4" x14ac:dyDescent="0.25">
      <c r="A6" t="s">
        <v>4</v>
      </c>
      <c r="B6">
        <v>290</v>
      </c>
      <c r="C6">
        <v>13.9</v>
      </c>
      <c r="D6" s="4">
        <f>C6/B6</f>
        <v>4.7931034482758622E-2</v>
      </c>
    </row>
    <row r="7" spans="1:4" x14ac:dyDescent="0.25">
      <c r="A7" s="2" t="s">
        <v>41</v>
      </c>
      <c r="C7">
        <v>600</v>
      </c>
      <c r="D7" s="4">
        <f>C7/B6</f>
        <v>2.0689655172413794</v>
      </c>
    </row>
    <row r="8" spans="1:4" x14ac:dyDescent="0.25">
      <c r="A8" s="2" t="s">
        <v>42</v>
      </c>
      <c r="C8">
        <v>37.299999999999997</v>
      </c>
      <c r="D8" s="4">
        <f>C8/B6</f>
        <v>0.1286206896551724</v>
      </c>
    </row>
    <row r="9" spans="1:4" x14ac:dyDescent="0.25">
      <c r="A9" s="2" t="s">
        <v>43</v>
      </c>
      <c r="C9">
        <v>23</v>
      </c>
      <c r="D9" s="4">
        <f>C9/B6</f>
        <v>7.9310344827586213E-2</v>
      </c>
    </row>
    <row r="10" spans="1:4" x14ac:dyDescent="0.25">
      <c r="A10" t="s">
        <v>5</v>
      </c>
      <c r="B10">
        <v>260</v>
      </c>
      <c r="C10">
        <v>2.1</v>
      </c>
      <c r="D10" s="4">
        <f>C10/B10</f>
        <v>8.076923076923077E-3</v>
      </c>
    </row>
    <row r="11" spans="1:4" x14ac:dyDescent="0.25">
      <c r="A11" s="2" t="s">
        <v>44</v>
      </c>
      <c r="C11">
        <v>50</v>
      </c>
      <c r="D11" s="4">
        <f>C11/B10</f>
        <v>0.19230769230769232</v>
      </c>
    </row>
    <row r="12" spans="1:4" x14ac:dyDescent="0.25">
      <c r="A12" s="2" t="s">
        <v>45</v>
      </c>
      <c r="C12">
        <v>2.2000000000000002</v>
      </c>
      <c r="D12" s="4">
        <f>C12/B10</f>
        <v>8.461538461538463E-3</v>
      </c>
    </row>
    <row r="13" spans="1:4" x14ac:dyDescent="0.25">
      <c r="A13" t="s">
        <v>6</v>
      </c>
      <c r="B13">
        <v>1750</v>
      </c>
      <c r="C13" t="s">
        <v>50</v>
      </c>
      <c r="D13" s="4"/>
    </row>
    <row r="14" spans="1:4" x14ac:dyDescent="0.25">
      <c r="A14" s="2" t="s">
        <v>46</v>
      </c>
      <c r="C14">
        <v>2.8</v>
      </c>
      <c r="D14" s="4">
        <f>C14/B13</f>
        <v>1.5999999999999999E-3</v>
      </c>
    </row>
    <row r="15" spans="1:4" x14ac:dyDescent="0.25">
      <c r="A15" s="2" t="s">
        <v>47</v>
      </c>
      <c r="C15" t="s">
        <v>51</v>
      </c>
      <c r="D15" s="4"/>
    </row>
    <row r="16" spans="1:4" x14ac:dyDescent="0.25">
      <c r="A16" s="2" t="s">
        <v>48</v>
      </c>
      <c r="C16">
        <v>178</v>
      </c>
      <c r="D16" s="4">
        <f>C16/B13</f>
        <v>0.10171428571428572</v>
      </c>
    </row>
    <row r="17" spans="1:4" x14ac:dyDescent="0.25">
      <c r="A17" t="s">
        <v>7</v>
      </c>
      <c r="B17">
        <v>4100</v>
      </c>
      <c r="C17">
        <v>4.2</v>
      </c>
      <c r="D17" s="4">
        <f>C17/B17</f>
        <v>1.0243902439024391E-3</v>
      </c>
    </row>
    <row r="18" spans="1:4" x14ac:dyDescent="0.25">
      <c r="A18" t="s">
        <v>8</v>
      </c>
      <c r="B18">
        <v>3500</v>
      </c>
      <c r="C18">
        <v>1.1000000000000001</v>
      </c>
      <c r="D18" s="4">
        <f>C18/B18</f>
        <v>3.1428571428571432E-4</v>
      </c>
    </row>
    <row r="19" spans="1:4" x14ac:dyDescent="0.25">
      <c r="A19" t="s">
        <v>9</v>
      </c>
      <c r="B19">
        <v>50</v>
      </c>
      <c r="C19">
        <v>0.39</v>
      </c>
      <c r="D19" s="4">
        <f>C19/B19</f>
        <v>7.8000000000000005E-3</v>
      </c>
    </row>
    <row r="20" spans="1:4" x14ac:dyDescent="0.25">
      <c r="A20" s="2" t="s">
        <v>44</v>
      </c>
      <c r="C20">
        <v>10</v>
      </c>
      <c r="D20" s="4">
        <f>C20/B19</f>
        <v>0.2</v>
      </c>
    </row>
    <row r="21" spans="1:4" x14ac:dyDescent="0.25">
      <c r="A21" s="2" t="s">
        <v>45</v>
      </c>
      <c r="C21">
        <v>0.4</v>
      </c>
      <c r="D21" s="4">
        <f>C21/B19</f>
        <v>8.0000000000000002E-3</v>
      </c>
    </row>
    <row r="22" spans="1:4" x14ac:dyDescent="0.25">
      <c r="A22" t="s">
        <v>10</v>
      </c>
      <c r="B22">
        <v>27000</v>
      </c>
      <c r="C22">
        <v>7.2</v>
      </c>
      <c r="D22" s="4">
        <f>C22/B22</f>
        <v>2.6666666666666668E-4</v>
      </c>
    </row>
    <row r="23" spans="1:4" x14ac:dyDescent="0.25">
      <c r="A23" t="s">
        <v>11</v>
      </c>
      <c r="B23">
        <v>2550</v>
      </c>
      <c r="C23">
        <v>1.6</v>
      </c>
      <c r="D23" s="4">
        <f>C23/B23</f>
        <v>6.2745098039215688E-4</v>
      </c>
    </row>
    <row r="24" spans="1:4" x14ac:dyDescent="0.25">
      <c r="A24" t="s">
        <v>12</v>
      </c>
      <c r="B24">
        <f>SUM(B2,B3,B5:B19,B23)</f>
        <v>25000</v>
      </c>
    </row>
    <row r="25" spans="1:4" x14ac:dyDescent="0.25">
      <c r="A25" t="s">
        <v>13</v>
      </c>
      <c r="B25">
        <f>SUM(B2:B23)</f>
        <v>68600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Organ Mass</vt:lpstr>
      <vt:lpstr>Gender</vt:lpstr>
      <vt:lpstr>Blood Pressures</vt:lpstr>
      <vt:lpstr>Organ Blood Flow</vt:lpstr>
      <vt:lpstr>Mass</vt:lpstr>
      <vt:lpstr>Calories</vt:lpstr>
      <vt:lpstr>Vascular Conductance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Coleman</dc:creator>
  <cp:lastModifiedBy>Tom Coleman</cp:lastModifiedBy>
  <cp:lastPrinted>2012-02-06T19:04:10Z</cp:lastPrinted>
  <dcterms:created xsi:type="dcterms:W3CDTF">2012-02-04T15:43:29Z</dcterms:created>
  <dcterms:modified xsi:type="dcterms:W3CDTF">2012-02-06T21:32:04Z</dcterms:modified>
</cp:coreProperties>
</file>