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 tabRatio="627" firstSheet="7" activeTab="9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Flows &amp; Conductances" sheetId="10" r:id="rId8"/>
    <sheet name="Cardiac Output" sheetId="13" r:id="rId9"/>
    <sheet name="Blood Volume" sheetId="12" r:id="rId10"/>
    <sheet name="Calories Used" sheetId="2" r:id="rId11"/>
  </sheets>
  <definedNames>
    <definedName name="AdrenalMassFemale">'Organ Mass - Female'!$D$29</definedName>
    <definedName name="AdrenalMassMale">'Organ Mass - Male'!$C$35</definedName>
    <definedName name="AfferentArtyGradient">'Pressure Gradients'!$D$8</definedName>
    <definedName name="ArcuateArtyGradient">'Pressure Gradients'!$D$7</definedName>
    <definedName name="ArcuateArtyPressure">'Blood Pressures'!$B$7</definedName>
    <definedName name="BaseFlowFemale">'Organ Blood Flow'!$H$23</definedName>
    <definedName name="BaseFlowGFemale">'Organ Blood Flow'!$J$23</definedName>
    <definedName name="BaseFlowGMale">'Organ Blood Flow'!$E$23</definedName>
    <definedName name="BaseFlowMale">'Organ Blood Flow'!$C$23</definedName>
    <definedName name="BaseMassFemale">'Organ Mass - Female'!$D$16</definedName>
    <definedName name="BaseMassMale">'Organ Mass - Male'!$C$16</definedName>
    <definedName name="BloodMass">'Organ Mass - Male'!$C$19</definedName>
    <definedName name="BodyMassFemale">'Body Mass'!$B$5</definedName>
    <definedName name="BodyMassMale">'Body Mass'!$B$4</definedName>
    <definedName name="BoneFlowFemale">'Organ Blood Flow'!$H$11</definedName>
    <definedName name="BoneFlowMale">'Organ Blood Flow'!$C$11</definedName>
    <definedName name="BoneMassFemale">'Organ Mass - Female'!$D$4</definedName>
    <definedName name="BoneMassMale">'Organ Mass - Male'!$C$4</definedName>
    <definedName name="BrainFlowFemale">'Organ Blood Flow'!$H$12</definedName>
    <definedName name="BrainFlowMale">'Organ Blood Flow'!$C$12</definedName>
    <definedName name="BrainMassFemale">'Organ Mass - Female'!$D$5</definedName>
    <definedName name="BrainMassMale">'Organ Mass - Male'!$C$5</definedName>
    <definedName name="CardiacOutputFemale">'Organ Blood Flow'!$D$5</definedName>
    <definedName name="CardiacOutputMale">'Organ Blood Flow'!$D$4</definedName>
    <definedName name="CoronaryGradient">'Pressure Gradients'!$D$6</definedName>
    <definedName name="CoronarySinusOutflow">'Flows &amp; Conductances'!$B$30</definedName>
    <definedName name="EfferentArtyGradient">'Pressure Gradients'!$D$9</definedName>
    <definedName name="FatFlowFemale">'Organ Blood Flow'!$H$9</definedName>
    <definedName name="FatFlowGFemale">'Organ Blood Flow'!$J$9</definedName>
    <definedName name="FatFlowGMale">'Organ Blood Flow'!$E$9</definedName>
    <definedName name="FatFlowMale">'Organ Blood Flow'!$C$9</definedName>
    <definedName name="FatMassFemale">'Organ Mass - Female'!$D$6</definedName>
    <definedName name="FatMassMale">'Organ Mass - Male'!$C$6</definedName>
    <definedName name="FluidsMass">'Organ Mass - Male'!$C$23</definedName>
    <definedName name="GIFlowFemale">'Organ Blood Flow'!$H$13</definedName>
    <definedName name="GIFlowMale">'Organ Blood Flow'!$C$13</definedName>
    <definedName name="GIMassFemale">'Organ Mass - Female'!$D$7</definedName>
    <definedName name="GIMassMale">'Organ Mass - Male'!$C$7</definedName>
    <definedName name="GITractGradient">'Pressure Gradients'!$D$5</definedName>
    <definedName name="GlomularPressure">'Blood Pressures'!$B$8</definedName>
    <definedName name="GutH2OMass">'Organ Mass - Male'!$C$22</definedName>
    <definedName name="HeartFlowFemale">'Organ Blood Flow'!$H$14</definedName>
    <definedName name="HeartFlowMale">'Organ Blood Flow'!$C$14</definedName>
    <definedName name="HeartMassFemale">'Organ Mass - Female'!$C$21</definedName>
    <definedName name="HeartMassMale">'Organ Mass - Male'!$C$27</definedName>
    <definedName name="Hematocrit">'Organ Composition'!$B$19</definedName>
    <definedName name="HepaticArtyFlowFemale">'Organ Blood Flow'!$H$15</definedName>
    <definedName name="HepaticArtyFlowMale">'Organ Blood Flow'!$C$15</definedName>
    <definedName name="HepaticGradient">'Pressure Gradients'!$D$14</definedName>
    <definedName name="HepaticVeinOutflow">'Flows &amp; Conductances'!$B$22</definedName>
    <definedName name="KidneyFlowFemale">'Organ Blood Flow'!$H$16</definedName>
    <definedName name="KidneyFlowMale">'Organ Blood Flow'!$C$16</definedName>
    <definedName name="KidneyMassFemale">'Organ Mass - Female'!$D$8</definedName>
    <definedName name="KidneyMassMale">'Organ Mass - Male'!$C$8</definedName>
    <definedName name="LeftAtrialPressure">'Blood Pressures'!$B$18</definedName>
    <definedName name="LHeartFlowFemale">'Organ Blood Flow'!$H$27</definedName>
    <definedName name="LHeartFlowMale">'Organ Blood Flow'!$C$27</definedName>
    <definedName name="LHeartFractionFemale">'Organ Mass - Female'!$B$23</definedName>
    <definedName name="LHeartFractionMale">'Organ Mass - Male'!$B$29</definedName>
    <definedName name="LHeartLargeVesselGradient">'Pressure Gradients'!$D$10</definedName>
    <definedName name="LHeartLargeVesselPressure">'Blood Pressures'!$B$9</definedName>
    <definedName name="LHeartMassFemale">'Organ Mass - Female'!$D$9</definedName>
    <definedName name="LHeartMassMale">'Organ Mass - Male'!$C$9</definedName>
    <definedName name="LHeartSmallVesselGradient">'Pressure Gradients'!$D$11</definedName>
    <definedName name="LiverFlowFemale">'Organ Blood Flow'!$H$17</definedName>
    <definedName name="LiverFlowMale">'Organ Blood Flow'!$C$17</definedName>
    <definedName name="LiverMassFemale">'Organ Mass - Female'!$D$10</definedName>
    <definedName name="LiverMassMale">'Organ Mass - Male'!$C$10</definedName>
    <definedName name="LungH2OMass">'Organ Mass - Male'!$C$20</definedName>
    <definedName name="LungMassFemale">'Organ Mass - Female'!$D$33</definedName>
    <definedName name="LungMassMale">'Organ Mass - Male'!$C$39</definedName>
    <definedName name="MuscleFlowFemale">'Organ Blood Flow'!$H$19</definedName>
    <definedName name="MuscleFlowMale">'Organ Blood Flow'!$C$19</definedName>
    <definedName name="MuscleMassFemale">'Organ Mass - Female'!$C$25</definedName>
    <definedName name="MuscleMassMale">'Organ Mass - Male'!$C$31</definedName>
    <definedName name="OrganMassFemale">'Organ Mass - Female'!$D$17</definedName>
    <definedName name="OrganMassMale">'Organ Mass - Male'!$C$17</definedName>
    <definedName name="OtherFlowFemale">'Organ Blood Flow'!$H$33</definedName>
    <definedName name="OtherFlowMale">'Organ Blood Flow'!$C$33</definedName>
    <definedName name="OtherMassFemale">'Organ Mass - Female'!$D$11</definedName>
    <definedName name="OtherMassMale">'Organ Mass - Male'!$C$11</definedName>
    <definedName name="PeritoneumMass">'Organ Mass - Male'!$C$21</definedName>
    <definedName name="PulmArtyGradient">'Pressure Gradients'!$D$17</definedName>
    <definedName name="PulmArtyPressure">'Blood Pressures'!$B$15</definedName>
    <definedName name="PulmCapysGradient">'Pressure Gradients'!$D$18</definedName>
    <definedName name="PulmCapysPressure">'Blood Pressures'!$B$16</definedName>
    <definedName name="PulmVeinsGradient">'Pressure Gradients'!$D$19</definedName>
    <definedName name="PulmVeinsPressure">'Blood Pressures'!$B$17</definedName>
    <definedName name="RHeartFlowFemale">'Organ Blood Flow'!$H$26</definedName>
    <definedName name="RHeartFlowMale">'Organ Blood Flow'!$C$26</definedName>
    <definedName name="RHeartFractionFemale">'Organ Mass - Female'!$B$22</definedName>
    <definedName name="RHeartFractionMale">'Organ Mass - Male'!$B$28</definedName>
    <definedName name="RheartLargeVesselGradient">'Pressure Gradients'!$D$12</definedName>
    <definedName name="RHeartLargeVesselPressure">'Blood Pressures'!$B$10</definedName>
    <definedName name="RHeartMassFemale">'Organ Mass - Female'!$D$13</definedName>
    <definedName name="RHeartMassMale">'Organ Mass - Male'!$C$13</definedName>
    <definedName name="RHeartSmallVesselGradient">'Pressure Gradients'!$D$13</definedName>
    <definedName name="RightAtrialPressure">'Blood Pressures'!$B$14</definedName>
    <definedName name="RMuscleFlowFemale">'Organ Blood Flow'!$H$30</definedName>
    <definedName name="RMuscleFlowMale">'Organ Blood Flow'!$C$30</definedName>
    <definedName name="RMuscleFractionFemale">'Organ Mass - Female'!$B$26</definedName>
    <definedName name="RMuscleFractionMale">'Organ Mass - Male'!$B$32</definedName>
    <definedName name="RMuscleMassFemale">'Organ Mass - Female'!$D$12</definedName>
    <definedName name="RMuscleMassMale">'Organ Mass - Male'!$C$12</definedName>
    <definedName name="SkinFlowFemale">'Organ Blood Flow'!$H$20</definedName>
    <definedName name="SkinFlowMale">'Organ Blood Flow'!$C$20</definedName>
    <definedName name="SkinMassFemale">'Organ Mass - Female'!$D$15</definedName>
    <definedName name="SkinMassMale">'Organ Mass - Male'!$C$15</definedName>
    <definedName name="SMuscleFlowFemale">'Organ Blood Flow'!$H$31</definedName>
    <definedName name="SMuscleFlowGFemale">'Organ Blood Flow'!$J$31</definedName>
    <definedName name="SMuscleFlowGMale">'Organ Blood Flow'!$E$31</definedName>
    <definedName name="SMuscleFlowMale">'Organ Blood Flow'!$C$31</definedName>
    <definedName name="SMuscleFractionFemale">'Organ Mass - Female'!$B$27</definedName>
    <definedName name="SMuscleFractionMale">'Organ Mass - Male'!$B$33</definedName>
    <definedName name="SMuscleMassFemale">'Organ Mass - Female'!$D$14</definedName>
    <definedName name="SMuscleMassMale">'Organ Mass - Male'!$C$14</definedName>
    <definedName name="SplanchnicVeinsPressure">'Blood Pressures'!$B$13</definedName>
    <definedName name="SystemicArtysPressure">'Blood Pressures'!$B$4</definedName>
    <definedName name="SystemicGradient">'Pressure Gradients'!$D$4</definedName>
    <definedName name="SystemicVeinOutflow">'Flows &amp; Conductances'!$B$16</definedName>
    <definedName name="SystemicVeinsGradient">'Pressure Gradients'!$D$15</definedName>
    <definedName name="SystemicVeinsPressure">'Blood Pressures'!$B$12</definedName>
    <definedName name="ThyroidMassFemale">'Organ Mass - Female'!$D$36</definedName>
    <definedName name="ThyroidMassMale">'Organ Mass - Male'!$C$42</definedName>
    <definedName name="VenousReturn">'Flows &amp; Conductances'!$B$32</definedName>
  </definedNames>
  <calcPr calcId="145621"/>
</workbook>
</file>

<file path=xl/calcChain.xml><?xml version="1.0" encoding="utf-8"?>
<calcChain xmlns="http://schemas.openxmlformats.org/spreadsheetml/2006/main">
  <c r="H11" i="12" l="1"/>
  <c r="H10" i="12"/>
  <c r="H9" i="12"/>
  <c r="D11" i="12"/>
  <c r="D10" i="12"/>
  <c r="D9" i="12"/>
  <c r="H13" i="12"/>
  <c r="D13" i="12"/>
  <c r="F13" i="12"/>
  <c r="B13" i="12"/>
  <c r="F12" i="12"/>
  <c r="F11" i="12"/>
  <c r="B11" i="12"/>
  <c r="F10" i="12"/>
  <c r="B10" i="12"/>
  <c r="F9" i="12"/>
  <c r="B9" i="12"/>
  <c r="D5" i="12"/>
  <c r="D4" i="12"/>
  <c r="B5" i="12"/>
  <c r="B4" i="12"/>
  <c r="H23" i="7"/>
  <c r="C23" i="7"/>
  <c r="F8" i="13"/>
  <c r="F9" i="13"/>
  <c r="B9" i="13"/>
  <c r="B8" i="13"/>
  <c r="D7" i="13"/>
  <c r="D6" i="13"/>
  <c r="H7" i="13"/>
  <c r="H6" i="13"/>
  <c r="G6" i="13"/>
  <c r="G7" i="13"/>
  <c r="C7" i="13"/>
  <c r="C6" i="13"/>
  <c r="F7" i="13"/>
  <c r="B7" i="13"/>
  <c r="F6" i="13"/>
  <c r="B6" i="13"/>
  <c r="F5" i="13"/>
  <c r="B5" i="13"/>
  <c r="H9" i="13"/>
  <c r="D9" i="13"/>
  <c r="I23" i="7"/>
  <c r="D23" i="7"/>
  <c r="B24" i="2"/>
  <c r="B22" i="2"/>
  <c r="B19" i="2"/>
  <c r="B16" i="2"/>
  <c r="B15" i="2"/>
  <c r="B14" i="2"/>
  <c r="B11" i="2"/>
  <c r="B8" i="2"/>
  <c r="B6" i="2"/>
  <c r="B5" i="2"/>
  <c r="B4" i="2"/>
  <c r="F29" i="10"/>
  <c r="F28" i="10"/>
  <c r="F26" i="10"/>
  <c r="F25" i="10"/>
  <c r="D29" i="10"/>
  <c r="D28" i="10"/>
  <c r="D26" i="10"/>
  <c r="D25" i="10"/>
  <c r="C13" i="9"/>
  <c r="C11" i="9"/>
  <c r="C28" i="10"/>
  <c r="C25" i="10"/>
  <c r="F11" i="10"/>
  <c r="F10" i="10"/>
  <c r="F9" i="10"/>
  <c r="D11" i="10"/>
  <c r="D10" i="10"/>
  <c r="D9" i="10"/>
  <c r="C11" i="10"/>
  <c r="C10" i="10"/>
  <c r="C9" i="10"/>
  <c r="B13" i="9"/>
  <c r="C12" i="9"/>
  <c r="B11" i="9"/>
  <c r="C10" i="9"/>
  <c r="D10" i="9" s="1"/>
  <c r="C9" i="9"/>
  <c r="B9" i="9"/>
  <c r="C8" i="9"/>
  <c r="B8" i="9"/>
  <c r="C7" i="9"/>
  <c r="D7" i="9" s="1"/>
  <c r="D12" i="9"/>
  <c r="B12" i="9"/>
  <c r="B10" i="9"/>
  <c r="B7" i="9"/>
  <c r="D10" i="6"/>
  <c r="D9" i="6"/>
  <c r="D8" i="6"/>
  <c r="D7" i="6"/>
  <c r="C10" i="6"/>
  <c r="C9" i="6"/>
  <c r="C8" i="6"/>
  <c r="C7" i="6"/>
  <c r="B10" i="6"/>
  <c r="B9" i="6"/>
  <c r="B7" i="6"/>
  <c r="H12" i="12" l="1"/>
  <c r="D12" i="12"/>
  <c r="B12" i="12"/>
  <c r="D13" i="9"/>
  <c r="C29" i="10" s="1"/>
  <c r="D11" i="9"/>
  <c r="C26" i="10" s="1"/>
  <c r="D9" i="9"/>
  <c r="D8" i="9"/>
  <c r="E27" i="10"/>
  <c r="E24" i="10"/>
  <c r="E20" i="10"/>
  <c r="E18" i="10"/>
  <c r="E15" i="10"/>
  <c r="E14" i="10"/>
  <c r="E13" i="10"/>
  <c r="E12" i="10"/>
  <c r="E8" i="10"/>
  <c r="E7" i="10"/>
  <c r="E6" i="10"/>
  <c r="E5" i="10"/>
  <c r="B27" i="10"/>
  <c r="B24" i="10"/>
  <c r="B22" i="10"/>
  <c r="B19" i="10"/>
  <c r="B18" i="10"/>
  <c r="B20" i="10" s="1"/>
  <c r="B15" i="10"/>
  <c r="B14" i="10"/>
  <c r="B13" i="10"/>
  <c r="B12" i="10"/>
  <c r="B8" i="10"/>
  <c r="B7" i="10"/>
  <c r="B6" i="10"/>
  <c r="B5" i="10"/>
  <c r="H33" i="7"/>
  <c r="E33" i="7"/>
  <c r="C33" i="7"/>
  <c r="I33" i="7"/>
  <c r="J33" i="7" s="1"/>
  <c r="L33" i="7" s="1"/>
  <c r="B25" i="5"/>
  <c r="B26" i="5"/>
  <c r="C25" i="5"/>
  <c r="C27" i="5"/>
  <c r="D14" i="5"/>
  <c r="E31" i="7"/>
  <c r="E30" i="7"/>
  <c r="C31" i="7"/>
  <c r="C30" i="7"/>
  <c r="E27" i="7"/>
  <c r="E26" i="7"/>
  <c r="C27" i="7"/>
  <c r="C26" i="7"/>
  <c r="C14" i="7"/>
  <c r="D31" i="7"/>
  <c r="D30" i="7"/>
  <c r="D27" i="7"/>
  <c r="D26" i="7"/>
  <c r="B31" i="7"/>
  <c r="B30" i="7"/>
  <c r="B27" i="7"/>
  <c r="B26" i="7"/>
  <c r="H29" i="7"/>
  <c r="H25" i="7"/>
  <c r="C29" i="7"/>
  <c r="D29" i="7"/>
  <c r="C25" i="7"/>
  <c r="B33" i="4"/>
  <c r="B29" i="4"/>
  <c r="D25" i="7"/>
  <c r="L21" i="7"/>
  <c r="L18" i="7"/>
  <c r="L10" i="7"/>
  <c r="L9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21" i="7"/>
  <c r="I18" i="7"/>
  <c r="I10" i="7"/>
  <c r="I9" i="7"/>
  <c r="D21" i="7"/>
  <c r="D20" i="7"/>
  <c r="D19" i="7"/>
  <c r="D18" i="7"/>
  <c r="D17" i="7"/>
  <c r="D16" i="7"/>
  <c r="D14" i="7"/>
  <c r="D13" i="7"/>
  <c r="D12" i="7"/>
  <c r="D11" i="7"/>
  <c r="D10" i="7"/>
  <c r="D9" i="7"/>
  <c r="B5" i="7"/>
  <c r="B4" i="7"/>
  <c r="B30" i="10" l="1"/>
  <c r="B16" i="10"/>
  <c r="B32" i="10" s="1"/>
  <c r="J18" i="7"/>
  <c r="J21" i="7"/>
  <c r="J10" i="7"/>
  <c r="J9" i="7"/>
  <c r="I13" i="1"/>
  <c r="I12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C15" i="9"/>
  <c r="C19" i="9"/>
  <c r="C18" i="9"/>
  <c r="C17" i="9"/>
  <c r="B19" i="9"/>
  <c r="B18" i="9"/>
  <c r="B17" i="9"/>
  <c r="B15" i="9"/>
  <c r="C14" i="9"/>
  <c r="B14" i="9"/>
  <c r="C6" i="9"/>
  <c r="B6" i="9"/>
  <c r="D6" i="9" s="1"/>
  <c r="C5" i="9"/>
  <c r="B5" i="9"/>
  <c r="C4" i="9"/>
  <c r="B4" i="9"/>
  <c r="D4" i="9" s="1"/>
  <c r="D18" i="5"/>
  <c r="D6" i="5"/>
  <c r="D36" i="5"/>
  <c r="D35" i="5"/>
  <c r="D34" i="5"/>
  <c r="D33" i="5"/>
  <c r="D32" i="5"/>
  <c r="D31" i="5"/>
  <c r="D30" i="5"/>
  <c r="D29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3" i="4"/>
  <c r="B13" i="1" s="1"/>
  <c r="C12" i="4"/>
  <c r="B12" i="1" s="1"/>
  <c r="C11" i="4"/>
  <c r="B11" i="1" s="1"/>
  <c r="C10" i="4"/>
  <c r="B10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36" i="10" l="1"/>
  <c r="B35" i="10"/>
  <c r="B34" i="10"/>
  <c r="D15" i="9"/>
  <c r="C16" i="10" s="1"/>
  <c r="D16" i="10" s="1"/>
  <c r="D5" i="9"/>
  <c r="C19" i="10" s="1"/>
  <c r="D19" i="10" s="1"/>
  <c r="D14" i="9"/>
  <c r="D18" i="9"/>
  <c r="C35" i="10" s="1"/>
  <c r="D35" i="10" s="1"/>
  <c r="D19" i="9"/>
  <c r="C36" i="10" s="1"/>
  <c r="D17" i="9"/>
  <c r="C34" i="10" s="1"/>
  <c r="D34" i="10" s="1"/>
  <c r="C13" i="10"/>
  <c r="D13" i="10" s="1"/>
  <c r="F13" i="10" s="1"/>
  <c r="C6" i="10"/>
  <c r="D6" i="10" s="1"/>
  <c r="F6" i="10" s="1"/>
  <c r="C15" i="10"/>
  <c r="D15" i="10" s="1"/>
  <c r="F15" i="10" s="1"/>
  <c r="C14" i="10"/>
  <c r="D14" i="10" s="1"/>
  <c r="F14" i="10" s="1"/>
  <c r="C12" i="10"/>
  <c r="D12" i="10" s="1"/>
  <c r="F12" i="10" s="1"/>
  <c r="C5" i="10"/>
  <c r="D5" i="10" s="1"/>
  <c r="F5" i="10" s="1"/>
  <c r="C8" i="10"/>
  <c r="D8" i="10" s="1"/>
  <c r="F8" i="10" s="1"/>
  <c r="C7" i="10"/>
  <c r="D7" i="10" s="1"/>
  <c r="F7" i="10" s="1"/>
  <c r="C27" i="10"/>
  <c r="D27" i="10" s="1"/>
  <c r="F27" i="10" s="1"/>
  <c r="C24" i="10"/>
  <c r="D24" i="10" s="1"/>
  <c r="F24" i="10" s="1"/>
  <c r="C18" i="10"/>
  <c r="D18" i="10" s="1"/>
  <c r="F18" i="10" s="1"/>
  <c r="C22" i="10"/>
  <c r="D22" i="10" s="1"/>
  <c r="C20" i="10"/>
  <c r="D20" i="10" s="1"/>
  <c r="F20" i="10" s="1"/>
  <c r="I19" i="7"/>
  <c r="J19" i="7" s="1"/>
  <c r="L19" i="7" s="1"/>
  <c r="I29" i="7"/>
  <c r="B20" i="1"/>
  <c r="B4" i="1"/>
  <c r="D36" i="10" l="1"/>
  <c r="D4" i="7"/>
  <c r="C5" i="7"/>
  <c r="D17" i="6"/>
  <c r="D18" i="6"/>
  <c r="D16" i="6"/>
  <c r="D15" i="6"/>
  <c r="D14" i="6"/>
  <c r="D25" i="6"/>
  <c r="D26" i="6"/>
  <c r="D22" i="6"/>
  <c r="D21" i="6"/>
  <c r="D13" i="6"/>
  <c r="D12" i="6"/>
  <c r="D4" i="6"/>
  <c r="C28" i="6"/>
  <c r="C26" i="6"/>
  <c r="C25" i="6"/>
  <c r="C22" i="6"/>
  <c r="C21" i="6"/>
  <c r="C18" i="6"/>
  <c r="C17" i="6"/>
  <c r="C16" i="6"/>
  <c r="C15" i="6"/>
  <c r="C14" i="6"/>
  <c r="C13" i="6"/>
  <c r="C12" i="6"/>
  <c r="C4" i="6"/>
  <c r="B12" i="4"/>
  <c r="B9" i="4"/>
  <c r="C9" i="4" s="1"/>
  <c r="B13" i="4"/>
  <c r="B9" i="1" l="1"/>
  <c r="C16" i="4"/>
  <c r="D4" i="4" s="1"/>
  <c r="C13" i="7"/>
  <c r="E13" i="7" s="1"/>
  <c r="C15" i="7"/>
  <c r="B14" i="4"/>
  <c r="C14" i="4" s="1"/>
  <c r="B14" i="1" s="1"/>
  <c r="B16" i="1" s="1"/>
  <c r="B16" i="4"/>
  <c r="D12" i="4" s="1"/>
  <c r="C12" i="5" s="1"/>
  <c r="C28" i="4"/>
  <c r="C32" i="4"/>
  <c r="D5" i="7"/>
  <c r="C20" i="7"/>
  <c r="E20" i="7" s="1"/>
  <c r="C17" i="7"/>
  <c r="E17" i="7" s="1"/>
  <c r="C11" i="7"/>
  <c r="C19" i="7"/>
  <c r="C16" i="7"/>
  <c r="E16" i="7" s="1"/>
  <c r="C10" i="7"/>
  <c r="C18" i="7"/>
  <c r="E18" i="7" s="1"/>
  <c r="C9" i="7"/>
  <c r="C21" i="7"/>
  <c r="E21" i="7" s="1"/>
  <c r="C12" i="7"/>
  <c r="E12" i="7" s="1"/>
  <c r="B17" i="4"/>
  <c r="C33" i="4"/>
  <c r="C29" i="4"/>
  <c r="D23" i="2"/>
  <c r="D21" i="2"/>
  <c r="D20" i="2"/>
  <c r="D18" i="2"/>
  <c r="D17" i="2"/>
  <c r="D13" i="2"/>
  <c r="D12" i="2"/>
  <c r="D10" i="2"/>
  <c r="D9" i="2"/>
  <c r="D24" i="2"/>
  <c r="D22" i="2"/>
  <c r="D19" i="2"/>
  <c r="D16" i="2"/>
  <c r="D15" i="2"/>
  <c r="D14" i="2"/>
  <c r="D11" i="2"/>
  <c r="D8" i="2"/>
  <c r="D7" i="2"/>
  <c r="D6" i="2"/>
  <c r="D5" i="2"/>
  <c r="D4" i="2"/>
  <c r="B25" i="2"/>
  <c r="D25" i="2" s="1"/>
  <c r="C25" i="2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14" i="1" l="1"/>
  <c r="E14" i="1" s="1"/>
  <c r="C17" i="4"/>
  <c r="C25" i="4" s="1"/>
  <c r="E14" i="7"/>
  <c r="B29" i="1"/>
  <c r="G9" i="1"/>
  <c r="I9" i="1" s="1"/>
  <c r="G6" i="1"/>
  <c r="G12" i="1"/>
  <c r="G13" i="1"/>
  <c r="G14" i="1"/>
  <c r="E16" i="1"/>
  <c r="G4" i="1"/>
  <c r="D16" i="1"/>
  <c r="E10" i="7"/>
  <c r="E23" i="7"/>
  <c r="C5" i="13" s="1"/>
  <c r="D5" i="13" s="1"/>
  <c r="D8" i="13" s="1"/>
  <c r="D7" i="4"/>
  <c r="C7" i="5" s="1"/>
  <c r="D15" i="4"/>
  <c r="C15" i="5" s="1"/>
  <c r="D10" i="4"/>
  <c r="C10" i="5" s="1"/>
  <c r="D13" i="4"/>
  <c r="C13" i="5" s="1"/>
  <c r="E19" i="7"/>
  <c r="D5" i="4"/>
  <c r="C5" i="5" s="1"/>
  <c r="D11" i="4"/>
  <c r="C11" i="5" s="1"/>
  <c r="B25" i="4"/>
  <c r="D8" i="4"/>
  <c r="C8" i="5" s="1"/>
  <c r="D9" i="4"/>
  <c r="C9" i="5" s="1"/>
  <c r="E11" i="7"/>
  <c r="E9" i="7"/>
  <c r="I14" i="1" l="1"/>
  <c r="C4" i="5"/>
  <c r="D25" i="4"/>
  <c r="C16" i="5" l="1"/>
  <c r="D16" i="5"/>
  <c r="D5" i="5" s="1"/>
  <c r="I12" i="7" s="1"/>
  <c r="J12" i="7" s="1"/>
  <c r="L12" i="7" s="1"/>
  <c r="D15" i="5" l="1"/>
  <c r="I20" i="7" s="1"/>
  <c r="J20" i="7" s="1"/>
  <c r="L20" i="7" s="1"/>
  <c r="D8" i="5"/>
  <c r="I16" i="7" s="1"/>
  <c r="J16" i="7" s="1"/>
  <c r="L16" i="7" s="1"/>
  <c r="D13" i="5"/>
  <c r="D12" i="5"/>
  <c r="D4" i="5"/>
  <c r="D10" i="5"/>
  <c r="I17" i="7" s="1"/>
  <c r="J17" i="7" s="1"/>
  <c r="L17" i="7" s="1"/>
  <c r="D9" i="5"/>
  <c r="D7" i="5"/>
  <c r="I13" i="7" s="1"/>
  <c r="J13" i="7" s="1"/>
  <c r="L13" i="7" s="1"/>
  <c r="D11" i="5"/>
  <c r="I30" i="7" l="1"/>
  <c r="C26" i="5"/>
  <c r="C22" i="5"/>
  <c r="I26" i="7"/>
  <c r="I27" i="7"/>
  <c r="C23" i="5"/>
  <c r="C21" i="5"/>
  <c r="I11" i="7"/>
  <c r="D17" i="5"/>
  <c r="D19" i="5" s="1"/>
  <c r="I25" i="7" l="1"/>
  <c r="B21" i="5"/>
  <c r="I14" i="7"/>
  <c r="J14" i="7" s="1"/>
  <c r="L14" i="7" s="1"/>
  <c r="B27" i="5"/>
  <c r="I31" i="7"/>
  <c r="J11" i="7"/>
  <c r="L11" i="7" s="1"/>
  <c r="J23" i="7"/>
  <c r="B23" i="5"/>
  <c r="H30" i="7"/>
  <c r="J30" i="7" s="1"/>
  <c r="L30" i="7" s="1"/>
  <c r="G30" i="7"/>
  <c r="B22" i="5"/>
  <c r="L23" i="7" l="1"/>
  <c r="G5" i="13"/>
  <c r="H5" i="13" s="1"/>
  <c r="H8" i="13" s="1"/>
  <c r="G27" i="7"/>
  <c r="H27" i="7"/>
  <c r="J27" i="7" s="1"/>
  <c r="L27" i="7" s="1"/>
  <c r="H31" i="7"/>
  <c r="J31" i="7" s="1"/>
  <c r="L31" i="7" s="1"/>
  <c r="G31" i="7"/>
  <c r="H26" i="7"/>
  <c r="J26" i="7" s="1"/>
  <c r="L26" i="7" s="1"/>
  <c r="G26" i="7"/>
</calcChain>
</file>

<file path=xl/sharedStrings.xml><?xml version="1.0" encoding="utf-8"?>
<sst xmlns="http://schemas.openxmlformats.org/spreadsheetml/2006/main" count="309" uniqueCount="146">
  <si>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</si>
  <si>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</si>
  <si>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</si>
  <si>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</si>
  <si>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</si>
  <si>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</si>
  <si>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</si>
  <si>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</si>
  <si>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</si>
  <si>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</si>
  <si>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</si>
  <si>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</si>
  <si>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</si>
  <si>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</si>
  <si>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</si>
  <si>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</si>
  <si>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</si>
  <si>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</si>
  <si>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</si>
  <si>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</si>
  <si>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</si>
  <si>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</si>
  <si>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</si>
  <si>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</si>
  <si>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</si>
  <si>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</si>
  <si>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</si>
  <si>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</si>
  <si>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</si>
  <si>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</si>
  <si>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</si>
  <si>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</si>
  <si>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</si>
  <si>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</si>
  <si>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</si>
  <si>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</si>
  <si>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</si>
  <si>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</si>
  <si>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</si>
  <si>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</si>
  <si>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Conductance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</si>
  <si>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</si>
  <si>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</si>
  <si>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</si>
  <si>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</si>
  <si>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</si>
  <si>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</si>
  <si>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</si>
  <si>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</si>
  <si>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</si>
  <si>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</si>
  <si>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</si>
  <si>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</si>
  <si>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</si>
  <si>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</si>
  <si>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</si>
  <si>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</si>
  <si>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</si>
  <si>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</si>
  <si>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</si>
  <si>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</si>
  <si>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</si>
  <si>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</si>
  <si>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</si>
  <si>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</si>
  <si>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</si>
  <si>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</si>
  <si>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</si>
  <si>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</si>
  <si>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</si>
  <si>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</si>
  <si>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</si>
  <si>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</si>
  <si>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</si>
  <si>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</si>
  <si>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</si>
  <si>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</si>
  <si>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</si>
  <si>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</si>
  <si>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</si>
  <si>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</si>
  <si>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</si>
  <si>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</si>
  <si>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</si>
  <si>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Adipose</t>
  </si>
  <si>
    <t>Adrenal</t>
  </si>
  <si>
    <t>Lung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</si>
  <si>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</si>
  <si>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</si>
  <si>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</si>
  <si>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</si>
  <si>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</si>
  <si>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</si>
  <si>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</si>
  <si>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</si>
  <si>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</si>
  <si>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</si>
  <si>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</si>
  <si>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</si>
  <si>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</si>
  <si>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</si>
  <si>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</si>
  <si>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</si>
  <si>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</si>
  <si>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</si>
  <si>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</si>
  <si>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</si>
  <si>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</si>
  <si>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</si>
  <si>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</si>
  <si>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</si>
  <si>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</si>
  <si>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</si>
  <si>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</si>
  <si>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</si>
  <si>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</si>
  <si>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</si>
  <si>
    <t>% CO</t>
  </si>
  <si>
    <t>Flow</t>
  </si>
  <si>
    <t>CO</t>
  </si>
  <si>
    <t>Flow (/G)</t>
  </si>
  <si>
    <t>Organ Blood Flow</t>
  </si>
  <si>
    <t>OtherTissue</t>
  </si>
  <si>
    <t>Systemic Vein Outflow</t>
  </si>
  <si>
    <t>Hepatic Vein Outflow</t>
  </si>
  <si>
    <t>Coronary Sinus Outflow</t>
  </si>
  <si>
    <t>Venous Return</t>
  </si>
  <si>
    <t>Pullmonary Veins Outflow</t>
  </si>
  <si>
    <t>Arcuate Artery</t>
  </si>
  <si>
    <t>Glomerulus</t>
  </si>
  <si>
    <t>Left Heart Large Vessel</t>
  </si>
  <si>
    <t>Right Heart Large Vessel</t>
  </si>
  <si>
    <t>Kidney Arcuate</t>
  </si>
  <si>
    <t>Kidney Afferent</t>
  </si>
  <si>
    <t>Kidney Efferent</t>
  </si>
  <si>
    <t>Left Heart Small Vessel</t>
  </si>
  <si>
    <t>Right Heart Small Vessel</t>
  </si>
  <si>
    <t>Calories Used</t>
  </si>
  <si>
    <t>Flows &amp; Conductances (Male)</t>
  </si>
  <si>
    <t>Blood Volume</t>
  </si>
  <si>
    <t>Cardiac Output</t>
  </si>
  <si>
    <t>Base</t>
  </si>
  <si>
    <t>Reference</t>
  </si>
  <si>
    <t>Body Mass (kG)</t>
  </si>
  <si>
    <t>Blood (mL/kG)</t>
  </si>
  <si>
    <t>BV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</si>
</sst>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107</v>
      </c>
    </row>
    <row r="3" spans="1:5" x14ac:dyDescent="0.25">
      <c r="B3" t="s">
        <v>62</v>
      </c>
      <c r="C3" t="s">
        <v>63</v>
      </c>
    </row>
    <row r="4" spans="1:5" x14ac:dyDescent="0.25">
      <c r="A4" t="s">
        <v>82</v>
      </c>
      <c r="B4">
        <v>75</v>
      </c>
      <c r="C4">
        <f>2.2*BodyMassMale</f>
        <v>165</v>
      </c>
      <c r="E4" t="s">
        <v>79</v>
      </c>
    </row>
    <row r="5" spans="1:5" x14ac:dyDescent="0.25">
      <c r="A5" t="s">
        <v>83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0" sqref="I10"/>
    </sheetView>
  </sheetViews>
  <sheetFormatPr defaultRowHeight="15" x14ac:dyDescent="0.25"/>
  <cols>
    <col min="1" max="1" width="10.7109375" customWidth="1"/>
    <col min="2" max="2" width="14.7109375" customWidth="1"/>
    <col min="3" max="3" width="13.85546875" customWidth="1"/>
    <col min="7" max="7" width="14.42578125" customWidth="1"/>
  </cols>
  <sheetData>
    <row r="1" spans="1:8" x14ac:dyDescent="0.25">
      <c r="A1" t="s">
        <v>139</v>
      </c>
    </row>
    <row r="3" spans="1:8" x14ac:dyDescent="0.25">
      <c r="B3" t="s">
        <v>143</v>
      </c>
      <c r="C3" t="s">
        <v>144</v>
      </c>
      <c r="D3" t="s">
        <v>145</v>
      </c>
    </row>
    <row r="4" spans="1:8" x14ac:dyDescent="0.25">
      <c r="A4" t="s">
        <v>82</v>
      </c>
      <c r="B4">
        <f>BodyMassMale</f>
        <v>75</v>
      </c>
      <c r="C4">
        <v>72.099999999999994</v>
      </c>
      <c r="D4" s="1">
        <f>C4*B4</f>
        <v>5407.5</v>
      </c>
    </row>
    <row r="5" spans="1:8" x14ac:dyDescent="0.25">
      <c r="A5" t="s">
        <v>83</v>
      </c>
      <c r="B5" s="5">
        <f>BodyMassFemale</f>
        <v>60.45</v>
      </c>
      <c r="C5">
        <v>65.5</v>
      </c>
      <c r="D5" s="1">
        <f>C5*B5</f>
        <v>3959.4750000000004</v>
      </c>
    </row>
    <row r="7" spans="1:8" x14ac:dyDescent="0.25">
      <c r="B7" t="s">
        <v>82</v>
      </c>
      <c r="F7" t="s">
        <v>83</v>
      </c>
    </row>
    <row r="8" spans="1:8" x14ac:dyDescent="0.25">
      <c r="B8" t="s">
        <v>110</v>
      </c>
      <c r="C8" t="s">
        <v>144</v>
      </c>
      <c r="D8" t="s">
        <v>145</v>
      </c>
      <c r="F8" t="s">
        <v>110</v>
      </c>
      <c r="G8" s="10" t="s">
        <v>144</v>
      </c>
      <c r="H8" t="s">
        <v>145</v>
      </c>
    </row>
    <row r="9" spans="1:8" x14ac:dyDescent="0.25">
      <c r="A9" t="s">
        <v>141</v>
      </c>
      <c r="B9" s="1">
        <f>BaseMassMale</f>
        <v>26032.5</v>
      </c>
      <c r="C9" s="5">
        <v>100</v>
      </c>
      <c r="D9" s="1">
        <f>0.001*C9*B9</f>
        <v>2603.25</v>
      </c>
      <c r="F9" s="1">
        <f>BaseMassFemale</f>
        <v>20794.799999999996</v>
      </c>
      <c r="G9" s="5">
        <v>100</v>
      </c>
      <c r="H9" s="1">
        <f>0.001*G9*F9</f>
        <v>2079.4799999999996</v>
      </c>
    </row>
    <row r="10" spans="1:8" x14ac:dyDescent="0.25">
      <c r="A10" t="s">
        <v>55</v>
      </c>
      <c r="B10" s="1">
        <f>SMuscleMassMale</f>
        <v>26400</v>
      </c>
      <c r="C10" s="5">
        <v>88</v>
      </c>
      <c r="D10" s="1">
        <f>0.001*C10*B10</f>
        <v>2323.1999999999998</v>
      </c>
      <c r="F10" s="1">
        <f>SMuscleMassFemale</f>
        <v>14628.900000000001</v>
      </c>
      <c r="G10" s="5">
        <v>88</v>
      </c>
      <c r="H10" s="1">
        <f>0.001*G10*F10</f>
        <v>1287.3432</v>
      </c>
    </row>
    <row r="11" spans="1:8" x14ac:dyDescent="0.25">
      <c r="A11" t="s">
        <v>2</v>
      </c>
      <c r="B11" s="1">
        <f>FatMassMale</f>
        <v>16050</v>
      </c>
      <c r="C11" s="5">
        <v>30</v>
      </c>
      <c r="D11" s="1">
        <f>0.001*C11*B11</f>
        <v>481.5</v>
      </c>
      <c r="F11" s="1">
        <f>FatMassFemale</f>
        <v>19767.150000000001</v>
      </c>
      <c r="G11" s="5">
        <v>30</v>
      </c>
      <c r="H11" s="1">
        <f>0.001*G11*F11</f>
        <v>593.0145</v>
      </c>
    </row>
    <row r="12" spans="1:8" x14ac:dyDescent="0.25">
      <c r="A12" t="s">
        <v>32</v>
      </c>
      <c r="B12" s="1">
        <f>SUM(B9:B11)</f>
        <v>68482.5</v>
      </c>
      <c r="D12" s="1">
        <f>SUM(D9:D11)</f>
        <v>5407.95</v>
      </c>
      <c r="F12" s="1">
        <f>SUM(F9:F11)</f>
        <v>55190.85</v>
      </c>
      <c r="H12" s="1">
        <f>SUM(H9:H11)</f>
        <v>3959.8377</v>
      </c>
    </row>
    <row r="13" spans="1:8" x14ac:dyDescent="0.25">
      <c r="A13" t="s">
        <v>142</v>
      </c>
      <c r="B13" s="1">
        <f>OrganMassMale</f>
        <v>68482.5</v>
      </c>
      <c r="D13" s="1">
        <f>D4</f>
        <v>5407.5</v>
      </c>
      <c r="F13" s="1">
        <f>OrganMassFemale</f>
        <v>55190.85</v>
      </c>
      <c r="H13" s="1">
        <f>D5</f>
        <v>3959.4750000000004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137</v>
      </c>
    </row>
    <row r="3" spans="1:4" x14ac:dyDescent="0.25">
      <c r="A3" t="s">
        <v>27</v>
      </c>
      <c r="B3" t="s">
        <v>19</v>
      </c>
      <c r="C3" t="s">
        <v>28</v>
      </c>
      <c r="D3" t="s">
        <v>33</v>
      </c>
    </row>
    <row r="4" spans="1:4" x14ac:dyDescent="0.25">
      <c r="A4" t="s">
        <v>0</v>
      </c>
      <c r="B4" s="1">
        <f>BoneMassMale</f>
        <v>10725</v>
      </c>
      <c r="C4">
        <v>90</v>
      </c>
      <c r="D4" s="3">
        <f>C4/B4</f>
        <v>8.3916083916083916E-3</v>
      </c>
    </row>
    <row r="5" spans="1:4" x14ac:dyDescent="0.25">
      <c r="A5" t="s">
        <v>1</v>
      </c>
      <c r="B5" s="1">
        <f>BrainMassMale</f>
        <v>1500</v>
      </c>
      <c r="C5">
        <v>240</v>
      </c>
      <c r="D5" s="3">
        <f>C5/B5</f>
        <v>0.16</v>
      </c>
    </row>
    <row r="6" spans="1:4" x14ac:dyDescent="0.25">
      <c r="A6" t="s">
        <v>2</v>
      </c>
      <c r="B6" s="1">
        <f>FatMassMale</f>
        <v>16050</v>
      </c>
      <c r="C6">
        <v>30</v>
      </c>
      <c r="D6" s="3">
        <f>C6/B6</f>
        <v>1.869158878504673E-3</v>
      </c>
    </row>
    <row r="7" spans="1:4" x14ac:dyDescent="0.25">
      <c r="A7" t="s">
        <v>3</v>
      </c>
      <c r="B7" s="1">
        <v>1500</v>
      </c>
      <c r="C7">
        <v>120</v>
      </c>
      <c r="D7" s="3">
        <f>C7/B7</f>
        <v>0.08</v>
      </c>
    </row>
    <row r="8" spans="1:4" x14ac:dyDescent="0.25">
      <c r="A8" t="s">
        <v>4</v>
      </c>
      <c r="B8" s="1">
        <f>KidneyMassMale</f>
        <v>330</v>
      </c>
      <c r="C8">
        <v>110</v>
      </c>
      <c r="D8" s="3">
        <f>C8/B8</f>
        <v>0.33333333333333331</v>
      </c>
    </row>
    <row r="9" spans="1:4" x14ac:dyDescent="0.25">
      <c r="A9" s="2" t="s">
        <v>29</v>
      </c>
      <c r="B9" s="1"/>
      <c r="C9">
        <v>50</v>
      </c>
      <c r="D9" s="3">
        <f>C9/B8</f>
        <v>0.15151515151515152</v>
      </c>
    </row>
    <row r="10" spans="1:4" x14ac:dyDescent="0.25">
      <c r="A10" s="2" t="s">
        <v>30</v>
      </c>
      <c r="B10" s="1"/>
      <c r="C10">
        <v>60</v>
      </c>
      <c r="D10" s="3">
        <f>C10/B8</f>
        <v>0.18181818181818182</v>
      </c>
    </row>
    <row r="11" spans="1:4" x14ac:dyDescent="0.25">
      <c r="A11" t="s">
        <v>5</v>
      </c>
      <c r="B11" s="1">
        <f>LHeartMassMale</f>
        <v>292.57499999999993</v>
      </c>
      <c r="C11">
        <v>130</v>
      </c>
      <c r="D11" s="3">
        <f>C11/B11</f>
        <v>0.44433051354353598</v>
      </c>
    </row>
    <row r="12" spans="1:4" x14ac:dyDescent="0.25">
      <c r="A12" s="2" t="s">
        <v>29</v>
      </c>
      <c r="B12" s="1"/>
      <c r="C12">
        <v>20</v>
      </c>
      <c r="D12" s="3">
        <f>C12/B11</f>
        <v>6.8358540545159371E-2</v>
      </c>
    </row>
    <row r="13" spans="1:4" x14ac:dyDescent="0.25">
      <c r="A13" s="2" t="s">
        <v>31</v>
      </c>
      <c r="B13" s="1"/>
      <c r="C13">
        <v>110</v>
      </c>
      <c r="D13" s="3">
        <f>C13/B11</f>
        <v>0.37597197299837659</v>
      </c>
    </row>
    <row r="14" spans="1:4" x14ac:dyDescent="0.25">
      <c r="A14" t="s">
        <v>6</v>
      </c>
      <c r="B14" s="1">
        <f>LiverMassMale</f>
        <v>1950</v>
      </c>
      <c r="C14">
        <v>190</v>
      </c>
      <c r="D14" s="3">
        <f>C14/B14</f>
        <v>9.7435897435897437E-2</v>
      </c>
    </row>
    <row r="15" spans="1:4" x14ac:dyDescent="0.25">
      <c r="A15" t="s">
        <v>7</v>
      </c>
      <c r="B15" s="1">
        <f>OtherMassMale</f>
        <v>3525</v>
      </c>
      <c r="C15">
        <v>50</v>
      </c>
      <c r="D15" s="3">
        <f>C15/B15</f>
        <v>1.4184397163120567E-2</v>
      </c>
    </row>
    <row r="16" spans="1:4" x14ac:dyDescent="0.25">
      <c r="A16" t="s">
        <v>8</v>
      </c>
      <c r="B16" s="1">
        <f>RMuscleMassMale</f>
        <v>3600</v>
      </c>
      <c r="C16">
        <v>30</v>
      </c>
      <c r="D16" s="3">
        <f>C16/B16</f>
        <v>8.3333333333333332E-3</v>
      </c>
    </row>
    <row r="17" spans="1:4" x14ac:dyDescent="0.25">
      <c r="A17" s="2" t="s">
        <v>29</v>
      </c>
      <c r="B17" s="1"/>
      <c r="C17">
        <v>10</v>
      </c>
      <c r="D17" s="3">
        <f>C17/B16</f>
        <v>2.7777777777777779E-3</v>
      </c>
    </row>
    <row r="18" spans="1:4" x14ac:dyDescent="0.25">
      <c r="A18" s="2" t="s">
        <v>31</v>
      </c>
      <c r="B18" s="1"/>
      <c r="C18">
        <v>20</v>
      </c>
      <c r="D18" s="3">
        <f>C18/B16</f>
        <v>5.5555555555555558E-3</v>
      </c>
    </row>
    <row r="19" spans="1:4" x14ac:dyDescent="0.25">
      <c r="A19" t="s">
        <v>9</v>
      </c>
      <c r="B19" s="1">
        <f>RHeartMassMale</f>
        <v>59.924999999999997</v>
      </c>
      <c r="C19">
        <v>25</v>
      </c>
      <c r="D19" s="3">
        <f>C19/B19</f>
        <v>0.41718815185648728</v>
      </c>
    </row>
    <row r="20" spans="1:4" x14ac:dyDescent="0.25">
      <c r="A20" s="2" t="s">
        <v>29</v>
      </c>
      <c r="B20" s="1"/>
      <c r="C20">
        <v>3</v>
      </c>
      <c r="D20" s="3">
        <f>C20/B19</f>
        <v>5.0062578222778473E-2</v>
      </c>
    </row>
    <row r="21" spans="1:4" x14ac:dyDescent="0.25">
      <c r="A21" s="2" t="s">
        <v>31</v>
      </c>
      <c r="B21" s="1"/>
      <c r="C21">
        <v>22</v>
      </c>
      <c r="D21" s="3">
        <f>C21/B19</f>
        <v>0.36712557363370885</v>
      </c>
    </row>
    <row r="22" spans="1:4" x14ac:dyDescent="0.25">
      <c r="A22" t="s">
        <v>10</v>
      </c>
      <c r="B22" s="1">
        <f>SMuscleMassMale</f>
        <v>26400</v>
      </c>
      <c r="C22">
        <v>140</v>
      </c>
      <c r="D22" s="3">
        <f>C22/B22</f>
        <v>5.3030303030303034E-3</v>
      </c>
    </row>
    <row r="23" spans="1:4" x14ac:dyDescent="0.25">
      <c r="A23" s="2" t="s">
        <v>29</v>
      </c>
      <c r="B23" s="1"/>
      <c r="C23">
        <v>140</v>
      </c>
      <c r="D23" s="3">
        <f>C23/B22</f>
        <v>5.3030303030303034E-3</v>
      </c>
    </row>
    <row r="24" spans="1:4" x14ac:dyDescent="0.25">
      <c r="A24" t="s">
        <v>11</v>
      </c>
      <c r="B24" s="1">
        <f>SkinMassMale</f>
        <v>2775</v>
      </c>
      <c r="C24">
        <v>40</v>
      </c>
      <c r="D24" s="3">
        <f>C24/B24</f>
        <v>1.4414414414414415E-2</v>
      </c>
    </row>
    <row r="25" spans="1:4" x14ac:dyDescent="0.25">
      <c r="A25" s="2" t="s">
        <v>32</v>
      </c>
      <c r="B25" s="1">
        <f>SUM(B4:B24)</f>
        <v>68707.5</v>
      </c>
      <c r="C25">
        <f>SUM(C4:C8,C11,C14:C16,C19,C22,C24)</f>
        <v>1195</v>
      </c>
      <c r="D25" s="3">
        <f>C25/B25</f>
        <v>1.739256995233417E-2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7" sqref="C17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88</v>
      </c>
    </row>
    <row r="3" spans="1:4" x14ac:dyDescent="0.25">
      <c r="A3" t="s">
        <v>27</v>
      </c>
      <c r="B3" t="s">
        <v>42</v>
      </c>
      <c r="C3" t="s">
        <v>19</v>
      </c>
      <c r="D3" t="s">
        <v>61</v>
      </c>
    </row>
    <row r="4" spans="1:4" x14ac:dyDescent="0.25">
      <c r="A4" t="s">
        <v>0</v>
      </c>
      <c r="B4">
        <v>14.3</v>
      </c>
      <c r="C4" s="1">
        <f t="shared" ref="C4:C15" si="0"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 t="shared" si="0"/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 t="shared" si="0"/>
        <v>16050</v>
      </c>
      <c r="D6" s="5"/>
    </row>
    <row r="7" spans="1:4" x14ac:dyDescent="0.25">
      <c r="A7" t="s">
        <v>43</v>
      </c>
      <c r="B7">
        <v>1.7</v>
      </c>
      <c r="C7" s="1">
        <f t="shared" si="0"/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 t="shared" si="0"/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 t="shared" si="0"/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 t="shared" si="0"/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 t="shared" si="0"/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 t="shared" si="0"/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 t="shared" si="0"/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 t="shared" si="0"/>
        <v>26400</v>
      </c>
      <c r="D14" s="5"/>
    </row>
    <row r="15" spans="1:4" x14ac:dyDescent="0.25">
      <c r="A15" t="s">
        <v>11</v>
      </c>
      <c r="B15">
        <v>3.7</v>
      </c>
      <c r="C15" s="1">
        <f t="shared" si="0"/>
        <v>2775</v>
      </c>
      <c r="D15" s="5">
        <f>100*C15/C16</f>
        <v>10.659752232785941</v>
      </c>
    </row>
    <row r="16" spans="1:4" x14ac:dyDescent="0.25">
      <c r="A16" t="s">
        <v>90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58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13</v>
      </c>
      <c r="B19" s="5">
        <v>7.4</v>
      </c>
      <c r="C19" s="1">
        <f>10*B19*BodyMassMale</f>
        <v>5550</v>
      </c>
    </row>
    <row r="20" spans="1:4" x14ac:dyDescent="0.25">
      <c r="A20" t="s">
        <v>14</v>
      </c>
      <c r="B20" s="5">
        <v>0</v>
      </c>
      <c r="C20" s="1">
        <f>10*B20*BodyMassMale</f>
        <v>0</v>
      </c>
    </row>
    <row r="21" spans="1:4" x14ac:dyDescent="0.25">
      <c r="A21" t="s">
        <v>15</v>
      </c>
      <c r="B21" s="5">
        <v>0</v>
      </c>
      <c r="C21" s="1">
        <f>10*B21*BodyMassMale</f>
        <v>0</v>
      </c>
    </row>
    <row r="22" spans="1:4" x14ac:dyDescent="0.25">
      <c r="A22" t="s">
        <v>114</v>
      </c>
      <c r="B22" s="5">
        <v>1.3</v>
      </c>
      <c r="C22" s="1">
        <f>10*B22*BodyMassMale</f>
        <v>975</v>
      </c>
    </row>
    <row r="23" spans="1:4" x14ac:dyDescent="0.25">
      <c r="A23" t="s">
        <v>112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113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44</v>
      </c>
      <c r="B27">
        <v>0.47</v>
      </c>
      <c r="C27" s="1">
        <f>10*B27*BodyMassMale</f>
        <v>352.49999999999994</v>
      </c>
    </row>
    <row r="28" spans="1:4" x14ac:dyDescent="0.25">
      <c r="A28" s="2" t="s">
        <v>45</v>
      </c>
      <c r="B28">
        <v>0.17</v>
      </c>
      <c r="C28" s="1">
        <f>B28 * C27</f>
        <v>59.924999999999997</v>
      </c>
    </row>
    <row r="29" spans="1:4" x14ac:dyDescent="0.25">
      <c r="A29" s="2" t="s">
        <v>46</v>
      </c>
      <c r="B29">
        <f>1-RHeartFractionMale</f>
        <v>0.83</v>
      </c>
      <c r="C29" s="1">
        <f>B29 * C27</f>
        <v>292.57499999999993</v>
      </c>
    </row>
    <row r="31" spans="1:4" x14ac:dyDescent="0.25">
      <c r="A31" t="s">
        <v>55</v>
      </c>
      <c r="B31">
        <v>40</v>
      </c>
      <c r="C31" s="1">
        <f>10*B31*BodyMassMale</f>
        <v>30000</v>
      </c>
    </row>
    <row r="32" spans="1:4" x14ac:dyDescent="0.25">
      <c r="A32" s="2" t="s">
        <v>56</v>
      </c>
      <c r="B32">
        <v>0.12</v>
      </c>
      <c r="C32">
        <f>C31*B32</f>
        <v>3600</v>
      </c>
    </row>
    <row r="33" spans="1:3" x14ac:dyDescent="0.25">
      <c r="A33" s="2" t="s">
        <v>57</v>
      </c>
      <c r="B33">
        <f>1-RMuscleFractionMale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47</v>
      </c>
      <c r="B35">
        <v>0.02</v>
      </c>
      <c r="C35" s="1">
        <f t="shared" ref="C35:C42" si="1">10*B35*BodyMassMale</f>
        <v>15</v>
      </c>
    </row>
    <row r="36" spans="1:3" x14ac:dyDescent="0.25">
      <c r="A36" t="s">
        <v>48</v>
      </c>
      <c r="B36">
        <v>0.21</v>
      </c>
      <c r="C36" s="1">
        <f t="shared" si="1"/>
        <v>157.5</v>
      </c>
    </row>
    <row r="37" spans="1:3" x14ac:dyDescent="0.25">
      <c r="A37" t="s">
        <v>49</v>
      </c>
      <c r="B37">
        <v>0.91</v>
      </c>
      <c r="C37" s="1">
        <f t="shared" si="1"/>
        <v>682.5</v>
      </c>
    </row>
    <row r="38" spans="1:3" x14ac:dyDescent="0.25">
      <c r="A38" t="s">
        <v>50</v>
      </c>
      <c r="B38">
        <v>0.53</v>
      </c>
      <c r="C38" s="1">
        <f t="shared" si="1"/>
        <v>397.50000000000006</v>
      </c>
    </row>
    <row r="39" spans="1:3" x14ac:dyDescent="0.25">
      <c r="A39" t="s">
        <v>51</v>
      </c>
      <c r="B39">
        <v>0.76</v>
      </c>
      <c r="C39" s="1">
        <f t="shared" si="1"/>
        <v>570</v>
      </c>
    </row>
    <row r="40" spans="1:3" x14ac:dyDescent="0.25">
      <c r="A40" t="s">
        <v>52</v>
      </c>
      <c r="B40">
        <v>0.14000000000000001</v>
      </c>
      <c r="C40" s="1">
        <f t="shared" si="1"/>
        <v>105.00000000000001</v>
      </c>
    </row>
    <row r="41" spans="1:3" x14ac:dyDescent="0.25">
      <c r="A41" t="s">
        <v>53</v>
      </c>
      <c r="B41">
        <v>0.26</v>
      </c>
      <c r="C41" s="1">
        <f t="shared" si="1"/>
        <v>195</v>
      </c>
    </row>
    <row r="42" spans="1:3" x14ac:dyDescent="0.25">
      <c r="A42" t="s">
        <v>54</v>
      </c>
      <c r="B42">
        <v>0.03</v>
      </c>
      <c r="C42" s="1">
        <f t="shared" si="1"/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D17" sqref="D17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89</v>
      </c>
    </row>
    <row r="3" spans="1:4" x14ac:dyDescent="0.25">
      <c r="A3" t="s">
        <v>27</v>
      </c>
      <c r="B3" t="s">
        <v>42</v>
      </c>
      <c r="C3" t="s">
        <v>61</v>
      </c>
      <c r="D3" t="s">
        <v>80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43</v>
      </c>
      <c r="C7" s="5">
        <f>'Organ Mass - Male'!D7</f>
        <v>4.897723998847594</v>
      </c>
      <c r="D7" s="1">
        <f t="shared" ref="D7:D13" si="0"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 t="shared" si="0"/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 t="shared" si="0"/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 t="shared" si="0"/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 t="shared" si="0"/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 t="shared" si="0"/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90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58</v>
      </c>
      <c r="D17" s="1">
        <f>SUM(D4:D15)</f>
        <v>55190.85</v>
      </c>
    </row>
    <row r="18" spans="1:4" x14ac:dyDescent="0.25">
      <c r="A18" t="s">
        <v>59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32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44</v>
      </c>
      <c r="B21" s="6">
        <f>100*C21/D16</f>
        <v>1.3540766349755113</v>
      </c>
      <c r="C21" s="1">
        <f>D9+D13</f>
        <v>281.57752808988755</v>
      </c>
      <c r="D21" s="1"/>
    </row>
    <row r="22" spans="1:4" x14ac:dyDescent="0.25">
      <c r="A22" s="2" t="s">
        <v>45</v>
      </c>
      <c r="B22">
        <f>C22/C21</f>
        <v>0.17000000000000004</v>
      </c>
      <c r="C22" s="1">
        <f>RHeartMassFemale</f>
        <v>47.868179775280893</v>
      </c>
      <c r="D22" s="1"/>
    </row>
    <row r="23" spans="1:4" x14ac:dyDescent="0.25">
      <c r="A23" s="2" t="s">
        <v>46</v>
      </c>
      <c r="B23">
        <f>C23/C21</f>
        <v>0.83</v>
      </c>
      <c r="C23" s="1">
        <f>LHeartMassFemale</f>
        <v>233.70934831460664</v>
      </c>
      <c r="D23" s="1"/>
    </row>
    <row r="24" spans="1:4" x14ac:dyDescent="0.25">
      <c r="C24" s="1"/>
      <c r="D24" s="1"/>
    </row>
    <row r="25" spans="1:4" x14ac:dyDescent="0.25">
      <c r="A25" t="s">
        <v>55</v>
      </c>
      <c r="B25" s="5">
        <f>0.1*MuscleMassFemale/BodyMassFemale</f>
        <v>28.957130509939503</v>
      </c>
      <c r="C25" s="1">
        <f>RMuscleMassFemale+SMuscleMassFemale</f>
        <v>17504.585393258429</v>
      </c>
      <c r="D25" s="1"/>
    </row>
    <row r="26" spans="1:4" x14ac:dyDescent="0.25">
      <c r="A26" s="2" t="s">
        <v>56</v>
      </c>
      <c r="B26" s="6">
        <f>RMuscleMassFemale/MuscleMassFemale</f>
        <v>0.16428183408251101</v>
      </c>
      <c r="C26" s="1">
        <f>RMuscleMassFemale</f>
        <v>2875.6853932584268</v>
      </c>
      <c r="D26" s="1"/>
    </row>
    <row r="27" spans="1:4" x14ac:dyDescent="0.25">
      <c r="A27" s="2" t="s">
        <v>57</v>
      </c>
      <c r="B27" s="6">
        <f>SMuscleMassFemale/MuscleMassFemale</f>
        <v>0.83571816591748893</v>
      </c>
      <c r="C27" s="1">
        <f>SMuscleMassFemale</f>
        <v>14628.900000000001</v>
      </c>
      <c r="D27" s="1"/>
    </row>
    <row r="29" spans="1:4" x14ac:dyDescent="0.25">
      <c r="A29" t="s">
        <v>47</v>
      </c>
      <c r="B29">
        <v>0.02</v>
      </c>
      <c r="D29" s="5">
        <f t="shared" ref="D29:D36" si="1">10*B29*BodyMassFemale</f>
        <v>12.090000000000002</v>
      </c>
    </row>
    <row r="30" spans="1:4" x14ac:dyDescent="0.25">
      <c r="A30" t="s">
        <v>48</v>
      </c>
      <c r="B30">
        <v>0.21</v>
      </c>
      <c r="D30" s="5">
        <f t="shared" si="1"/>
        <v>126.94500000000001</v>
      </c>
    </row>
    <row r="31" spans="1:4" x14ac:dyDescent="0.25">
      <c r="A31" t="s">
        <v>49</v>
      </c>
      <c r="B31">
        <v>0.91</v>
      </c>
      <c r="D31" s="5">
        <f t="shared" si="1"/>
        <v>550.09500000000003</v>
      </c>
    </row>
    <row r="32" spans="1:4" x14ac:dyDescent="0.25">
      <c r="A32" t="s">
        <v>50</v>
      </c>
      <c r="B32">
        <v>0.53</v>
      </c>
      <c r="D32" s="5">
        <f t="shared" si="1"/>
        <v>320.38500000000005</v>
      </c>
    </row>
    <row r="33" spans="1:4" x14ac:dyDescent="0.25">
      <c r="A33" t="s">
        <v>51</v>
      </c>
      <c r="B33">
        <v>0.76</v>
      </c>
      <c r="D33" s="5">
        <f t="shared" si="1"/>
        <v>459.42</v>
      </c>
    </row>
    <row r="34" spans="1:4" x14ac:dyDescent="0.25">
      <c r="A34" t="s">
        <v>52</v>
      </c>
      <c r="B34">
        <v>0.14000000000000001</v>
      </c>
      <c r="D34" s="5">
        <f t="shared" si="1"/>
        <v>84.63000000000001</v>
      </c>
    </row>
    <row r="35" spans="1:4" x14ac:dyDescent="0.25">
      <c r="A35" t="s">
        <v>53</v>
      </c>
      <c r="B35">
        <v>0.26</v>
      </c>
      <c r="D35" s="5">
        <f t="shared" si="1"/>
        <v>157.17000000000002</v>
      </c>
    </row>
    <row r="36" spans="1:4" x14ac:dyDescent="0.25">
      <c r="A36" t="s">
        <v>54</v>
      </c>
      <c r="B36">
        <v>0.03</v>
      </c>
      <c r="D36" s="5">
        <f t="shared" si="1"/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1" sqref="D11"/>
    </sheetView>
  </sheetViews>
  <sheetFormatPr defaultRowHeight="15" x14ac:dyDescent="0.25"/>
  <cols>
    <col min="1" max="1" width="23.7109375" customWidth="1"/>
    <col min="2" max="2" width="7" customWidth="1"/>
  </cols>
  <sheetData>
    <row r="1" spans="1:4" x14ac:dyDescent="0.25">
      <c r="A1" t="s">
        <v>91</v>
      </c>
    </row>
    <row r="3" spans="1:4" x14ac:dyDescent="0.25">
      <c r="A3" t="s">
        <v>64</v>
      </c>
      <c r="B3" t="s">
        <v>65</v>
      </c>
      <c r="C3" t="s">
        <v>66</v>
      </c>
      <c r="D3" t="s">
        <v>78</v>
      </c>
    </row>
    <row r="4" spans="1:4" x14ac:dyDescent="0.25">
      <c r="A4" t="s">
        <v>67</v>
      </c>
      <c r="B4">
        <v>97</v>
      </c>
      <c r="C4" s="5">
        <f t="shared" ref="C4:C18" si="0">0.1333*B4</f>
        <v>12.930099999999999</v>
      </c>
      <c r="D4">
        <f>B4</f>
        <v>97</v>
      </c>
    </row>
    <row r="5" spans="1:4" x14ac:dyDescent="0.25">
      <c r="C5" s="5"/>
    </row>
    <row r="6" spans="1:4" x14ac:dyDescent="0.25">
      <c r="A6" t="s">
        <v>4</v>
      </c>
      <c r="C6" s="5"/>
    </row>
    <row r="7" spans="1:4" x14ac:dyDescent="0.25">
      <c r="A7" s="2" t="s">
        <v>128</v>
      </c>
      <c r="B7">
        <f>SystemicArtysPressure-2</f>
        <v>95</v>
      </c>
      <c r="C7" s="5">
        <f>0.1333*B7</f>
        <v>12.663500000000001</v>
      </c>
      <c r="D7">
        <f>B7</f>
        <v>95</v>
      </c>
    </row>
    <row r="8" spans="1:4" x14ac:dyDescent="0.25">
      <c r="A8" s="2" t="s">
        <v>129</v>
      </c>
      <c r="B8">
        <v>60</v>
      </c>
      <c r="C8" s="5">
        <f>0.1333*B8</f>
        <v>7.9980000000000002</v>
      </c>
      <c r="D8">
        <f>B8</f>
        <v>60</v>
      </c>
    </row>
    <row r="9" spans="1:4" x14ac:dyDescent="0.25">
      <c r="A9" t="s">
        <v>130</v>
      </c>
      <c r="B9">
        <f>SystemicArtysPressure-3.5</f>
        <v>93.5</v>
      </c>
      <c r="C9" s="5">
        <f>0.1333*B9</f>
        <v>12.46355</v>
      </c>
      <c r="D9">
        <f>B9-B28</f>
        <v>97.5</v>
      </c>
    </row>
    <row r="10" spans="1:4" x14ac:dyDescent="0.25">
      <c r="A10" t="s">
        <v>131</v>
      </c>
      <c r="B10">
        <f>SystemicArtysPressure-3.5</f>
        <v>93.5</v>
      </c>
      <c r="C10" s="5">
        <f>0.1333*B10</f>
        <v>12.46355</v>
      </c>
      <c r="D10">
        <f>B10-B28</f>
        <v>97.5</v>
      </c>
    </row>
    <row r="11" spans="1:4" x14ac:dyDescent="0.25">
      <c r="C11" s="5"/>
    </row>
    <row r="12" spans="1:4" x14ac:dyDescent="0.25">
      <c r="A12" t="s">
        <v>68</v>
      </c>
      <c r="B12">
        <v>10</v>
      </c>
      <c r="C12" s="5">
        <f t="shared" si="0"/>
        <v>1.333</v>
      </c>
      <c r="D12">
        <f>B12</f>
        <v>10</v>
      </c>
    </row>
    <row r="13" spans="1:4" x14ac:dyDescent="0.25">
      <c r="A13" t="s">
        <v>69</v>
      </c>
      <c r="B13">
        <v>8</v>
      </c>
      <c r="C13" s="5">
        <f t="shared" si="0"/>
        <v>1.0664</v>
      </c>
      <c r="D13">
        <f>B13</f>
        <v>8</v>
      </c>
    </row>
    <row r="14" spans="1:4" x14ac:dyDescent="0.25">
      <c r="A14" t="s">
        <v>70</v>
      </c>
      <c r="B14">
        <v>2</v>
      </c>
      <c r="C14" s="5">
        <f t="shared" si="0"/>
        <v>0.2666</v>
      </c>
      <c r="D14">
        <f>B14-B28</f>
        <v>6</v>
      </c>
    </row>
    <row r="15" spans="1:4" x14ac:dyDescent="0.25">
      <c r="A15" t="s">
        <v>71</v>
      </c>
      <c r="B15">
        <v>14</v>
      </c>
      <c r="C15" s="5">
        <f t="shared" si="0"/>
        <v>1.8662000000000001</v>
      </c>
      <c r="D15">
        <f>B15-B28</f>
        <v>18</v>
      </c>
    </row>
    <row r="16" spans="1:4" x14ac:dyDescent="0.25">
      <c r="A16" t="s">
        <v>72</v>
      </c>
      <c r="B16">
        <v>10</v>
      </c>
      <c r="C16" s="5">
        <f t="shared" si="0"/>
        <v>1.333</v>
      </c>
      <c r="D16">
        <f>B16-B28</f>
        <v>14</v>
      </c>
    </row>
    <row r="17" spans="1:4" x14ac:dyDescent="0.25">
      <c r="A17" t="s">
        <v>73</v>
      </c>
      <c r="B17">
        <v>7</v>
      </c>
      <c r="C17" s="5">
        <f t="shared" si="0"/>
        <v>0.93310000000000004</v>
      </c>
      <c r="D17">
        <f>B17-B28</f>
        <v>11</v>
      </c>
    </row>
    <row r="18" spans="1:4" x14ac:dyDescent="0.25">
      <c r="A18" t="s">
        <v>74</v>
      </c>
      <c r="B18">
        <v>6</v>
      </c>
      <c r="C18" s="5">
        <f t="shared" si="0"/>
        <v>0.79980000000000007</v>
      </c>
      <c r="D18">
        <f>B18-B28</f>
        <v>10</v>
      </c>
    </row>
    <row r="19" spans="1:4" x14ac:dyDescent="0.25">
      <c r="C19" s="5"/>
    </row>
    <row r="20" spans="1:4" x14ac:dyDescent="0.25">
      <c r="A20" t="s">
        <v>67</v>
      </c>
      <c r="C20" s="5"/>
    </row>
    <row r="21" spans="1:4" x14ac:dyDescent="0.25">
      <c r="A21" s="2" t="s">
        <v>75</v>
      </c>
      <c r="B21">
        <v>120</v>
      </c>
      <c r="C21" s="5">
        <f>0.1333*B21</f>
        <v>15.996</v>
      </c>
      <c r="D21">
        <f>B21</f>
        <v>120</v>
      </c>
    </row>
    <row r="22" spans="1:4" x14ac:dyDescent="0.25">
      <c r="A22" s="2" t="s">
        <v>76</v>
      </c>
      <c r="B22">
        <v>80</v>
      </c>
      <c r="C22" s="5">
        <f>0.1333*B22</f>
        <v>10.664</v>
      </c>
      <c r="D22">
        <f>B22</f>
        <v>80</v>
      </c>
    </row>
    <row r="23" spans="1:4" x14ac:dyDescent="0.25">
      <c r="C23" s="5"/>
    </row>
    <row r="24" spans="1:4" x14ac:dyDescent="0.25">
      <c r="A24" t="s">
        <v>71</v>
      </c>
      <c r="C24" s="5"/>
    </row>
    <row r="25" spans="1:4" x14ac:dyDescent="0.25">
      <c r="A25" s="2" t="s">
        <v>75</v>
      </c>
      <c r="B25">
        <v>21</v>
      </c>
      <c r="C25" s="5">
        <f>0.1333*B25</f>
        <v>2.7993000000000001</v>
      </c>
      <c r="D25">
        <f>B25-B28</f>
        <v>25</v>
      </c>
    </row>
    <row r="26" spans="1:4" x14ac:dyDescent="0.25">
      <c r="A26" s="2" t="s">
        <v>76</v>
      </c>
      <c r="B26">
        <v>9</v>
      </c>
      <c r="C26" s="5">
        <f>0.1333*B26</f>
        <v>1.1997</v>
      </c>
      <c r="D26">
        <f>B26-B28</f>
        <v>13</v>
      </c>
    </row>
    <row r="27" spans="1:4" x14ac:dyDescent="0.25">
      <c r="C27" s="5"/>
    </row>
    <row r="28" spans="1:4" x14ac:dyDescent="0.25">
      <c r="A28" t="s">
        <v>77</v>
      </c>
      <c r="B28">
        <v>-4</v>
      </c>
      <c r="C28" s="5">
        <f>0.1333*B28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4" sqref="C1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92</v>
      </c>
    </row>
    <row r="2" spans="1:4" x14ac:dyDescent="0.25">
      <c r="B2" t="s">
        <v>103</v>
      </c>
      <c r="D2" t="s">
        <v>104</v>
      </c>
    </row>
    <row r="3" spans="1:4" x14ac:dyDescent="0.25">
      <c r="A3" t="s">
        <v>94</v>
      </c>
      <c r="B3" t="s">
        <v>105</v>
      </c>
      <c r="C3" t="s">
        <v>106</v>
      </c>
      <c r="D3" t="s">
        <v>95</v>
      </c>
    </row>
    <row r="4" spans="1:4" x14ac:dyDescent="0.25">
      <c r="A4" t="s">
        <v>93</v>
      </c>
      <c r="B4">
        <f>SystemicArtysPressure</f>
        <v>97</v>
      </c>
      <c r="C4">
        <f>SystemicVeinsPressure</f>
        <v>10</v>
      </c>
      <c r="D4">
        <f t="shared" ref="D4:D19" si="0">B4-C4</f>
        <v>87</v>
      </c>
    </row>
    <row r="5" spans="1:4" x14ac:dyDescent="0.25">
      <c r="A5" t="s">
        <v>98</v>
      </c>
      <c r="B5">
        <f>SystemicArtysPressure</f>
        <v>97</v>
      </c>
      <c r="C5">
        <f>SplanchnicVeinsPressure</f>
        <v>8</v>
      </c>
      <c r="D5">
        <f t="shared" si="0"/>
        <v>89</v>
      </c>
    </row>
    <row r="6" spans="1:4" x14ac:dyDescent="0.25">
      <c r="A6" t="s">
        <v>96</v>
      </c>
      <c r="B6">
        <f>SystemicArtysPressure</f>
        <v>97</v>
      </c>
      <c r="C6">
        <f>RightAtrialPressure</f>
        <v>2</v>
      </c>
      <c r="D6">
        <f t="shared" si="0"/>
        <v>95</v>
      </c>
    </row>
    <row r="7" spans="1:4" x14ac:dyDescent="0.25">
      <c r="A7" t="s">
        <v>132</v>
      </c>
      <c r="B7">
        <f>SystemicArtysPressure</f>
        <v>97</v>
      </c>
      <c r="C7">
        <f>ArcuateArtyPressure</f>
        <v>95</v>
      </c>
      <c r="D7">
        <f t="shared" si="0"/>
        <v>2</v>
      </c>
    </row>
    <row r="8" spans="1:4" x14ac:dyDescent="0.25">
      <c r="A8" t="s">
        <v>133</v>
      </c>
      <c r="B8">
        <f>ArcuateArtyPressure</f>
        <v>95</v>
      </c>
      <c r="C8">
        <f>GlomularPressure</f>
        <v>60</v>
      </c>
      <c r="D8">
        <f t="shared" si="0"/>
        <v>35</v>
      </c>
    </row>
    <row r="9" spans="1:4" x14ac:dyDescent="0.25">
      <c r="A9" t="s">
        <v>134</v>
      </c>
      <c r="B9">
        <f>GlomularPressure</f>
        <v>60</v>
      </c>
      <c r="C9">
        <f>SystemicVeinsPressure</f>
        <v>10</v>
      </c>
      <c r="D9">
        <f t="shared" si="0"/>
        <v>50</v>
      </c>
    </row>
    <row r="10" spans="1:4" x14ac:dyDescent="0.25">
      <c r="A10" t="s">
        <v>130</v>
      </c>
      <c r="B10">
        <f>SystemicArtysPressure</f>
        <v>97</v>
      </c>
      <c r="C10">
        <f>LHeartLargeVesselPressure</f>
        <v>93.5</v>
      </c>
      <c r="D10">
        <f t="shared" si="0"/>
        <v>3.5</v>
      </c>
    </row>
    <row r="11" spans="1:4" x14ac:dyDescent="0.25">
      <c r="A11" t="s">
        <v>135</v>
      </c>
      <c r="B11">
        <f>LHeartLargeVesselPressure</f>
        <v>93.5</v>
      </c>
      <c r="C11">
        <f>RightAtrialPressure</f>
        <v>2</v>
      </c>
      <c r="D11">
        <f t="shared" si="0"/>
        <v>91.5</v>
      </c>
    </row>
    <row r="12" spans="1:4" x14ac:dyDescent="0.25">
      <c r="A12" t="s">
        <v>131</v>
      </c>
      <c r="B12">
        <f>SystemicArtysPressure</f>
        <v>97</v>
      </c>
      <c r="C12">
        <f>RHeartLargeVesselPressure</f>
        <v>93.5</v>
      </c>
      <c r="D12">
        <f t="shared" si="0"/>
        <v>3.5</v>
      </c>
    </row>
    <row r="13" spans="1:4" x14ac:dyDescent="0.25">
      <c r="A13" t="s">
        <v>136</v>
      </c>
      <c r="B13">
        <f>RHeartLargeVesselPressure</f>
        <v>93.5</v>
      </c>
      <c r="C13">
        <f>RightAtrialPressure</f>
        <v>2</v>
      </c>
      <c r="D13">
        <f t="shared" si="0"/>
        <v>91.5</v>
      </c>
    </row>
    <row r="14" spans="1:4" x14ac:dyDescent="0.25">
      <c r="A14" t="s">
        <v>97</v>
      </c>
      <c r="B14">
        <f>SplanchnicVeinsPressure</f>
        <v>8</v>
      </c>
      <c r="C14">
        <f>RightAtrialPressure</f>
        <v>2</v>
      </c>
      <c r="D14">
        <f t="shared" si="0"/>
        <v>6</v>
      </c>
    </row>
    <row r="15" spans="1:4" x14ac:dyDescent="0.25">
      <c r="A15" t="s">
        <v>99</v>
      </c>
      <c r="B15">
        <f>SystemicVeinsPressure</f>
        <v>10</v>
      </c>
      <c r="C15">
        <f>RightAtrialPressure</f>
        <v>2</v>
      </c>
      <c r="D15">
        <f t="shared" si="0"/>
        <v>8</v>
      </c>
    </row>
    <row r="17" spans="1:4" x14ac:dyDescent="0.25">
      <c r="A17" t="s">
        <v>100</v>
      </c>
      <c r="B17">
        <f>PulmArtyPressure</f>
        <v>14</v>
      </c>
      <c r="C17">
        <f>PulmCapysPressure</f>
        <v>10</v>
      </c>
      <c r="D17">
        <f t="shared" si="0"/>
        <v>4</v>
      </c>
    </row>
    <row r="18" spans="1:4" x14ac:dyDescent="0.25">
      <c r="A18" t="s">
        <v>101</v>
      </c>
      <c r="B18">
        <f>PulmCapysPressure</f>
        <v>10</v>
      </c>
      <c r="C18">
        <f>PulmVeinsPressure</f>
        <v>7</v>
      </c>
      <c r="D18">
        <f t="shared" si="0"/>
        <v>3</v>
      </c>
    </row>
    <row r="19" spans="1:4" x14ac:dyDescent="0.25">
      <c r="A19" t="s">
        <v>102</v>
      </c>
      <c r="B19">
        <f>PulmVeinsPressure</f>
        <v>7</v>
      </c>
      <c r="C19">
        <f>LeftAtrialPressure</f>
        <v>6</v>
      </c>
      <c r="D19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5" sqref="H15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108</v>
      </c>
    </row>
    <row r="2" spans="1:9" x14ac:dyDescent="0.25">
      <c r="C2" t="s">
        <v>109</v>
      </c>
      <c r="D2" t="s">
        <v>110</v>
      </c>
      <c r="E2" t="s">
        <v>110</v>
      </c>
      <c r="F2" t="s">
        <v>109</v>
      </c>
      <c r="G2" t="s">
        <v>110</v>
      </c>
      <c r="H2" t="s">
        <v>111</v>
      </c>
      <c r="I2" t="s">
        <v>110</v>
      </c>
    </row>
    <row r="3" spans="1:9" x14ac:dyDescent="0.25">
      <c r="A3" t="s">
        <v>27</v>
      </c>
      <c r="B3" t="s">
        <v>19</v>
      </c>
      <c r="C3" t="s">
        <v>22</v>
      </c>
      <c r="D3" t="s">
        <v>22</v>
      </c>
      <c r="E3" t="s">
        <v>23</v>
      </c>
      <c r="F3" t="s">
        <v>24</v>
      </c>
      <c r="G3" t="s">
        <v>24</v>
      </c>
      <c r="H3" t="s">
        <v>24</v>
      </c>
      <c r="I3" t="s">
        <v>116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 t="shared" ref="D4:D15" si="0">B4*C4</f>
        <v>3432</v>
      </c>
      <c r="E4" s="1">
        <f t="shared" ref="E4:E15" si="1">B4-D4</f>
        <v>7293</v>
      </c>
      <c r="F4">
        <v>0.76</v>
      </c>
      <c r="G4" s="1">
        <f>E4*F4</f>
        <v>5542.68</v>
      </c>
      <c r="H4" s="1" t="s">
        <v>25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 t="shared" si="0"/>
        <v>1005.0000000000001</v>
      </c>
      <c r="E5" s="1">
        <f t="shared" si="1"/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 t="shared" si="0"/>
        <v>2407.5</v>
      </c>
      <c r="E6" s="1">
        <f t="shared" si="1"/>
        <v>13642.5</v>
      </c>
      <c r="F6">
        <v>0.89</v>
      </c>
      <c r="G6" s="1">
        <f>E6*F6</f>
        <v>12141.825000000001</v>
      </c>
      <c r="H6" s="1" t="s">
        <v>84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 t="shared" si="0"/>
        <v>854.25</v>
      </c>
      <c r="E7" s="1">
        <f t="shared" si="1"/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 t="shared" si="0"/>
        <v>221.10000000000002</v>
      </c>
      <c r="E8" s="1">
        <f t="shared" si="1"/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 t="shared" si="0"/>
        <v>196.02524999999997</v>
      </c>
      <c r="E9" s="1">
        <f t="shared" si="1"/>
        <v>96.54974999999996</v>
      </c>
      <c r="F9">
        <v>0.7</v>
      </c>
      <c r="G9" s="1">
        <f>E9*F9</f>
        <v>67.584824999999967</v>
      </c>
      <c r="H9" s="1" t="s">
        <v>26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 t="shared" si="0"/>
        <v>1306.5</v>
      </c>
      <c r="E10" s="1">
        <f t="shared" si="1"/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 t="shared" si="0"/>
        <v>2361.75</v>
      </c>
      <c r="E11" s="1">
        <f t="shared" si="1"/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 t="shared" si="0"/>
        <v>2844</v>
      </c>
      <c r="E12" s="1">
        <f t="shared" si="1"/>
        <v>756</v>
      </c>
      <c r="F12">
        <v>0.5</v>
      </c>
      <c r="G12" s="1">
        <f>E12*F12</f>
        <v>378</v>
      </c>
      <c r="H12" s="1" t="s">
        <v>26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 t="shared" si="0"/>
        <v>40.149749999999997</v>
      </c>
      <c r="E13" s="1">
        <f t="shared" si="1"/>
        <v>19.77525</v>
      </c>
      <c r="F13">
        <v>0.7</v>
      </c>
      <c r="G13" s="1">
        <f>E13*F13</f>
        <v>13.842675</v>
      </c>
      <c r="H13" s="1" t="s">
        <v>26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 t="shared" si="0"/>
        <v>20856</v>
      </c>
      <c r="E14" s="1">
        <f t="shared" si="1"/>
        <v>5544</v>
      </c>
      <c r="F14">
        <v>0.5</v>
      </c>
      <c r="G14" s="1">
        <f>E14*F14</f>
        <v>2772</v>
      </c>
      <c r="H14" s="1" t="s">
        <v>26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 t="shared" si="0"/>
        <v>1859.25</v>
      </c>
      <c r="E15" s="1">
        <f t="shared" si="1"/>
        <v>915.75</v>
      </c>
    </row>
    <row r="16" spans="1:9" x14ac:dyDescent="0.25">
      <c r="A16" t="s">
        <v>12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13</v>
      </c>
      <c r="B18">
        <f>BloodMass</f>
        <v>5550</v>
      </c>
    </row>
    <row r="19" spans="1:3" x14ac:dyDescent="0.25">
      <c r="A19" t="s">
        <v>115</v>
      </c>
      <c r="B19">
        <v>0.44</v>
      </c>
    </row>
    <row r="20" spans="1:3" x14ac:dyDescent="0.25">
      <c r="A20" t="s">
        <v>20</v>
      </c>
      <c r="B20">
        <f>B18*(1-Hematocrit)</f>
        <v>3108.0000000000005</v>
      </c>
    </row>
    <row r="21" spans="1:3" x14ac:dyDescent="0.25">
      <c r="A21" t="s">
        <v>21</v>
      </c>
      <c r="B21">
        <f>B18*Hematocrit</f>
        <v>2442</v>
      </c>
      <c r="C21">
        <v>0.66</v>
      </c>
    </row>
    <row r="22" spans="1:3" x14ac:dyDescent="0.25">
      <c r="A22" t="s">
        <v>22</v>
      </c>
      <c r="B22" s="1">
        <f>B21*C21</f>
        <v>1611.72</v>
      </c>
    </row>
    <row r="23" spans="1:3" x14ac:dyDescent="0.25">
      <c r="A23" t="s">
        <v>23</v>
      </c>
      <c r="B23" s="1">
        <f>B21*(1-C21)</f>
        <v>830.28</v>
      </c>
    </row>
    <row r="24" spans="1:3" x14ac:dyDescent="0.25">
      <c r="A24" t="s">
        <v>14</v>
      </c>
      <c r="B24">
        <f>LungH2OMass</f>
        <v>0</v>
      </c>
    </row>
    <row r="25" spans="1:3" x14ac:dyDescent="0.25">
      <c r="A25" t="s">
        <v>15</v>
      </c>
      <c r="B25">
        <f>PeritoneumMass</f>
        <v>0</v>
      </c>
    </row>
    <row r="26" spans="1:3" x14ac:dyDescent="0.25">
      <c r="A26" t="s">
        <v>16</v>
      </c>
      <c r="B26">
        <f>GutH2OMass</f>
        <v>975</v>
      </c>
    </row>
    <row r="27" spans="1:3" x14ac:dyDescent="0.25">
      <c r="A27" t="s">
        <v>17</v>
      </c>
      <c r="B27">
        <f>FluidsMass</f>
        <v>6525</v>
      </c>
    </row>
    <row r="29" spans="1:3" x14ac:dyDescent="0.25">
      <c r="A29" t="s">
        <v>18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H24" sqref="H24"/>
    </sheetView>
  </sheetViews>
  <sheetFormatPr defaultRowHeight="15" x14ac:dyDescent="0.25"/>
  <cols>
    <col min="1" max="1" width="14.7109375" customWidth="1"/>
    <col min="2" max="2" width="6.5703125" customWidth="1"/>
    <col min="3" max="3" width="7" customWidth="1"/>
    <col min="4" max="5" width="9.5703125" customWidth="1"/>
    <col min="6" max="6" width="6.5703125" customWidth="1"/>
    <col min="7" max="7" width="8" customWidth="1"/>
    <col min="8" max="8" width="6.85546875" customWidth="1"/>
    <col min="9" max="9" width="8.7109375" customWidth="1"/>
  </cols>
  <sheetData>
    <row r="1" spans="1:12" x14ac:dyDescent="0.25">
      <c r="A1" t="s">
        <v>121</v>
      </c>
    </row>
    <row r="3" spans="1:12" x14ac:dyDescent="0.25">
      <c r="A3" t="s">
        <v>81</v>
      </c>
      <c r="B3" t="s">
        <v>110</v>
      </c>
      <c r="C3" t="s">
        <v>79</v>
      </c>
      <c r="D3" t="s">
        <v>119</v>
      </c>
    </row>
    <row r="4" spans="1:12" x14ac:dyDescent="0.25">
      <c r="A4" t="s">
        <v>82</v>
      </c>
      <c r="B4">
        <f>BodyMassMale</f>
        <v>75</v>
      </c>
      <c r="C4">
        <v>7.1999999999999995E-2</v>
      </c>
      <c r="D4">
        <f>1000*C4*B4</f>
        <v>5400</v>
      </c>
    </row>
    <row r="5" spans="1:12" x14ac:dyDescent="0.25">
      <c r="A5" t="s">
        <v>83</v>
      </c>
      <c r="B5" s="5">
        <f>BodyMassFemale</f>
        <v>60.45</v>
      </c>
      <c r="C5">
        <f>C4</f>
        <v>7.1999999999999995E-2</v>
      </c>
      <c r="D5" s="1">
        <f>1000*C5*B5</f>
        <v>4352.4000000000005</v>
      </c>
    </row>
    <row r="7" spans="1:12" x14ac:dyDescent="0.25">
      <c r="B7" t="s">
        <v>82</v>
      </c>
      <c r="G7" t="s">
        <v>83</v>
      </c>
      <c r="L7" t="s">
        <v>87</v>
      </c>
    </row>
    <row r="8" spans="1:12" x14ac:dyDescent="0.25">
      <c r="A8" t="s">
        <v>27</v>
      </c>
      <c r="B8" t="s">
        <v>117</v>
      </c>
      <c r="C8" t="s">
        <v>118</v>
      </c>
      <c r="D8" t="s">
        <v>19</v>
      </c>
      <c r="E8" t="s">
        <v>120</v>
      </c>
      <c r="G8" t="s">
        <v>117</v>
      </c>
      <c r="H8" t="s">
        <v>118</v>
      </c>
      <c r="I8" t="s">
        <v>19</v>
      </c>
      <c r="J8" t="s">
        <v>120</v>
      </c>
      <c r="L8" t="s">
        <v>120</v>
      </c>
    </row>
    <row r="9" spans="1:12" x14ac:dyDescent="0.25">
      <c r="A9" t="s">
        <v>84</v>
      </c>
      <c r="B9">
        <v>5</v>
      </c>
      <c r="C9" s="1">
        <f>0.01*B9*D4</f>
        <v>270</v>
      </c>
      <c r="D9" s="1">
        <f>FatMassMale</f>
        <v>16050</v>
      </c>
      <c r="E9" s="7">
        <f t="shared" ref="E9:E17" si="0">C9/D9</f>
        <v>1.6822429906542057E-2</v>
      </c>
      <c r="G9">
        <v>8.5</v>
      </c>
      <c r="H9" s="1">
        <f t="shared" ref="H9:H21" si="1">0.01*G9*CardiacOutputFemale</f>
        <v>369.95400000000006</v>
      </c>
      <c r="I9" s="1">
        <f>FatMassFemale</f>
        <v>19767.150000000001</v>
      </c>
      <c r="J9" s="7">
        <f t="shared" ref="J9:J13" si="2">H9/I9</f>
        <v>1.8715596330275232E-2</v>
      </c>
      <c r="L9" s="7">
        <f t="shared" ref="L9:L14" si="3">(E9+J9)/2</f>
        <v>1.7769013118408644E-2</v>
      </c>
    </row>
    <row r="10" spans="1:12" x14ac:dyDescent="0.25">
      <c r="A10" t="s">
        <v>85</v>
      </c>
      <c r="B10">
        <v>0.3</v>
      </c>
      <c r="C10" s="1">
        <f>0.01*B10*D4</f>
        <v>16.2</v>
      </c>
      <c r="D10" s="1">
        <f>AdrenalMassMale</f>
        <v>15</v>
      </c>
      <c r="E10" s="7">
        <f t="shared" si="0"/>
        <v>1.0799999999999998</v>
      </c>
      <c r="G10">
        <v>0.3</v>
      </c>
      <c r="H10" s="1">
        <f t="shared" si="1"/>
        <v>13.057200000000002</v>
      </c>
      <c r="I10" s="1">
        <f>AdrenalMassFemale</f>
        <v>12.090000000000002</v>
      </c>
      <c r="J10" s="7">
        <f t="shared" si="2"/>
        <v>1.08</v>
      </c>
      <c r="L10" s="7">
        <f t="shared" si="3"/>
        <v>1.08</v>
      </c>
    </row>
    <row r="11" spans="1:12" x14ac:dyDescent="0.25">
      <c r="A11" t="s">
        <v>0</v>
      </c>
      <c r="B11">
        <v>5</v>
      </c>
      <c r="C11" s="1">
        <f>0.01*B11*D4</f>
        <v>270</v>
      </c>
      <c r="D11" s="1">
        <f>BoneMassMale</f>
        <v>10725</v>
      </c>
      <c r="E11" s="7">
        <f t="shared" si="0"/>
        <v>2.5174825174825177E-2</v>
      </c>
      <c r="G11">
        <v>5</v>
      </c>
      <c r="H11" s="1">
        <f t="shared" si="1"/>
        <v>217.62000000000003</v>
      </c>
      <c r="I11" s="1">
        <f>BoneMassFemale</f>
        <v>8567.1460674157297</v>
      </c>
      <c r="J11" s="7">
        <f t="shared" si="2"/>
        <v>2.5401691331923895E-2</v>
      </c>
      <c r="L11" s="7">
        <f t="shared" si="3"/>
        <v>2.5288258253374538E-2</v>
      </c>
    </row>
    <row r="12" spans="1:12" x14ac:dyDescent="0.25">
      <c r="A12" t="s">
        <v>1</v>
      </c>
      <c r="B12">
        <v>12</v>
      </c>
      <c r="C12" s="1">
        <f>0.01*B12*D4</f>
        <v>648</v>
      </c>
      <c r="D12" s="1">
        <f>BrainMassMale</f>
        <v>1500</v>
      </c>
      <c r="E12" s="7">
        <f t="shared" si="0"/>
        <v>0.432</v>
      </c>
      <c r="G12">
        <v>12</v>
      </c>
      <c r="H12" s="1">
        <f t="shared" si="1"/>
        <v>522.28800000000001</v>
      </c>
      <c r="I12" s="1">
        <f>BrainMassFemale</f>
        <v>1198.2022471910109</v>
      </c>
      <c r="J12" s="7">
        <f t="shared" si="2"/>
        <v>0.43589302325581408</v>
      </c>
      <c r="L12" s="7">
        <f t="shared" si="3"/>
        <v>0.43394651162790704</v>
      </c>
    </row>
    <row r="13" spans="1:12" x14ac:dyDescent="0.25">
      <c r="A13" t="s">
        <v>43</v>
      </c>
      <c r="B13">
        <v>19</v>
      </c>
      <c r="C13" s="1">
        <f>0.01*B13*CardiacOutputMale</f>
        <v>1026</v>
      </c>
      <c r="D13" s="1">
        <f>GIMassMale</f>
        <v>1275</v>
      </c>
      <c r="E13" s="7">
        <f t="shared" si="0"/>
        <v>0.80470588235294116</v>
      </c>
      <c r="G13">
        <v>21</v>
      </c>
      <c r="H13" s="1">
        <f t="shared" si="1"/>
        <v>914.00400000000013</v>
      </c>
      <c r="I13" s="1">
        <f>GIMassFemale</f>
        <v>1018.4719101123592</v>
      </c>
      <c r="J13" s="7">
        <f t="shared" si="2"/>
        <v>0.89742681258549972</v>
      </c>
      <c r="L13" s="7">
        <f t="shared" si="3"/>
        <v>0.85106634746922039</v>
      </c>
    </row>
    <row r="14" spans="1:12" x14ac:dyDescent="0.25">
      <c r="A14" t="s">
        <v>44</v>
      </c>
      <c r="B14">
        <v>4</v>
      </c>
      <c r="C14" s="1">
        <f>0.01*B14*CardiacOutputMale</f>
        <v>216</v>
      </c>
      <c r="D14" s="1">
        <f>HeartMassMale</f>
        <v>352.49999999999994</v>
      </c>
      <c r="E14" s="7">
        <f t="shared" si="0"/>
        <v>0.61276595744680862</v>
      </c>
      <c r="G14">
        <v>5</v>
      </c>
      <c r="H14" s="1">
        <f t="shared" si="1"/>
        <v>217.62000000000003</v>
      </c>
      <c r="I14" s="1">
        <f>HeartMassFemale</f>
        <v>281.57752808988755</v>
      </c>
      <c r="J14" s="7">
        <f t="shared" ref="J14" si="4">H14/I14</f>
        <v>0.77285997031172726</v>
      </c>
      <c r="L14" s="7">
        <f t="shared" si="3"/>
        <v>0.69281296387926794</v>
      </c>
    </row>
    <row r="15" spans="1:12" x14ac:dyDescent="0.25">
      <c r="A15" t="s">
        <v>39</v>
      </c>
      <c r="B15">
        <v>6</v>
      </c>
      <c r="C15" s="1">
        <f>0.01*B15*CardiacOutputMale</f>
        <v>324</v>
      </c>
      <c r="D15" s="1"/>
      <c r="E15" s="7"/>
      <c r="G15">
        <v>6</v>
      </c>
      <c r="H15" s="1">
        <f t="shared" si="1"/>
        <v>261.14400000000001</v>
      </c>
      <c r="I15" s="1"/>
      <c r="J15" s="7"/>
      <c r="L15" s="7"/>
    </row>
    <row r="16" spans="1:12" x14ac:dyDescent="0.25">
      <c r="A16" t="s">
        <v>4</v>
      </c>
      <c r="B16">
        <v>19</v>
      </c>
      <c r="C16" s="1">
        <f>0.01*B16*D4</f>
        <v>1026</v>
      </c>
      <c r="D16" s="1">
        <f>KidneyMassMale</f>
        <v>330</v>
      </c>
      <c r="E16" s="7">
        <f t="shared" si="0"/>
        <v>3.1090909090909089</v>
      </c>
      <c r="G16">
        <v>17</v>
      </c>
      <c r="H16" s="1">
        <f t="shared" si="1"/>
        <v>739.90800000000013</v>
      </c>
      <c r="I16" s="1">
        <f>KidneyMassFemale</f>
        <v>263.60449438202244</v>
      </c>
      <c r="J16" s="7">
        <f t="shared" ref="J16:J17" si="5">H16/I16</f>
        <v>2.8068868921775909</v>
      </c>
      <c r="L16" s="7">
        <f t="shared" ref="L16:L21" si="6">(E16+J16)/2</f>
        <v>2.9579889006342501</v>
      </c>
    </row>
    <row r="17" spans="1:12" x14ac:dyDescent="0.25">
      <c r="A17" t="s">
        <v>6</v>
      </c>
      <c r="B17">
        <v>25</v>
      </c>
      <c r="C17" s="1">
        <f>0.01*B17*D4</f>
        <v>1350</v>
      </c>
      <c r="D17" s="1">
        <f>LiverMassMale</f>
        <v>1950</v>
      </c>
      <c r="E17" s="7">
        <f t="shared" si="0"/>
        <v>0.69230769230769229</v>
      </c>
      <c r="G17">
        <v>27</v>
      </c>
      <c r="H17" s="1">
        <f t="shared" si="1"/>
        <v>1175.1480000000001</v>
      </c>
      <c r="I17" s="1">
        <f>LiverMassFemale</f>
        <v>1557.6629213483143</v>
      </c>
      <c r="J17" s="7">
        <f t="shared" si="5"/>
        <v>0.75443023255813979</v>
      </c>
      <c r="L17" s="7">
        <f t="shared" si="6"/>
        <v>0.72336896243291604</v>
      </c>
    </row>
    <row r="18" spans="1:12" x14ac:dyDescent="0.25">
      <c r="A18" t="s">
        <v>86</v>
      </c>
      <c r="B18">
        <v>2.5</v>
      </c>
      <c r="C18" s="1">
        <f>0.01*B18*D4</f>
        <v>135</v>
      </c>
      <c r="D18" s="1">
        <f>LungMassMale</f>
        <v>570</v>
      </c>
      <c r="E18" s="7">
        <f>C18/D18</f>
        <v>0.23684210526315788</v>
      </c>
      <c r="G18">
        <v>2.5</v>
      </c>
      <c r="H18" s="1">
        <f t="shared" si="1"/>
        <v>108.81000000000002</v>
      </c>
      <c r="I18" s="1">
        <f>LungMassFemale</f>
        <v>459.42</v>
      </c>
      <c r="J18" s="7">
        <f>H18/I18</f>
        <v>0.23684210526315791</v>
      </c>
      <c r="L18" s="7">
        <f t="shared" si="6"/>
        <v>0.23684210526315791</v>
      </c>
    </row>
    <row r="19" spans="1:12" x14ac:dyDescent="0.25">
      <c r="A19" t="s">
        <v>55</v>
      </c>
      <c r="B19">
        <v>17</v>
      </c>
      <c r="C19" s="1">
        <f>0.01*B19*D4</f>
        <v>918.00000000000011</v>
      </c>
      <c r="D19" s="1">
        <f>MuscleMassMale</f>
        <v>30000</v>
      </c>
      <c r="E19" s="7">
        <f>C19/D19</f>
        <v>3.0600000000000002E-2</v>
      </c>
      <c r="G19">
        <v>12</v>
      </c>
      <c r="H19" s="1">
        <f t="shared" si="1"/>
        <v>522.28800000000001</v>
      </c>
      <c r="I19" s="1">
        <f>MuscleMassFemale</f>
        <v>17504.585393258429</v>
      </c>
      <c r="J19" s="7">
        <f>H19/I19</f>
        <v>2.9837210551764894E-2</v>
      </c>
      <c r="L19" s="7">
        <f t="shared" si="6"/>
        <v>3.0218605275882448E-2</v>
      </c>
    </row>
    <row r="20" spans="1:12" x14ac:dyDescent="0.25">
      <c r="A20" t="s">
        <v>11</v>
      </c>
      <c r="B20">
        <v>5</v>
      </c>
      <c r="C20" s="1">
        <f>0.01*B20*D4</f>
        <v>270</v>
      </c>
      <c r="D20" s="1">
        <f>SkinMassMale</f>
        <v>2775</v>
      </c>
      <c r="E20" s="7">
        <f>C20/D20</f>
        <v>9.7297297297297303E-2</v>
      </c>
      <c r="G20">
        <v>5</v>
      </c>
      <c r="H20" s="1">
        <f t="shared" si="1"/>
        <v>217.62000000000003</v>
      </c>
      <c r="I20" s="1">
        <f>SkinMassFemale</f>
        <v>2216.6741573033705</v>
      </c>
      <c r="J20" s="7">
        <f>H20/I20</f>
        <v>9.8174104336895066E-2</v>
      </c>
      <c r="L20" s="7">
        <f t="shared" si="6"/>
        <v>9.7735700817096177E-2</v>
      </c>
    </row>
    <row r="21" spans="1:12" x14ac:dyDescent="0.25">
      <c r="A21" t="s">
        <v>54</v>
      </c>
      <c r="B21">
        <v>1.5</v>
      </c>
      <c r="C21" s="1">
        <f>0.01*B21*D4</f>
        <v>81</v>
      </c>
      <c r="D21" s="1">
        <f>ThyroidMassMale</f>
        <v>22.5</v>
      </c>
      <c r="E21" s="7">
        <f>C21/D21</f>
        <v>3.6</v>
      </c>
      <c r="G21">
        <v>1.5</v>
      </c>
      <c r="H21" s="1">
        <f t="shared" si="1"/>
        <v>65.286000000000001</v>
      </c>
      <c r="I21" s="1">
        <f>ThyroidMassFemale</f>
        <v>18.135000000000002</v>
      </c>
      <c r="J21" s="7">
        <f>H21/I21</f>
        <v>3.5999999999999996</v>
      </c>
      <c r="L21" s="7">
        <f t="shared" si="6"/>
        <v>3.5999999999999996</v>
      </c>
    </row>
    <row r="22" spans="1:12" x14ac:dyDescent="0.25">
      <c r="C22" s="1"/>
      <c r="D22" s="1"/>
      <c r="E22" s="7"/>
      <c r="H22" s="1"/>
      <c r="I22" s="1"/>
      <c r="J22" s="7"/>
      <c r="L22" s="7"/>
    </row>
    <row r="23" spans="1:12" x14ac:dyDescent="0.25">
      <c r="A23" t="s">
        <v>60</v>
      </c>
      <c r="C23" s="1">
        <f>SUM(BoneFlowMale,BrainFlowMale,KidneyFlowMale,LiverFlowMale,SkinFlowMale,RHeartFlowMale,LHeartFlowMale,RMuscleFlowMale,OtherFlowMale)</f>
        <v>4322.16</v>
      </c>
      <c r="D23" s="1">
        <f>BaseMassMale</f>
        <v>26032.5</v>
      </c>
      <c r="E23" s="7">
        <f>C23/D23</f>
        <v>0.16602938634399309</v>
      </c>
      <c r="H23" s="1">
        <f>SUM(BoneFlowFemale,BrainFlowFemale,KidneyFlowFemale,LiverFlowFemale,SkinFlowFemale,RHeartFlowFemale,LHeartFlowFemale,RMuscleFlowFemale,OtherFlowFemale)</f>
        <v>3545.9604305592875</v>
      </c>
      <c r="I23" s="1">
        <f>BaseMassFemale</f>
        <v>20794.799999999996</v>
      </c>
      <c r="J23" s="7">
        <f>H23/I23</f>
        <v>0.17052149722811896</v>
      </c>
      <c r="L23" s="7">
        <f>(E23+J23)/2</f>
        <v>0.16827544178605602</v>
      </c>
    </row>
    <row r="24" spans="1:12" x14ac:dyDescent="0.25">
      <c r="C24" s="1"/>
      <c r="E24" s="7"/>
    </row>
    <row r="25" spans="1:12" x14ac:dyDescent="0.25">
      <c r="A25" t="s">
        <v>44</v>
      </c>
      <c r="C25" s="1">
        <f>HeartFlowMale</f>
        <v>216</v>
      </c>
      <c r="D25" s="1">
        <f>HeartMassMale</f>
        <v>352.49999999999994</v>
      </c>
      <c r="E25" s="7"/>
      <c r="H25" s="1">
        <f>HeartFlowFemale</f>
        <v>217.62000000000003</v>
      </c>
      <c r="I25" s="1">
        <f>HeartMassFemale</f>
        <v>281.57752808988755</v>
      </c>
    </row>
    <row r="26" spans="1:12" x14ac:dyDescent="0.25">
      <c r="A26" s="2" t="s">
        <v>45</v>
      </c>
      <c r="B26">
        <f>RHeartFractionMale</f>
        <v>0.17</v>
      </c>
      <c r="C26" s="1">
        <f>RHeartFractionMale*HeartFlowMale</f>
        <v>36.720000000000006</v>
      </c>
      <c r="D26" s="1">
        <f>RHeartMassMale</f>
        <v>59.924999999999997</v>
      </c>
      <c r="E26" s="7">
        <f>RHeartFlowMale/RHeartMassMale</f>
        <v>0.61276595744680862</v>
      </c>
      <c r="G26">
        <f>RHeartFractionFemale</f>
        <v>0.17000000000000004</v>
      </c>
      <c r="H26" s="1">
        <f>RHeartFractionFemale*HeartFlowFemale</f>
        <v>36.995400000000018</v>
      </c>
      <c r="I26" s="1">
        <f>RHeartMassFemale</f>
        <v>47.868179775280893</v>
      </c>
      <c r="J26" s="7">
        <f>RHeartFlowFemale/RHeartMassFemale</f>
        <v>0.77285997031172737</v>
      </c>
      <c r="L26" s="7">
        <f>(E26+J26)/2</f>
        <v>0.69281296387926794</v>
      </c>
    </row>
    <row r="27" spans="1:12" x14ac:dyDescent="0.25">
      <c r="A27" s="2" t="s">
        <v>46</v>
      </c>
      <c r="B27">
        <f>LHeartFractionMale</f>
        <v>0.83</v>
      </c>
      <c r="C27" s="1">
        <f>LHeartFractionMale*HeartFlowMale</f>
        <v>179.28</v>
      </c>
      <c r="D27" s="1">
        <f>LHeartMassMale</f>
        <v>292.57499999999993</v>
      </c>
      <c r="E27" s="7">
        <f>LHeartFlowMale/LHeartMassMale</f>
        <v>0.61276595744680862</v>
      </c>
      <c r="G27">
        <f>LHeartFractionFemale</f>
        <v>0.83</v>
      </c>
      <c r="H27" s="1">
        <f>LHeartFractionFemale*HeartFlowFemale</f>
        <v>180.62460000000002</v>
      </c>
      <c r="I27" s="1">
        <f>LHeartMassFemale</f>
        <v>233.70934831460664</v>
      </c>
      <c r="J27" s="7">
        <f>LHeartFlowFemale/LHeartMassFemale</f>
        <v>0.77285997031172726</v>
      </c>
      <c r="L27" s="7">
        <f>(E27+J27)/2</f>
        <v>0.69281296387926794</v>
      </c>
    </row>
    <row r="28" spans="1:12" x14ac:dyDescent="0.25">
      <c r="C28" s="1"/>
      <c r="D28" s="1"/>
      <c r="E28" s="7"/>
      <c r="H28" s="1"/>
      <c r="I28" s="1"/>
    </row>
    <row r="29" spans="1:12" x14ac:dyDescent="0.25">
      <c r="A29" t="s">
        <v>55</v>
      </c>
      <c r="C29" s="1">
        <f>MuscleFlowMale</f>
        <v>918.00000000000011</v>
      </c>
      <c r="D29" s="1">
        <f>MuscleMassMale</f>
        <v>30000</v>
      </c>
      <c r="E29" s="7"/>
      <c r="H29" s="1">
        <f>MuscleFlowFemale</f>
        <v>522.28800000000001</v>
      </c>
      <c r="I29" s="1">
        <f>MuscleMassFemale</f>
        <v>17504.585393258429</v>
      </c>
    </row>
    <row r="30" spans="1:12" x14ac:dyDescent="0.25">
      <c r="A30" s="2" t="s">
        <v>56</v>
      </c>
      <c r="B30">
        <f>RMuscleFractionMale</f>
        <v>0.12</v>
      </c>
      <c r="C30" s="1">
        <f>RMuscleFractionMale*MuscleFlowMale</f>
        <v>110.16000000000001</v>
      </c>
      <c r="D30" s="1">
        <f>RMuscleMassMale</f>
        <v>3600</v>
      </c>
      <c r="E30" s="7">
        <f>RMuscleFlowMale/RMuscleMassMale</f>
        <v>3.0600000000000002E-2</v>
      </c>
      <c r="G30" s="6">
        <f>RMuscleFractionFemale</f>
        <v>0.16428183408251101</v>
      </c>
      <c r="H30" s="1">
        <f>RMuscleFractionFemale*MuscleFlowFemale</f>
        <v>85.80243055928652</v>
      </c>
      <c r="I30" s="1">
        <f>RMuscleMassFemale</f>
        <v>2875.6853932584268</v>
      </c>
      <c r="J30" s="7">
        <f>RMuscleFlowFemale/RMuscleMassFemale</f>
        <v>2.9837210551764897E-2</v>
      </c>
      <c r="L30" s="7">
        <f>(E30+J30)/2</f>
        <v>3.0218605275882451E-2</v>
      </c>
    </row>
    <row r="31" spans="1:12" x14ac:dyDescent="0.25">
      <c r="A31" s="2" t="s">
        <v>57</v>
      </c>
      <c r="B31">
        <f>SMuscleFractionMale</f>
        <v>0.88</v>
      </c>
      <c r="C31" s="1">
        <f>SMuscleFractionMale*MuscleFlowMale</f>
        <v>807.84000000000015</v>
      </c>
      <c r="D31" s="1">
        <f>SMuscleMassMale</f>
        <v>26400</v>
      </c>
      <c r="E31" s="7">
        <f>SMuscleFlowMale/SMuscleMassMale</f>
        <v>3.0600000000000006E-2</v>
      </c>
      <c r="G31" s="6">
        <f>SMuscleFractionFemale</f>
        <v>0.83571816591748893</v>
      </c>
      <c r="H31" s="1">
        <f>SMuscleFractionFemale*MuscleFlowFemale</f>
        <v>436.48556944071345</v>
      </c>
      <c r="I31" s="1">
        <f>SMuscleMassFemale</f>
        <v>14628.900000000001</v>
      </c>
      <c r="J31" s="7">
        <f>SMuscleFlowFemale/SMuscleMassFemale</f>
        <v>2.983721055176489E-2</v>
      </c>
      <c r="L31" s="7">
        <f>(E31+J31)/2</f>
        <v>3.0218605275882448E-2</v>
      </c>
    </row>
    <row r="32" spans="1:12" x14ac:dyDescent="0.25">
      <c r="C32" s="1"/>
      <c r="D32" s="1"/>
      <c r="E32" s="7"/>
    </row>
    <row r="33" spans="1:12" x14ac:dyDescent="0.25">
      <c r="A33" s="8" t="s">
        <v>7</v>
      </c>
      <c r="C33" s="9">
        <f>CardiacOutputMale-FatFlowMale-BoneFlowMale-BrainFlowMale-HeartFlowMale-KidneyFlowMale-LiverFlowMale-MuscleFlowMale-SkinFlowMale</f>
        <v>431.99999999999989</v>
      </c>
      <c r="D33">
        <v>3525</v>
      </c>
      <c r="E33" s="7">
        <f>C33/D33</f>
        <v>0.12255319148936167</v>
      </c>
      <c r="H33" s="1">
        <f>CardiacOutputFemale-FatFlowFemale-BoneFlowFemale-BrainFlowFemale-HeartFlowFemale-KidneyFlowFemale-LiverFlowFemale-MuscleFlowFemale-SkinFlowFemale</f>
        <v>369.95400000000006</v>
      </c>
      <c r="I33" s="1">
        <f>D33*(I23/D23)</f>
        <v>2815.7752808988757</v>
      </c>
      <c r="J33" s="7">
        <f>H33/I33</f>
        <v>0.13138619495299361</v>
      </c>
      <c r="L33" s="7">
        <f>(E33+J33)/2</f>
        <v>0.12696969322117763</v>
      </c>
    </row>
    <row r="34" spans="1:12" x14ac:dyDescent="0.25">
      <c r="A34" s="2"/>
      <c r="C34" s="1"/>
      <c r="D34" s="1"/>
      <c r="E34" s="7"/>
    </row>
    <row r="35" spans="1:12" x14ac:dyDescent="0.25">
      <c r="C35" s="1"/>
      <c r="D35" s="1"/>
      <c r="E35" s="7"/>
    </row>
    <row r="36" spans="1:12" x14ac:dyDescent="0.25">
      <c r="C36" s="1"/>
      <c r="D36" s="1"/>
      <c r="E36" s="7"/>
    </row>
    <row r="37" spans="1:12" x14ac:dyDescent="0.25">
      <c r="C37" s="1"/>
      <c r="D37" s="1"/>
      <c r="E37" s="7"/>
    </row>
    <row r="38" spans="1:12" x14ac:dyDescent="0.25">
      <c r="C38" s="1"/>
      <c r="D38" s="1"/>
      <c r="E38" s="7"/>
    </row>
    <row r="39" spans="1:12" x14ac:dyDescent="0.25">
      <c r="C39" s="1"/>
      <c r="D39" s="1"/>
      <c r="E39" s="7"/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" sqref="A2"/>
    </sheetView>
  </sheetViews>
  <sheetFormatPr defaultRowHeight="15" x14ac:dyDescent="0.25"/>
  <cols>
    <col min="1" max="1" width="28.85546875" customWidth="1"/>
    <col min="3" max="3" width="10.85546875" customWidth="1"/>
    <col min="4" max="4" width="12.5703125" customWidth="1"/>
    <col min="6" max="6" width="16.5703125" customWidth="1"/>
  </cols>
  <sheetData>
    <row r="1" spans="1:6" x14ac:dyDescent="0.25">
      <c r="A1" t="s">
        <v>138</v>
      </c>
    </row>
    <row r="3" spans="1:6" x14ac:dyDescent="0.25">
      <c r="A3" t="s">
        <v>27</v>
      </c>
      <c r="B3" t="s">
        <v>118</v>
      </c>
      <c r="C3" t="s">
        <v>95</v>
      </c>
      <c r="D3" t="s">
        <v>40</v>
      </c>
      <c r="E3" t="s">
        <v>110</v>
      </c>
      <c r="F3" t="s">
        <v>41</v>
      </c>
    </row>
    <row r="5" spans="1:6" x14ac:dyDescent="0.25">
      <c r="A5" t="s">
        <v>0</v>
      </c>
      <c r="B5" s="1">
        <f>BoneFlowMale</f>
        <v>270</v>
      </c>
      <c r="C5">
        <f t="shared" ref="C5:C15" si="0">SystemicGradient</f>
        <v>87</v>
      </c>
      <c r="D5" s="6">
        <f t="shared" ref="D5:D16" si="1">B5/C5</f>
        <v>3.103448275862069</v>
      </c>
      <c r="E5" s="1">
        <f>BoneMassMale</f>
        <v>10725</v>
      </c>
      <c r="F5" s="4">
        <f t="shared" ref="F5:F15" si="2">D5/E5</f>
        <v>2.8936580660718592E-4</v>
      </c>
    </row>
    <row r="6" spans="1:6" x14ac:dyDescent="0.25">
      <c r="A6" t="s">
        <v>1</v>
      </c>
      <c r="B6" s="1">
        <f>BrainFlowMale</f>
        <v>648</v>
      </c>
      <c r="C6">
        <f t="shared" si="0"/>
        <v>87</v>
      </c>
      <c r="D6" s="6">
        <f t="shared" si="1"/>
        <v>7.4482758620689653</v>
      </c>
      <c r="E6" s="1">
        <f>BrainMassMale</f>
        <v>1500</v>
      </c>
      <c r="F6" s="4">
        <f t="shared" si="2"/>
        <v>4.9655172413793098E-3</v>
      </c>
    </row>
    <row r="7" spans="1:6" x14ac:dyDescent="0.25">
      <c r="A7" t="s">
        <v>2</v>
      </c>
      <c r="B7" s="1">
        <f>FatFlowMale</f>
        <v>270</v>
      </c>
      <c r="C7">
        <f t="shared" si="0"/>
        <v>87</v>
      </c>
      <c r="D7" s="6">
        <f t="shared" si="1"/>
        <v>3.103448275862069</v>
      </c>
      <c r="E7" s="1">
        <f>FatMassMale</f>
        <v>16050</v>
      </c>
      <c r="F7" s="4">
        <f t="shared" si="2"/>
        <v>1.9336126329358685E-4</v>
      </c>
    </row>
    <row r="8" spans="1:6" x14ac:dyDescent="0.25">
      <c r="A8" t="s">
        <v>4</v>
      </c>
      <c r="B8" s="1">
        <f>KidneyFlowMale</f>
        <v>1026</v>
      </c>
      <c r="C8">
        <f t="shared" si="0"/>
        <v>87</v>
      </c>
      <c r="D8" s="6">
        <f t="shared" si="1"/>
        <v>11.793103448275861</v>
      </c>
      <c r="E8" s="1">
        <f>KidneyMassMale</f>
        <v>330</v>
      </c>
      <c r="F8" s="4">
        <f t="shared" si="2"/>
        <v>3.5736677115987457E-2</v>
      </c>
    </row>
    <row r="9" spans="1:6" x14ac:dyDescent="0.25">
      <c r="A9" s="2" t="s">
        <v>34</v>
      </c>
      <c r="B9" s="1"/>
      <c r="C9">
        <f>ArcuateArtyGradient</f>
        <v>2</v>
      </c>
      <c r="D9" s="1">
        <f>KidneyFlowMale/ArcuateArtyGradient</f>
        <v>513</v>
      </c>
      <c r="E9" s="1"/>
      <c r="F9" s="7">
        <f>D9/E8</f>
        <v>1.5545454545454545</v>
      </c>
    </row>
    <row r="10" spans="1:6" x14ac:dyDescent="0.25">
      <c r="A10" s="2" t="s">
        <v>35</v>
      </c>
      <c r="B10" s="1"/>
      <c r="C10">
        <f>AfferentArtyGradient</f>
        <v>35</v>
      </c>
      <c r="D10" s="5">
        <f>KidneyFlowMale/AfferentArtyGradient</f>
        <v>29.314285714285713</v>
      </c>
      <c r="E10" s="1"/>
      <c r="F10" s="4">
        <f>D10/E8</f>
        <v>8.883116883116883E-2</v>
      </c>
    </row>
    <row r="11" spans="1:6" x14ac:dyDescent="0.25">
      <c r="A11" s="2" t="s">
        <v>36</v>
      </c>
      <c r="B11" s="1"/>
      <c r="C11">
        <f>EfferentArtyGradient</f>
        <v>50</v>
      </c>
      <c r="D11" s="5">
        <f>KidneyFlowMale/EfferentArtyGradient</f>
        <v>20.52</v>
      </c>
      <c r="E11" s="1"/>
      <c r="F11" s="4">
        <f>D11/E8</f>
        <v>6.2181818181818178E-2</v>
      </c>
    </row>
    <row r="12" spans="1:6" x14ac:dyDescent="0.25">
      <c r="A12" t="s">
        <v>122</v>
      </c>
      <c r="B12" s="1">
        <f>OtherFlowMale</f>
        <v>431.99999999999989</v>
      </c>
      <c r="C12">
        <f t="shared" si="0"/>
        <v>87</v>
      </c>
      <c r="D12" s="6">
        <f t="shared" si="1"/>
        <v>4.9655172413793087</v>
      </c>
      <c r="E12" s="1">
        <f>OtherMassMale</f>
        <v>3525</v>
      </c>
      <c r="F12" s="4">
        <f t="shared" si="2"/>
        <v>1.4086573734409386E-3</v>
      </c>
    </row>
    <row r="13" spans="1:6" x14ac:dyDescent="0.25">
      <c r="A13" t="s">
        <v>8</v>
      </c>
      <c r="B13" s="1">
        <f>RMuscleFlowMale</f>
        <v>110.16000000000001</v>
      </c>
      <c r="C13">
        <f t="shared" si="0"/>
        <v>87</v>
      </c>
      <c r="D13" s="6">
        <f t="shared" si="1"/>
        <v>1.2662068965517244</v>
      </c>
      <c r="E13" s="1">
        <f>RMuscleMassMale</f>
        <v>3600</v>
      </c>
      <c r="F13" s="4">
        <f t="shared" si="2"/>
        <v>3.5172413793103452E-4</v>
      </c>
    </row>
    <row r="14" spans="1:6" x14ac:dyDescent="0.25">
      <c r="A14" t="s">
        <v>10</v>
      </c>
      <c r="B14" s="1">
        <f>SMuscleFlowMale</f>
        <v>807.84000000000015</v>
      </c>
      <c r="C14">
        <f t="shared" si="0"/>
        <v>87</v>
      </c>
      <c r="D14" s="6">
        <f t="shared" si="1"/>
        <v>9.2855172413793117</v>
      </c>
      <c r="E14" s="1">
        <f>SMuscleMassMale</f>
        <v>26400</v>
      </c>
      <c r="F14" s="4">
        <f t="shared" si="2"/>
        <v>3.5172413793103452E-4</v>
      </c>
    </row>
    <row r="15" spans="1:6" x14ac:dyDescent="0.25">
      <c r="A15" t="s">
        <v>11</v>
      </c>
      <c r="B15" s="1">
        <f>SkinFlowMale</f>
        <v>270</v>
      </c>
      <c r="C15">
        <f t="shared" si="0"/>
        <v>87</v>
      </c>
      <c r="D15" s="6">
        <f t="shared" si="1"/>
        <v>3.103448275862069</v>
      </c>
      <c r="E15" s="1">
        <f>SkinMassMale</f>
        <v>2775</v>
      </c>
      <c r="F15" s="4">
        <f t="shared" si="2"/>
        <v>1.1183597390493941E-3</v>
      </c>
    </row>
    <row r="16" spans="1:6" x14ac:dyDescent="0.25">
      <c r="A16" t="s">
        <v>123</v>
      </c>
      <c r="B16" s="1">
        <f>SUM(B5:B15)</f>
        <v>3834</v>
      </c>
      <c r="C16">
        <f>SystemicVeinsGradient</f>
        <v>8</v>
      </c>
      <c r="D16" s="1">
        <f t="shared" si="1"/>
        <v>479.25</v>
      </c>
      <c r="E16" s="1"/>
      <c r="F16" s="4"/>
    </row>
    <row r="17" spans="1:6" x14ac:dyDescent="0.25">
      <c r="B17" s="1"/>
      <c r="E17" s="1"/>
      <c r="F17" s="4"/>
    </row>
    <row r="18" spans="1:6" x14ac:dyDescent="0.25">
      <c r="A18" t="s">
        <v>43</v>
      </c>
      <c r="B18" s="1">
        <f>GIFlowMale</f>
        <v>1026</v>
      </c>
      <c r="C18">
        <f>GITractGradient</f>
        <v>89</v>
      </c>
      <c r="D18" s="6">
        <f>B18/C18</f>
        <v>11.52808988764045</v>
      </c>
      <c r="E18" s="1">
        <f>GIMassMale</f>
        <v>1275</v>
      </c>
      <c r="F18" s="4">
        <f>D18/E18</f>
        <v>9.0416391275611376E-3</v>
      </c>
    </row>
    <row r="19" spans="1:6" x14ac:dyDescent="0.25">
      <c r="A19" t="s">
        <v>39</v>
      </c>
      <c r="B19" s="1">
        <f>HepaticArtyFlowMale</f>
        <v>324</v>
      </c>
      <c r="C19">
        <f>GITractGradient</f>
        <v>89</v>
      </c>
      <c r="D19" s="6">
        <f>B19/C19</f>
        <v>3.6404494382022472</v>
      </c>
      <c r="E19" s="1"/>
      <c r="F19" s="4"/>
    </row>
    <row r="20" spans="1:6" x14ac:dyDescent="0.25">
      <c r="A20" t="s">
        <v>6</v>
      </c>
      <c r="B20" s="1">
        <f>SUM(B18:B19)</f>
        <v>1350</v>
      </c>
      <c r="C20">
        <f>HepaticGradient</f>
        <v>6</v>
      </c>
      <c r="D20" s="1">
        <f>B20/C20</f>
        <v>225</v>
      </c>
      <c r="E20" s="1">
        <f>LiverMassMale</f>
        <v>1950</v>
      </c>
      <c r="F20" s="4">
        <f>D20/E20</f>
        <v>0.11538461538461539</v>
      </c>
    </row>
    <row r="21" spans="1:6" x14ac:dyDescent="0.25">
      <c r="B21" s="1"/>
      <c r="E21" s="1"/>
      <c r="F21" s="4"/>
    </row>
    <row r="22" spans="1:6" x14ac:dyDescent="0.25">
      <c r="A22" t="s">
        <v>124</v>
      </c>
      <c r="B22" s="1">
        <f>LiverFlowMale</f>
        <v>1350</v>
      </c>
      <c r="C22">
        <f>HepaticGradient</f>
        <v>6</v>
      </c>
      <c r="D22" s="1">
        <f>B22/C22</f>
        <v>225</v>
      </c>
      <c r="E22" s="1"/>
      <c r="F22" s="4"/>
    </row>
    <row r="23" spans="1:6" x14ac:dyDescent="0.25">
      <c r="B23" s="1"/>
      <c r="E23" s="1"/>
      <c r="F23" s="4"/>
    </row>
    <row r="24" spans="1:6" x14ac:dyDescent="0.25">
      <c r="A24" t="s">
        <v>5</v>
      </c>
      <c r="B24" s="1">
        <f>LHeartFlowMale</f>
        <v>179.28</v>
      </c>
      <c r="C24">
        <f>CoronaryGradient</f>
        <v>95</v>
      </c>
      <c r="D24" s="6">
        <f>B24/C24</f>
        <v>1.8871578947368421</v>
      </c>
      <c r="E24" s="1">
        <f>LHeartMassMale</f>
        <v>292.57499999999993</v>
      </c>
      <c r="F24" s="4">
        <f>D24/E24</f>
        <v>6.4501679731243013E-3</v>
      </c>
    </row>
    <row r="25" spans="1:6" x14ac:dyDescent="0.25">
      <c r="A25" s="2" t="s">
        <v>37</v>
      </c>
      <c r="B25" s="1"/>
      <c r="C25">
        <f>LHeartLargeVesselGradient</f>
        <v>3.5</v>
      </c>
      <c r="D25" s="5">
        <f>LHeartFlowMale/LHeartLargeVesselGradient</f>
        <v>51.222857142857144</v>
      </c>
      <c r="E25" s="1"/>
      <c r="F25" s="4">
        <f>D25/E24</f>
        <v>0.17507598784194534</v>
      </c>
    </row>
    <row r="26" spans="1:6" x14ac:dyDescent="0.25">
      <c r="A26" s="2" t="s">
        <v>38</v>
      </c>
      <c r="B26" s="1"/>
      <c r="C26">
        <f>LHeartSmallVesselGradient</f>
        <v>91.5</v>
      </c>
      <c r="D26" s="6">
        <f>LHeartFlowMale/LHeartSmallVesselGradient</f>
        <v>1.9593442622950821</v>
      </c>
      <c r="E26" s="1"/>
      <c r="F26" s="4">
        <f>D26/E24</f>
        <v>6.6968957098011879E-3</v>
      </c>
    </row>
    <row r="27" spans="1:6" x14ac:dyDescent="0.25">
      <c r="A27" t="s">
        <v>9</v>
      </c>
      <c r="B27" s="1">
        <f>RHeartFlowMale</f>
        <v>36.720000000000006</v>
      </c>
      <c r="C27">
        <f>CoronaryGradient</f>
        <v>95</v>
      </c>
      <c r="D27" s="6">
        <f>B27/C27</f>
        <v>0.38652631578947377</v>
      </c>
      <c r="E27" s="1">
        <f>RHeartMassMale</f>
        <v>59.924999999999997</v>
      </c>
      <c r="F27" s="4">
        <f>D27/E27</f>
        <v>6.4501679731243022E-3</v>
      </c>
    </row>
    <row r="28" spans="1:6" x14ac:dyDescent="0.25">
      <c r="A28" s="2" t="s">
        <v>37</v>
      </c>
      <c r="B28" s="1"/>
      <c r="C28">
        <f>RheartLargeVesselGradient</f>
        <v>3.5</v>
      </c>
      <c r="D28" s="5">
        <f>RHeartFlowMale/RheartLargeVesselGradient</f>
        <v>10.491428571428573</v>
      </c>
      <c r="E28" s="1"/>
      <c r="F28" s="4">
        <f>D28/E27</f>
        <v>0.17507598784194531</v>
      </c>
    </row>
    <row r="29" spans="1:6" x14ac:dyDescent="0.25">
      <c r="A29" s="2" t="s">
        <v>38</v>
      </c>
      <c r="B29" s="1"/>
      <c r="C29">
        <f>RHeartSmallVesselGradient</f>
        <v>91.5</v>
      </c>
      <c r="D29" s="6">
        <f>RHeartFlowMale/RHeartSmallVesselGradient</f>
        <v>0.40131147540983614</v>
      </c>
      <c r="E29" s="1"/>
      <c r="F29" s="4">
        <f>D29/E27</f>
        <v>6.696895709801187E-3</v>
      </c>
    </row>
    <row r="30" spans="1:6" x14ac:dyDescent="0.25">
      <c r="A30" t="s">
        <v>125</v>
      </c>
      <c r="B30" s="1">
        <f>SUM(B24:B27)</f>
        <v>216</v>
      </c>
      <c r="E30" s="1"/>
    </row>
    <row r="31" spans="1:6" x14ac:dyDescent="0.25">
      <c r="B31" s="1"/>
      <c r="E31" s="1"/>
    </row>
    <row r="32" spans="1:6" x14ac:dyDescent="0.25">
      <c r="A32" t="s">
        <v>126</v>
      </c>
      <c r="B32" s="1">
        <f>SystemicVeinOutflow+HepaticVeinOutflow+CoronarySinusOutflow</f>
        <v>5400</v>
      </c>
      <c r="E32" s="1"/>
    </row>
    <row r="33" spans="1:5" x14ac:dyDescent="0.25">
      <c r="E33" s="1"/>
    </row>
    <row r="34" spans="1:5" x14ac:dyDescent="0.25">
      <c r="A34" t="s">
        <v>100</v>
      </c>
      <c r="B34">
        <f>VenousReturn</f>
        <v>5400</v>
      </c>
      <c r="C34">
        <f>PulmArtyGradient</f>
        <v>4</v>
      </c>
      <c r="D34" s="1">
        <f>B34/C34</f>
        <v>1350</v>
      </c>
      <c r="E34" s="1"/>
    </row>
    <row r="35" spans="1:5" x14ac:dyDescent="0.25">
      <c r="A35" t="s">
        <v>101</v>
      </c>
      <c r="B35">
        <f>VenousReturn</f>
        <v>5400</v>
      </c>
      <c r="C35">
        <f>PulmCapysGradient</f>
        <v>3</v>
      </c>
      <c r="D35" s="1">
        <f>B35/C35</f>
        <v>1800</v>
      </c>
      <c r="E35" s="1"/>
    </row>
    <row r="36" spans="1:5" x14ac:dyDescent="0.25">
      <c r="A36" t="s">
        <v>127</v>
      </c>
      <c r="B36">
        <f>VenousReturn</f>
        <v>5400</v>
      </c>
      <c r="C36">
        <f>PulmVeinsGradient</f>
        <v>1</v>
      </c>
      <c r="D36" s="1">
        <f>B36/C36</f>
        <v>5400</v>
      </c>
      <c r="E36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:H9"/>
    </sheetView>
  </sheetViews>
  <sheetFormatPr defaultRowHeight="15" x14ac:dyDescent="0.25"/>
  <cols>
    <col min="1" max="1" width="11" customWidth="1"/>
  </cols>
  <sheetData>
    <row r="1" spans="1:8" x14ac:dyDescent="0.25">
      <c r="A1" t="s">
        <v>140</v>
      </c>
    </row>
    <row r="3" spans="1:8" x14ac:dyDescent="0.25">
      <c r="B3" t="s">
        <v>82</v>
      </c>
      <c r="F3" t="s">
        <v>83</v>
      </c>
    </row>
    <row r="4" spans="1:8" x14ac:dyDescent="0.25">
      <c r="B4" t="s">
        <v>110</v>
      </c>
      <c r="C4" t="s">
        <v>120</v>
      </c>
      <c r="D4" t="s">
        <v>118</v>
      </c>
      <c r="F4" t="s">
        <v>110</v>
      </c>
      <c r="G4" t="s">
        <v>120</v>
      </c>
      <c r="H4" t="s">
        <v>118</v>
      </c>
    </row>
    <row r="5" spans="1:8" x14ac:dyDescent="0.25">
      <c r="A5" t="s">
        <v>141</v>
      </c>
      <c r="B5" s="1">
        <f>BaseMassMale</f>
        <v>26032.5</v>
      </c>
      <c r="C5" s="7">
        <f>BaseFlowGMale</f>
        <v>0.16602938634399309</v>
      </c>
      <c r="D5" s="1">
        <f>C5*B5</f>
        <v>4322.16</v>
      </c>
      <c r="F5" s="1">
        <f>BaseMassFemale</f>
        <v>20794.799999999996</v>
      </c>
      <c r="G5" s="7">
        <f>BaseFlowGFemale</f>
        <v>0.17052149722811896</v>
      </c>
      <c r="H5" s="1">
        <f>G5*F5</f>
        <v>3545.9604305592875</v>
      </c>
    </row>
    <row r="6" spans="1:8" x14ac:dyDescent="0.25">
      <c r="A6" t="s">
        <v>55</v>
      </c>
      <c r="B6" s="1">
        <f>SMuscleMassMale</f>
        <v>26400</v>
      </c>
      <c r="C6" s="7">
        <f>SMuscleFlowGMale</f>
        <v>3.0600000000000006E-2</v>
      </c>
      <c r="D6" s="1">
        <f>C6*B6</f>
        <v>807.84000000000015</v>
      </c>
      <c r="F6" s="1">
        <f>SMuscleMassFemale</f>
        <v>14628.900000000001</v>
      </c>
      <c r="G6" s="7">
        <f>SMuscleFlowGFemale</f>
        <v>2.983721055176489E-2</v>
      </c>
      <c r="H6" s="1">
        <f>G6*F6</f>
        <v>436.48556944071345</v>
      </c>
    </row>
    <row r="7" spans="1:8" x14ac:dyDescent="0.25">
      <c r="A7" t="s">
        <v>2</v>
      </c>
      <c r="B7" s="1">
        <f>FatMassMale</f>
        <v>16050</v>
      </c>
      <c r="C7" s="7">
        <f>FatFlowGMale</f>
        <v>1.6822429906542057E-2</v>
      </c>
      <c r="D7" s="1">
        <f>C7*B7</f>
        <v>270</v>
      </c>
      <c r="F7" s="1">
        <f>FatMassFemale</f>
        <v>19767.150000000001</v>
      </c>
      <c r="G7" s="7">
        <f>FatFlowGFemale</f>
        <v>1.8715596330275232E-2</v>
      </c>
      <c r="H7" s="1">
        <f>G7*F7</f>
        <v>369.95400000000006</v>
      </c>
    </row>
    <row r="8" spans="1:8" x14ac:dyDescent="0.25">
      <c r="A8" t="s">
        <v>32</v>
      </c>
      <c r="B8" s="1">
        <f>SUM(B5:B7)</f>
        <v>68482.5</v>
      </c>
      <c r="D8" s="1">
        <f>SUM(D5:D7)</f>
        <v>5400</v>
      </c>
      <c r="F8" s="1">
        <f>SUM(F5:F7)</f>
        <v>55190.85</v>
      </c>
      <c r="H8" s="1">
        <f>SUM(H5:H7)</f>
        <v>4352.4000000000005</v>
      </c>
    </row>
    <row r="9" spans="1:8" x14ac:dyDescent="0.25">
      <c r="A9" t="s">
        <v>142</v>
      </c>
      <c r="B9" s="1">
        <f>OrganMassMale</f>
        <v>68482.5</v>
      </c>
      <c r="D9" s="1">
        <f>CardiacOutputMale</f>
        <v>5400</v>
      </c>
      <c r="F9" s="1">
        <f>OrganMassFemale</f>
        <v>55190.85</v>
      </c>
      <c r="H9" s="1">
        <f>CardiacOutputFemale</f>
        <v>4352.4000000000005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125</vt:i4>
      </vt:variant>
    </vt:vector>
  </HeadingPairs>
  <TitlesOfParts>
    <vt:vector size="136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Flows &amp; Conductances</vt:lpstr>
      <vt:lpstr>Cardiac Output</vt:lpstr>
      <vt:lpstr>Blood Volume</vt:lpstr>
      <vt:lpstr>Calories Used</vt:lpstr>
      <vt:lpstr>AdrenalMassFemale</vt:lpstr>
      <vt:lpstr>AdrenalMassMale</vt:lpstr>
      <vt:lpstr>AfferentArtyGradient</vt:lpstr>
      <vt:lpstr>ArcuateArtyGradient</vt:lpstr>
      <vt:lpstr>ArcuateArtyPressure</vt:lpstr>
      <vt:lpstr>BaseFlowFemale</vt:lpstr>
      <vt:lpstr>BaseFlowGFemale</vt:lpstr>
      <vt:lpstr>BaseFlowGMale</vt:lpstr>
      <vt:lpstr>BaseFlowMale</vt:lpstr>
      <vt:lpstr>BaseMassFemale</vt:lpstr>
      <vt:lpstr>BaseMassMale</vt:lpstr>
      <vt:lpstr>BloodMass</vt:lpstr>
      <vt:lpstr>BodyMassFemale</vt:lpstr>
      <vt:lpstr>BodyMassMale</vt:lpstr>
      <vt:lpstr>BoneFlowFemale</vt:lpstr>
      <vt:lpstr>BoneFlowMale</vt:lpstr>
      <vt:lpstr>BoneMassFemale</vt:lpstr>
      <vt:lpstr>BoneMassMale</vt:lpstr>
      <vt:lpstr>BrainFlowFemale</vt:lpstr>
      <vt:lpstr>BrainFlowMale</vt:lpstr>
      <vt:lpstr>BrainMassFemale</vt:lpstr>
      <vt:lpstr>BrainMassMale</vt:lpstr>
      <vt:lpstr>CardiacOutputFemale</vt:lpstr>
      <vt:lpstr>CardiacOutputMale</vt:lpstr>
      <vt:lpstr>CoronaryGradient</vt:lpstr>
      <vt:lpstr>CoronarySinusOutflow</vt:lpstr>
      <vt:lpstr>EfferentArtyGradient</vt:lpstr>
      <vt:lpstr>FatFlowFemale</vt:lpstr>
      <vt:lpstr>FatFlowGFemale</vt:lpstr>
      <vt:lpstr>FatFlowGMale</vt:lpstr>
      <vt:lpstr>FatFlowMale</vt:lpstr>
      <vt:lpstr>FatMassFemale</vt:lpstr>
      <vt:lpstr>FatMassMale</vt:lpstr>
      <vt:lpstr>FluidsMass</vt:lpstr>
      <vt:lpstr>GIFlowFemale</vt:lpstr>
      <vt:lpstr>GIFlowMale</vt:lpstr>
      <vt:lpstr>GIMassFemale</vt:lpstr>
      <vt:lpstr>GIMassMale</vt:lpstr>
      <vt:lpstr>GITractGradient</vt:lpstr>
      <vt:lpstr>GlomularPressure</vt:lpstr>
      <vt:lpstr>GutH2OMass</vt:lpstr>
      <vt:lpstr>HeartFlowFemale</vt:lpstr>
      <vt:lpstr>HeartFlowMale</vt:lpstr>
      <vt:lpstr>HeartMassFemale</vt:lpstr>
      <vt:lpstr>HeartMassMale</vt:lpstr>
      <vt:lpstr>Hematocrit</vt:lpstr>
      <vt:lpstr>HepaticArtyFlowFemale</vt:lpstr>
      <vt:lpstr>HepaticArtyFlowMale</vt:lpstr>
      <vt:lpstr>HepaticGradient</vt:lpstr>
      <vt:lpstr>HepaticVeinOutflow</vt:lpstr>
      <vt:lpstr>KidneyFlowFemale</vt:lpstr>
      <vt:lpstr>KidneyFlowMale</vt:lpstr>
      <vt:lpstr>KidneyMassFemale</vt:lpstr>
      <vt:lpstr>KidneyMassMale</vt:lpstr>
      <vt:lpstr>LeftAtrialPressure</vt:lpstr>
      <vt:lpstr>LHeartFlowFemale</vt:lpstr>
      <vt:lpstr>LHeartFlowMale</vt:lpstr>
      <vt:lpstr>LHeartFractionFemale</vt:lpstr>
      <vt:lpstr>LHeartFractionMale</vt:lpstr>
      <vt:lpstr>LHeartLargeVesselGradient</vt:lpstr>
      <vt:lpstr>LHeartLargeVesselPressure</vt:lpstr>
      <vt:lpstr>LHeartMassFemale</vt:lpstr>
      <vt:lpstr>LHeartMassMale</vt:lpstr>
      <vt:lpstr>LHeartSmallVesselGradient</vt:lpstr>
      <vt:lpstr>LiverFlowFemale</vt:lpstr>
      <vt:lpstr>LiverFlowMale</vt:lpstr>
      <vt:lpstr>LiverMassFemale</vt:lpstr>
      <vt:lpstr>LiverMassMale</vt:lpstr>
      <vt:lpstr>LungH2OMass</vt:lpstr>
      <vt:lpstr>LungMassFemale</vt:lpstr>
      <vt:lpstr>LungMassMale</vt:lpstr>
      <vt:lpstr>MuscleFlowFemale</vt:lpstr>
      <vt:lpstr>MuscleFlowMale</vt:lpstr>
      <vt:lpstr>MuscleMassFemale</vt:lpstr>
      <vt:lpstr>MuscleMassMale</vt:lpstr>
      <vt:lpstr>OrganMassFemale</vt:lpstr>
      <vt:lpstr>OrganMassMale</vt:lpstr>
      <vt:lpstr>OtherFlowFemale</vt:lpstr>
      <vt:lpstr>OtherFlowMale</vt:lpstr>
      <vt:lpstr>OtherMassFemale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RHeartFlowFemale</vt:lpstr>
      <vt:lpstr>RHeartFlowMale</vt:lpstr>
      <vt:lpstr>RHeartFractionFemale</vt:lpstr>
      <vt:lpstr>RHeartFractionMale</vt:lpstr>
      <vt:lpstr>RheartLargeVesselGradient</vt:lpstr>
      <vt:lpstr>RHeartLargeVesselPressure</vt:lpstr>
      <vt:lpstr>RHeartMassFemale</vt:lpstr>
      <vt:lpstr>RHeartMassMale</vt:lpstr>
      <vt:lpstr>RHeartSmallVesselGradient</vt:lpstr>
      <vt:lpstr>RightAtrialPressure</vt:lpstr>
      <vt:lpstr>RMuscleFlowFemale</vt:lpstr>
      <vt:lpstr>RMuscleFlowMale</vt:lpstr>
      <vt:lpstr>RMuscleFractionFemale</vt:lpstr>
      <vt:lpstr>RMuscleFractionMale</vt:lpstr>
      <vt:lpstr>RMuscleMassFemale</vt:lpstr>
      <vt:lpstr>RMuscleMassMale</vt:lpstr>
      <vt:lpstr>SkinFlowFemale</vt:lpstr>
      <vt:lpstr>SkinFlowMale</vt:lpstr>
      <vt:lpstr>SkinMassFemale</vt:lpstr>
      <vt:lpstr>SkinMassMale</vt:lpstr>
      <vt:lpstr>SMuscleFlowFemale</vt:lpstr>
      <vt:lpstr>SMuscleFlowGFemale</vt:lpstr>
      <vt:lpstr>SMuscleFlowGMale</vt:lpstr>
      <vt:lpstr>SMuscleFlowMale</vt:lpstr>
      <vt:lpstr>SMuscleFractionFemale</vt:lpstr>
      <vt:lpstr>SMuscleFractionMale</vt:lpstr>
      <vt:lpstr>SMuscleMassFemale</vt:lpstr>
      <vt:lpstr>SMuscleMassMale</vt:lpstr>
      <vt:lpstr>SplanchnicVeinsPressure</vt:lpstr>
      <vt:lpstr>SystemicArtysPressure</vt:lpstr>
      <vt:lpstr>SystemicGradient</vt:lpstr>
      <vt:lpstr>SystemicVeinOutflow</vt:lpstr>
      <vt:lpstr>SystemicVeinsGradient</vt:lpstr>
      <vt:lpstr>SystemicVeinsPressure</vt:lpstr>
      <vt:lpstr>ThyroidMassFemale</vt:lpstr>
      <vt:lpstr>ThyroidMassMale</vt:lpstr>
      <vt:lpstr>VenousReturn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2012-02-09T13:50:57Z</cp:lastPrinted>
  <dcterms:created xsi:type="dcterms:W3CDTF">2012-02-04T15:43:29Z</dcterms:created>
  <dcterms:modified xsi:type="dcterms:W3CDTF">2012-02-09T15:59:06Z</dcterms:modified>
</cp:coreProperties>
</file>