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3395" windowHeight="6465" tabRatio="627" firstSheet="5" activeTab="6"/>
  </bookViews>
  <sheets>
    <sheet name="Body Mass" sheetId="8" r:id="rId1"/>
    <sheet name="Organ Mass - Male" sheetId="4" r:id="rId2"/>
    <sheet name="Organ Mass - Female" sheetId="5" r:id="rId3"/>
    <sheet name="Blood Pressures" sheetId="6" r:id="rId4"/>
    <sheet name="Pressure Gradients" sheetId="9" r:id="rId5"/>
    <sheet name="Organ Composition" sheetId="1" r:id="rId6"/>
    <sheet name="Organ Blood Flow" sheetId="7" r:id="rId7"/>
    <sheet name="Calories" sheetId="2" r:id="rId8"/>
    <sheet name="Vascular Conductance" sheetId="3" r:id="rId9"/>
  </sheets>
  <definedNames>
    <definedName name="BaseMassFemale">'Organ Mass - Female'!$D$16</definedName>
    <definedName name="BaseMassMale">'Organ Mass - Male'!$C$16</definedName>
    <definedName name="BloodMass">'Organ Mass - Male'!$C$19</definedName>
    <definedName name="BodyMassFemale">'Body Mass'!$B$5</definedName>
    <definedName name="BodyMassMale">'Body Mass'!$B$4</definedName>
    <definedName name="BoneMassMale">'Organ Mass - Male'!$C$4</definedName>
    <definedName name="BrainMassMale">'Organ Mass - Male'!$C$5</definedName>
    <definedName name="CoronaryGradient">'Pressure Gradients'!$D$6</definedName>
    <definedName name="FatMassMale">'Organ Mass - Male'!$C$6</definedName>
    <definedName name="FluidsMass">'Organ Mass - Male'!$C$23</definedName>
    <definedName name="GIMassMale">'Organ Mass - Male'!$C$7</definedName>
    <definedName name="GITractGradient">'Pressure Gradients'!$D$5</definedName>
    <definedName name="GutH2OMass">'Organ Mass - Male'!$C$22</definedName>
    <definedName name="Hematocrit">'Organ Composition'!$B$19</definedName>
    <definedName name="HepaticGradient">'Pressure Gradients'!$D$7</definedName>
    <definedName name="KidneyMassMale">'Organ Mass - Male'!$C$8</definedName>
    <definedName name="LeftAtrialPressure">'Blood Pressures'!$B$11</definedName>
    <definedName name="LHeartMassMale">'Organ Mass - Male'!$C$9</definedName>
    <definedName name="LiverMassMale">'Organ Mass - Male'!$C$10</definedName>
    <definedName name="LungH2OMass">'Organ Mass - Male'!$C$20</definedName>
    <definedName name="OtherMassMale">'Organ Mass - Male'!$C$11</definedName>
    <definedName name="PeritoneumMass">'Organ Mass - Male'!$C$21</definedName>
    <definedName name="PulmArtyGradient">'Pressure Gradients'!$D$9</definedName>
    <definedName name="PulmArtyPressure">'Blood Pressures'!$B$8</definedName>
    <definedName name="PulmCapysGradient">'Pressure Gradients'!$D$10</definedName>
    <definedName name="PulmCapysPressure">'Blood Pressures'!$B$9</definedName>
    <definedName name="PulmVeinsGradient">'Pressure Gradients'!$D$11</definedName>
    <definedName name="PulmVeinsPressure">'Blood Pressures'!$B$10</definedName>
    <definedName name="RHeartMassMale">'Organ Mass - Male'!$C$13</definedName>
    <definedName name="RightAtrialPressure">'Blood Pressures'!$B$7</definedName>
    <definedName name="RMuscleMassMale">'Organ Mass - Male'!$C$12</definedName>
    <definedName name="SkinMassMale">'Organ Mass - Male'!$C$15</definedName>
    <definedName name="SMuscleMassMale">'Organ Mass - Male'!$C$14</definedName>
    <definedName name="SplanchnicVeinsPressure">'Blood Pressures'!$B$6</definedName>
    <definedName name="SystemicArtysPressure">'Blood Pressures'!$B$4</definedName>
    <definedName name="SystemicGradient">'Pressure Gradients'!$D$4</definedName>
    <definedName name="SystemicVeinsGradient">'Pressure Gradients'!$D$8</definedName>
    <definedName name="SystemicVeinsPressure">'Blood Pressures'!$B$5</definedName>
  </definedNames>
  <calcPr calcId="145621"/>
</workbook>
</file>

<file path=xl/calcChain.xml><?xml version="1.0" encoding="utf-8"?>
<calcChain xmlns="http://schemas.openxmlformats.org/spreadsheetml/2006/main">
  <c r="I14" i="1" l="1"/>
  <c r="I13" i="1"/>
  <c r="I12" i="1"/>
  <c r="I9" i="1"/>
  <c r="I6" i="1"/>
  <c r="I4" i="1"/>
  <c r="B23" i="1"/>
  <c r="B22" i="1"/>
  <c r="B27" i="1"/>
  <c r="B26" i="1"/>
  <c r="B25" i="1"/>
  <c r="B24" i="1"/>
  <c r="B18" i="1"/>
  <c r="B21" i="1" s="1"/>
  <c r="C22" i="4"/>
  <c r="C21" i="4"/>
  <c r="C20" i="4"/>
  <c r="C19" i="4"/>
  <c r="D11" i="9"/>
  <c r="D10" i="9"/>
  <c r="D9" i="9"/>
  <c r="D8" i="9"/>
  <c r="D7" i="9"/>
  <c r="D6" i="9"/>
  <c r="D5" i="9"/>
  <c r="D4" i="9"/>
  <c r="C8" i="9"/>
  <c r="C11" i="9"/>
  <c r="C10" i="9"/>
  <c r="C9" i="9"/>
  <c r="B11" i="9"/>
  <c r="B10" i="9"/>
  <c r="B9" i="9"/>
  <c r="B8" i="9"/>
  <c r="C7" i="9"/>
  <c r="B7" i="9"/>
  <c r="C6" i="9"/>
  <c r="B6" i="9"/>
  <c r="C5" i="9"/>
  <c r="B5" i="9"/>
  <c r="C4" i="9"/>
  <c r="B4" i="9"/>
  <c r="D18" i="5"/>
  <c r="D14" i="5"/>
  <c r="D6" i="5"/>
  <c r="D16" i="5"/>
  <c r="D36" i="5"/>
  <c r="D35" i="5"/>
  <c r="D34" i="5"/>
  <c r="D33" i="5"/>
  <c r="D32" i="5"/>
  <c r="D31" i="5"/>
  <c r="D30" i="5"/>
  <c r="D29" i="5"/>
  <c r="C25" i="5"/>
  <c r="C21" i="5"/>
  <c r="C42" i="4"/>
  <c r="C41" i="4"/>
  <c r="C40" i="4"/>
  <c r="C39" i="4"/>
  <c r="C38" i="4"/>
  <c r="C37" i="4"/>
  <c r="C36" i="4"/>
  <c r="C35" i="4"/>
  <c r="C31" i="4"/>
  <c r="C27" i="4"/>
  <c r="C23" i="4"/>
  <c r="C15" i="4"/>
  <c r="B15" i="1" s="1"/>
  <c r="C14" i="4"/>
  <c r="B14" i="1" s="1"/>
  <c r="C13" i="4"/>
  <c r="B13" i="1" s="1"/>
  <c r="C12" i="4"/>
  <c r="B12" i="1" s="1"/>
  <c r="C11" i="4"/>
  <c r="B11" i="1" s="1"/>
  <c r="C10" i="4"/>
  <c r="B10" i="1" s="1"/>
  <c r="C9" i="4"/>
  <c r="B9" i="1" s="1"/>
  <c r="C8" i="4"/>
  <c r="B8" i="1" s="1"/>
  <c r="C7" i="4"/>
  <c r="B7" i="1" s="1"/>
  <c r="C6" i="4"/>
  <c r="B6" i="1" s="1"/>
  <c r="C5" i="4"/>
  <c r="B5" i="1" s="1"/>
  <c r="C4" i="4"/>
  <c r="C5" i="8"/>
  <c r="B5" i="8"/>
  <c r="C4" i="8"/>
  <c r="B20" i="1" l="1"/>
  <c r="C17" i="4"/>
  <c r="C25" i="4" s="1"/>
  <c r="B4" i="1"/>
  <c r="C16" i="4"/>
  <c r="D4" i="4" s="1"/>
  <c r="B27" i="5"/>
  <c r="B23" i="5"/>
  <c r="B39" i="7"/>
  <c r="B21" i="7"/>
  <c r="B2" i="7" l="1"/>
  <c r="D2" i="7" s="1"/>
  <c r="C13" i="7" s="1"/>
  <c r="C3" i="7"/>
  <c r="D10" i="6"/>
  <c r="D11" i="6"/>
  <c r="D9" i="6"/>
  <c r="D8" i="6"/>
  <c r="D7" i="6"/>
  <c r="D18" i="6"/>
  <c r="D19" i="6"/>
  <c r="D15" i="6"/>
  <c r="D14" i="6"/>
  <c r="D6" i="6"/>
  <c r="D5" i="6"/>
  <c r="D4" i="6"/>
  <c r="C21" i="6"/>
  <c r="C19" i="6"/>
  <c r="C18" i="6"/>
  <c r="C15" i="6"/>
  <c r="C14" i="6"/>
  <c r="C11" i="6"/>
  <c r="C10" i="6"/>
  <c r="C9" i="6"/>
  <c r="C8" i="6"/>
  <c r="C7" i="6"/>
  <c r="C6" i="6"/>
  <c r="C5" i="6"/>
  <c r="C4" i="6"/>
  <c r="D20" i="7"/>
  <c r="D15" i="7"/>
  <c r="D7" i="7"/>
  <c r="D19" i="7"/>
  <c r="D12" i="7"/>
  <c r="D11" i="7"/>
  <c r="D14" i="7"/>
  <c r="D6" i="7"/>
  <c r="D9" i="7"/>
  <c r="D8" i="7"/>
  <c r="B12" i="4"/>
  <c r="B33" i="4"/>
  <c r="B29" i="4"/>
  <c r="B9" i="4" s="1"/>
  <c r="B13" i="4"/>
  <c r="B14" i="4" l="1"/>
  <c r="B16" i="4"/>
  <c r="D12" i="4" s="1"/>
  <c r="C12" i="5" s="1"/>
  <c r="D12" i="5" s="1"/>
  <c r="C28" i="4"/>
  <c r="D10" i="7"/>
  <c r="D23" i="7" s="1"/>
  <c r="C32" i="4"/>
  <c r="D16" i="7"/>
  <c r="D17" i="7" s="1"/>
  <c r="D38" i="7"/>
  <c r="D35" i="7"/>
  <c r="D27" i="7"/>
  <c r="D26" i="7"/>
  <c r="B3" i="7"/>
  <c r="D3" i="7" s="1"/>
  <c r="C33" i="7" s="1"/>
  <c r="C19" i="7"/>
  <c r="E19" i="7" s="1"/>
  <c r="H19" i="7" s="1"/>
  <c r="C12" i="7"/>
  <c r="E12" i="7" s="1"/>
  <c r="H12" i="7" s="1"/>
  <c r="C8" i="7"/>
  <c r="C16" i="7"/>
  <c r="C11" i="7"/>
  <c r="E11" i="7" s="1"/>
  <c r="H11" i="7" s="1"/>
  <c r="C7" i="7"/>
  <c r="C15" i="7"/>
  <c r="E15" i="7" s="1"/>
  <c r="H15" i="7" s="1"/>
  <c r="C10" i="7"/>
  <c r="C6" i="7"/>
  <c r="C21" i="7" s="1"/>
  <c r="C20" i="7"/>
  <c r="E20" i="7" s="1"/>
  <c r="H20" i="7" s="1"/>
  <c r="C14" i="7"/>
  <c r="E14" i="7" s="1"/>
  <c r="H14" i="7" s="1"/>
  <c r="C9" i="7"/>
  <c r="E9" i="7" s="1"/>
  <c r="H9" i="7" s="1"/>
  <c r="B17" i="4"/>
  <c r="C33" i="4"/>
  <c r="C29" i="4"/>
  <c r="D21" i="3"/>
  <c r="D20" i="3"/>
  <c r="D16" i="3"/>
  <c r="D14" i="3"/>
  <c r="D12" i="3"/>
  <c r="D11" i="3"/>
  <c r="D9" i="3"/>
  <c r="D8" i="3"/>
  <c r="D7" i="3"/>
  <c r="D23" i="3"/>
  <c r="D22" i="3"/>
  <c r="D19" i="3"/>
  <c r="D18" i="3"/>
  <c r="D17" i="3"/>
  <c r="D10" i="3"/>
  <c r="D6" i="3"/>
  <c r="D5" i="3"/>
  <c r="D4" i="3"/>
  <c r="D3" i="3"/>
  <c r="D2" i="3"/>
  <c r="B25" i="3"/>
  <c r="B24" i="3"/>
  <c r="D21" i="2"/>
  <c r="D19" i="2"/>
  <c r="D18" i="2"/>
  <c r="D16" i="2"/>
  <c r="D15" i="2"/>
  <c r="D11" i="2"/>
  <c r="D10" i="2"/>
  <c r="D8" i="2"/>
  <c r="D7" i="2"/>
  <c r="D22" i="2"/>
  <c r="D20" i="2"/>
  <c r="D17" i="2"/>
  <c r="D14" i="2"/>
  <c r="D13" i="2"/>
  <c r="D12" i="2"/>
  <c r="D9" i="2"/>
  <c r="D6" i="2"/>
  <c r="D5" i="2"/>
  <c r="D4" i="2"/>
  <c r="D3" i="2"/>
  <c r="D2" i="2"/>
  <c r="B23" i="2"/>
  <c r="C23" i="2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B16" i="1"/>
  <c r="E10" i="7" l="1"/>
  <c r="H10" i="7" s="1"/>
  <c r="D21" i="7"/>
  <c r="B29" i="1"/>
  <c r="G9" i="1"/>
  <c r="G6" i="1"/>
  <c r="G12" i="1"/>
  <c r="G13" i="1"/>
  <c r="G14" i="1"/>
  <c r="E16" i="1"/>
  <c r="G4" i="1"/>
  <c r="D16" i="1"/>
  <c r="E7" i="7"/>
  <c r="H7" i="7" s="1"/>
  <c r="C23" i="7"/>
  <c r="E23" i="7" s="1"/>
  <c r="D7" i="4"/>
  <c r="C7" i="5" s="1"/>
  <c r="D7" i="5" s="1"/>
  <c r="D18" i="7"/>
  <c r="D15" i="4"/>
  <c r="C15" i="5" s="1"/>
  <c r="D15" i="5" s="1"/>
  <c r="D10" i="4"/>
  <c r="C10" i="5" s="1"/>
  <c r="D10" i="5" s="1"/>
  <c r="D13" i="4"/>
  <c r="C13" i="5" s="1"/>
  <c r="D13" i="5" s="1"/>
  <c r="E16" i="7"/>
  <c r="H16" i="7" s="1"/>
  <c r="C17" i="7"/>
  <c r="D5" i="4"/>
  <c r="C5" i="5" s="1"/>
  <c r="D5" i="5" s="1"/>
  <c r="C22" i="5"/>
  <c r="D30" i="7"/>
  <c r="C23" i="5"/>
  <c r="D11" i="4"/>
  <c r="C11" i="5" s="1"/>
  <c r="D11" i="5" s="1"/>
  <c r="B25" i="4"/>
  <c r="D8" i="4"/>
  <c r="C8" i="5" s="1"/>
  <c r="D8" i="5" s="1"/>
  <c r="C18" i="7"/>
  <c r="C27" i="5"/>
  <c r="D36" i="7"/>
  <c r="C26" i="5"/>
  <c r="D9" i="4"/>
  <c r="C9" i="5" s="1"/>
  <c r="D9" i="5" s="1"/>
  <c r="C35" i="7"/>
  <c r="E35" i="7" s="1"/>
  <c r="I15" i="7" s="1"/>
  <c r="J15" i="7" s="1"/>
  <c r="E8" i="7"/>
  <c r="H8" i="7" s="1"/>
  <c r="C31" i="7"/>
  <c r="C28" i="7"/>
  <c r="E6" i="7"/>
  <c r="H6" i="7" s="1"/>
  <c r="C34" i="7"/>
  <c r="C26" i="7"/>
  <c r="E26" i="7" s="1"/>
  <c r="I6" i="7" s="1"/>
  <c r="C32" i="7"/>
  <c r="C30" i="7"/>
  <c r="C27" i="7"/>
  <c r="E27" i="7" s="1"/>
  <c r="I7" i="7" s="1"/>
  <c r="C37" i="7"/>
  <c r="C29" i="7"/>
  <c r="C36" i="7"/>
  <c r="C38" i="7"/>
  <c r="E38" i="7" s="1"/>
  <c r="I20" i="7" s="1"/>
  <c r="J20" i="7" s="1"/>
  <c r="J7" i="7" l="1"/>
  <c r="E36" i="7"/>
  <c r="I16" i="7" s="1"/>
  <c r="J16" i="7" s="1"/>
  <c r="E30" i="7"/>
  <c r="I10" i="7" s="1"/>
  <c r="J10" i="7" s="1"/>
  <c r="D29" i="7"/>
  <c r="E29" i="7" s="1"/>
  <c r="I9" i="7" s="1"/>
  <c r="J9" i="7" s="1"/>
  <c r="C4" i="5"/>
  <c r="D25" i="4"/>
  <c r="J6" i="7"/>
  <c r="C39" i="7"/>
  <c r="D34" i="7"/>
  <c r="E34" i="7" s="1"/>
  <c r="I14" i="7" s="1"/>
  <c r="J14" i="7" s="1"/>
  <c r="D37" i="7"/>
  <c r="E37" i="7" s="1"/>
  <c r="I19" i="7" s="1"/>
  <c r="J19" i="7" s="1"/>
  <c r="D31" i="7"/>
  <c r="E31" i="7" s="1"/>
  <c r="I11" i="7" s="1"/>
  <c r="J11" i="7" s="1"/>
  <c r="D32" i="7"/>
  <c r="E32" i="7" s="1"/>
  <c r="I12" i="7" s="1"/>
  <c r="J12" i="7" s="1"/>
  <c r="C16" i="5" l="1"/>
  <c r="D4" i="5"/>
  <c r="D28" i="7" s="1"/>
  <c r="E28" i="7" l="1"/>
  <c r="I8" i="7" s="1"/>
  <c r="J8" i="7" s="1"/>
  <c r="D39" i="7"/>
  <c r="D17" i="5"/>
  <c r="D19" i="5" s="1"/>
</calcChain>
</file>

<file path=xl/sharedStrings.xml><?xml version="1.0" encoding="utf-8"?>
<sst xmlns="http://schemas.openxmlformats.org/spreadsheetml/2006/main" count="279" uniqueCount="128">
  <si>
    <t>Bone</t>
  </si>
  <si>
    <t>Brain</t>
  </si>
  <si>
    <t>Fat</t>
  </si>
  <si>
    <t>GITract</t>
  </si>
  <si>
    <t>Kidney</t>
  </si>
  <si>
    <t>Left Heart</t>
  </si>
  <si>
    <t>Liver</t>
  </si>
  <si>
    <t>Other Tissue</t>
  </si>
  <si>
    <t>Respiratory Muscle</t>
  </si>
  <si>
    <t>Right Heart</t>
  </si>
  <si>
    <t>Skeletal Muscle</t>
  </si>
  <si>
    <t>Skin</t>
  </si>
  <si>
    <t>Base Mass</t>
  </si>
  <si>
    <t>Organ Mass</t>
  </si>
  <si>
    <t>Blood</t>
  </si>
  <si>
    <t>Lung H2O</t>
  </si>
  <si>
    <t>Peritoneum</t>
  </si>
  <si>
    <t>Gut H2O</t>
  </si>
  <si>
    <t>Fluid Mass</t>
  </si>
  <si>
    <t>Body Weight</t>
  </si>
  <si>
    <t>Mass (G)</t>
  </si>
  <si>
    <t>Plasma Volume</t>
  </si>
  <si>
    <t>RBC's</t>
  </si>
  <si>
    <t>H2O</t>
  </si>
  <si>
    <t>Solids</t>
  </si>
  <si>
    <t>Special</t>
  </si>
  <si>
    <t>Mineral</t>
  </si>
  <si>
    <t>Muscle Protein</t>
  </si>
  <si>
    <t>Organ</t>
  </si>
  <si>
    <t>Cals/Min</t>
  </si>
  <si>
    <t>Basal</t>
  </si>
  <si>
    <t>Reabsorption</t>
  </si>
  <si>
    <t>Contraction</t>
  </si>
  <si>
    <t>Total</t>
  </si>
  <si>
    <t>(Cals/Min)/G</t>
  </si>
  <si>
    <t>Arcuate</t>
  </si>
  <si>
    <t>Afferent</t>
  </si>
  <si>
    <t>Efferent</t>
  </si>
  <si>
    <t>Large Vessel</t>
  </si>
  <si>
    <t>Small Vessel</t>
  </si>
  <si>
    <t>Hepatic Artery</t>
  </si>
  <si>
    <t>Portal Vein</t>
  </si>
  <si>
    <t>Hepatic Vein</t>
  </si>
  <si>
    <t>Conductance</t>
  </si>
  <si>
    <t>N/A</t>
  </si>
  <si>
    <t>Infinite</t>
  </si>
  <si>
    <t>Conductance (/G)</t>
  </si>
  <si>
    <t>% BW</t>
  </si>
  <si>
    <t>GI Tract</t>
  </si>
  <si>
    <t>Heart</t>
  </si>
  <si>
    <t>Right</t>
  </si>
  <si>
    <t>Left</t>
  </si>
  <si>
    <t>Adrenals</t>
  </si>
  <si>
    <t>Stomach</t>
  </si>
  <si>
    <t>Small Intestine</t>
  </si>
  <si>
    <t>Large Intestine</t>
  </si>
  <si>
    <t>Lungs</t>
  </si>
  <si>
    <t>Pancreas</t>
  </si>
  <si>
    <t>Spleen</t>
  </si>
  <si>
    <t>Thyroid</t>
  </si>
  <si>
    <t>Muscle</t>
  </si>
  <si>
    <t>Respiratory</t>
  </si>
  <si>
    <t>Skeletal</t>
  </si>
  <si>
    <t>Total Organs</t>
  </si>
  <si>
    <t>Fluids</t>
  </si>
  <si>
    <t>Base Organs</t>
  </si>
  <si>
    <t>% Base Mass</t>
  </si>
  <si>
    <t>kG</t>
  </si>
  <si>
    <t>Lbs</t>
  </si>
  <si>
    <t>Compartment</t>
  </si>
  <si>
    <t>mmHg</t>
  </si>
  <si>
    <t>kPa</t>
  </si>
  <si>
    <t>Systemic Arteries</t>
  </si>
  <si>
    <t>Systemic Veins</t>
  </si>
  <si>
    <t>Splanchnic Veins</t>
  </si>
  <si>
    <t>Right Atrium</t>
  </si>
  <si>
    <t>Pulmonary Artery</t>
  </si>
  <si>
    <t>Pulmonary Capillaries</t>
  </si>
  <si>
    <t>Pulmonary Veins</t>
  </si>
  <si>
    <t>Left Atrium</t>
  </si>
  <si>
    <t>Systolic</t>
  </si>
  <si>
    <t>Diastolic</t>
  </si>
  <si>
    <t>Thorax</t>
  </si>
  <si>
    <t>TMP</t>
  </si>
  <si>
    <t>Scaler</t>
  </si>
  <si>
    <t>Organ Mass (G)</t>
  </si>
  <si>
    <t>Gender</t>
  </si>
  <si>
    <t>Male</t>
  </si>
  <si>
    <t>Female</t>
  </si>
  <si>
    <t>Cardiac Output</t>
  </si>
  <si>
    <t>Organ - Male</t>
  </si>
  <si>
    <t>Adipose</t>
  </si>
  <si>
    <t>Adrenal</t>
  </si>
  <si>
    <t>Lung</t>
  </si>
  <si>
    <t>Organ - Female</t>
  </si>
  <si>
    <t>% Cardiac Output</t>
  </si>
  <si>
    <t>Blood Flow</t>
  </si>
  <si>
    <t>Blood Flow (/G)</t>
  </si>
  <si>
    <t>Average</t>
  </si>
  <si>
    <t>Organ Mass - Male</t>
  </si>
  <si>
    <t>Organ Mass - Female</t>
  </si>
  <si>
    <t>Base Organ Mass</t>
  </si>
  <si>
    <t>Blood Pressures</t>
  </si>
  <si>
    <t>Pressure Gradients</t>
  </si>
  <si>
    <t>Systemic</t>
  </si>
  <si>
    <t>Name</t>
  </si>
  <si>
    <t>Gradient</t>
  </si>
  <si>
    <t>Coronary</t>
  </si>
  <si>
    <t>Hepatic</t>
  </si>
  <si>
    <t>GI Tract (&amp; Hepatic Artery)</t>
  </si>
  <si>
    <t>Systemic Veins Outflow</t>
  </si>
  <si>
    <t>Pulmonary Artery Outflow</t>
  </si>
  <si>
    <t>Pulmonary Capillaries Outflow</t>
  </si>
  <si>
    <t>Pulmonary Veins Outflow</t>
  </si>
  <si>
    <t>Pressures</t>
  </si>
  <si>
    <t>Pressure</t>
  </si>
  <si>
    <t>Upstream</t>
  </si>
  <si>
    <t>Downstream</t>
  </si>
  <si>
    <t>Body Mass</t>
  </si>
  <si>
    <t>Organ Composition</t>
  </si>
  <si>
    <t>Fraction</t>
  </si>
  <si>
    <t>Mass</t>
  </si>
  <si>
    <t>Type</t>
  </si>
  <si>
    <t>Total Fluids</t>
  </si>
  <si>
    <t>Total Mass</t>
  </si>
  <si>
    <t>GutH2O</t>
  </si>
  <si>
    <t>Hematocrit</t>
  </si>
  <si>
    <t>Ordinary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</si>
</sst>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00"/>
    <numFmt numFmtId="166" formatCode="0.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RowHeight="15" x14ac:dyDescent="0.25"/>
  <sheetData>
    <row r="1" spans="1:5" x14ac:dyDescent="0.25">
      <c r="A1" t="s">
        <v>118</v>
      </c>
    </row>
    <row r="3" spans="1:5" x14ac:dyDescent="0.25">
      <c r="B3" t="s">
        <v>67</v>
      </c>
      <c r="C3" t="s">
        <v>68</v>
      </c>
    </row>
    <row r="4" spans="1:5" x14ac:dyDescent="0.25">
      <c r="A4" t="s">
        <v>87</v>
      </c>
      <c r="B4">
        <v>75</v>
      </c>
      <c r="C4">
        <f>2.2*BodyMassMale</f>
        <v>165</v>
      </c>
      <c r="E4" t="s">
        <v>84</v>
      </c>
    </row>
    <row r="5" spans="1:5" x14ac:dyDescent="0.25">
      <c r="A5" t="s">
        <v>88</v>
      </c>
      <c r="B5" s="5">
        <f>E5*BodyMassMale</f>
        <v>60.45</v>
      </c>
      <c r="C5" s="1">
        <f>2.2*BodyMassFemale</f>
        <v>132.99</v>
      </c>
      <c r="E5">
        <v>0.80600000000000005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0" workbookViewId="0">
      <selection activeCell="C23" sqref="C23"/>
    </sheetView>
  </sheetViews>
  <sheetFormatPr defaultRowHeight="15" x14ac:dyDescent="0.25"/>
  <cols>
    <col min="1" max="1" width="18.5703125" customWidth="1"/>
    <col min="2" max="2" width="10" bestFit="1" customWidth="1"/>
    <col min="4" max="4" width="12.42578125" customWidth="1"/>
  </cols>
  <sheetData>
    <row r="1" spans="1:4" x14ac:dyDescent="0.25">
      <c r="A1" t="s">
        <v>99</v>
      </c>
    </row>
    <row r="3" spans="1:4" x14ac:dyDescent="0.25">
      <c r="A3" t="s">
        <v>28</v>
      </c>
      <c r="B3" t="s">
        <v>47</v>
      </c>
      <c r="C3" t="s">
        <v>20</v>
      </c>
      <c r="D3" t="s">
        <v>66</v>
      </c>
    </row>
    <row r="4" spans="1:4" x14ac:dyDescent="0.25">
      <c r="A4" t="s">
        <v>0</v>
      </c>
      <c r="B4">
        <v>14.3</v>
      </c>
      <c r="C4" s="1">
        <f>10*B4*BodyMassMale</f>
        <v>10725</v>
      </c>
      <c r="D4" s="5">
        <f>100*BoneMassMale/BaseMassMale</f>
        <v>41.198501872659179</v>
      </c>
    </row>
    <row r="5" spans="1:4" x14ac:dyDescent="0.25">
      <c r="A5" t="s">
        <v>1</v>
      </c>
      <c r="B5">
        <v>2</v>
      </c>
      <c r="C5" s="1">
        <f>10*B5*BodyMassMale</f>
        <v>1500</v>
      </c>
      <c r="D5" s="5">
        <f>100*C5/C16</f>
        <v>5.762028233938346</v>
      </c>
    </row>
    <row r="6" spans="1:4" x14ac:dyDescent="0.25">
      <c r="A6" t="s">
        <v>2</v>
      </c>
      <c r="B6">
        <v>21.4</v>
      </c>
      <c r="C6" s="1">
        <f>10*B6*BodyMassMale</f>
        <v>16050</v>
      </c>
      <c r="D6" s="5"/>
    </row>
    <row r="7" spans="1:4" x14ac:dyDescent="0.25">
      <c r="A7" t="s">
        <v>48</v>
      </c>
      <c r="B7">
        <v>1.7</v>
      </c>
      <c r="C7" s="1">
        <f>10*B7*BodyMassMale</f>
        <v>1275</v>
      </c>
      <c r="D7" s="5">
        <f>100*C7/C16</f>
        <v>4.897723998847594</v>
      </c>
    </row>
    <row r="8" spans="1:4" x14ac:dyDescent="0.25">
      <c r="A8" t="s">
        <v>4</v>
      </c>
      <c r="B8">
        <v>0.44</v>
      </c>
      <c r="C8" s="1">
        <f>10*B8*BodyMassMale</f>
        <v>330</v>
      </c>
      <c r="D8" s="5">
        <f>100*C8/C16</f>
        <v>1.2676462114664362</v>
      </c>
    </row>
    <row r="9" spans="1:4" x14ac:dyDescent="0.25">
      <c r="A9" t="s">
        <v>5</v>
      </c>
      <c r="B9" s="6">
        <f>B27*B29</f>
        <v>0.39009999999999995</v>
      </c>
      <c r="C9" s="1">
        <f>10*B9*BodyMassMale</f>
        <v>292.57499999999993</v>
      </c>
      <c r="D9" s="5">
        <f>100*C9/C16</f>
        <v>1.1238836070296743</v>
      </c>
    </row>
    <row r="10" spans="1:4" x14ac:dyDescent="0.25">
      <c r="A10" t="s">
        <v>6</v>
      </c>
      <c r="B10">
        <v>2.6</v>
      </c>
      <c r="C10" s="1">
        <f>10*B10*BodyMassMale</f>
        <v>1950</v>
      </c>
      <c r="D10" s="5">
        <f>100*C10/C16</f>
        <v>7.4906367041198498</v>
      </c>
    </row>
    <row r="11" spans="1:4" x14ac:dyDescent="0.25">
      <c r="A11" t="s">
        <v>7</v>
      </c>
      <c r="B11">
        <v>4.7</v>
      </c>
      <c r="C11" s="1">
        <f>10*B11*BodyMassMale</f>
        <v>3525</v>
      </c>
      <c r="D11" s="5">
        <f>100*C11/C16</f>
        <v>13.540766349755113</v>
      </c>
    </row>
    <row r="12" spans="1:4" x14ac:dyDescent="0.25">
      <c r="A12" t="s">
        <v>8</v>
      </c>
      <c r="B12">
        <f>B31*B32</f>
        <v>4.8</v>
      </c>
      <c r="C12" s="1">
        <f>10*B12*BodyMassMale</f>
        <v>3600</v>
      </c>
      <c r="D12" s="5">
        <f>100*C12/C16</f>
        <v>13.828867761452031</v>
      </c>
    </row>
    <row r="13" spans="1:4" x14ac:dyDescent="0.25">
      <c r="A13" t="s">
        <v>9</v>
      </c>
      <c r="B13" s="6">
        <f>B27*B28</f>
        <v>7.9899999999999999E-2</v>
      </c>
      <c r="C13" s="1">
        <f>10*B13*BodyMassMale</f>
        <v>59.924999999999997</v>
      </c>
      <c r="D13" s="5">
        <f>100*C13/C16</f>
        <v>0.23019302794583693</v>
      </c>
    </row>
    <row r="14" spans="1:4" x14ac:dyDescent="0.25">
      <c r="A14" t="s">
        <v>10</v>
      </c>
      <c r="B14">
        <f>B31*B33</f>
        <v>35.200000000000003</v>
      </c>
      <c r="C14" s="1">
        <f>10*B14*BodyMassMale</f>
        <v>26400</v>
      </c>
      <c r="D14" s="5"/>
    </row>
    <row r="15" spans="1:4" x14ac:dyDescent="0.25">
      <c r="A15" t="s">
        <v>11</v>
      </c>
      <c r="B15">
        <v>3.7</v>
      </c>
      <c r="C15" s="1">
        <f>10*B15*BodyMassMale</f>
        <v>2775</v>
      </c>
      <c r="D15" s="5">
        <f>100*C15/C16</f>
        <v>10.659752232785941</v>
      </c>
    </row>
    <row r="16" spans="1:4" x14ac:dyDescent="0.25">
      <c r="A16" t="s">
        <v>101</v>
      </c>
      <c r="B16" s="5">
        <f>SUM(B4:B5,B7:B13,B15)</f>
        <v>34.71</v>
      </c>
      <c r="C16" s="1">
        <f>SUM(C4:C5,C7:C13,SkinMassMale)</f>
        <v>26032.5</v>
      </c>
    </row>
    <row r="17" spans="1:4" x14ac:dyDescent="0.25">
      <c r="A17" t="s">
        <v>63</v>
      </c>
      <c r="B17" s="5">
        <f>SUM(B4:B15)</f>
        <v>91.310000000000016</v>
      </c>
      <c r="C17" s="1">
        <f>SUM(C4:C15)</f>
        <v>68482.5</v>
      </c>
    </row>
    <row r="18" spans="1:4" x14ac:dyDescent="0.25">
      <c r="B18" s="5"/>
      <c r="C18" s="1"/>
    </row>
    <row r="19" spans="1:4" x14ac:dyDescent="0.25">
      <c r="A19" t="s">
        <v>14</v>
      </c>
      <c r="B19" s="5">
        <v>7.4</v>
      </c>
      <c r="C19" s="1">
        <f>10*B19*BodyMassMale</f>
        <v>5550</v>
      </c>
    </row>
    <row r="20" spans="1:4" x14ac:dyDescent="0.25">
      <c r="A20" t="s">
        <v>15</v>
      </c>
      <c r="B20" s="5">
        <v>0</v>
      </c>
      <c r="C20" s="1">
        <f>10*B20*BodyMassMale</f>
        <v>0</v>
      </c>
    </row>
    <row r="21" spans="1:4" x14ac:dyDescent="0.25">
      <c r="A21" t="s">
        <v>16</v>
      </c>
      <c r="B21" s="5">
        <v>0</v>
      </c>
      <c r="C21" s="1">
        <f>10*B21*BodyMassMale</f>
        <v>0</v>
      </c>
    </row>
    <row r="22" spans="1:4" x14ac:dyDescent="0.25">
      <c r="A22" t="s">
        <v>125</v>
      </c>
      <c r="B22" s="5">
        <v>1.3</v>
      </c>
      <c r="C22" s="1">
        <f>10*B22*BodyMassMale</f>
        <v>975</v>
      </c>
    </row>
    <row r="23" spans="1:4" x14ac:dyDescent="0.25">
      <c r="A23" t="s">
        <v>123</v>
      </c>
      <c r="B23">
        <v>8.6999999999999993</v>
      </c>
      <c r="C23" s="1">
        <f>10*B23*BodyMassMale</f>
        <v>6525</v>
      </c>
    </row>
    <row r="24" spans="1:4" x14ac:dyDescent="0.25">
      <c r="C24" s="1"/>
    </row>
    <row r="25" spans="1:4" x14ac:dyDescent="0.25">
      <c r="A25" t="s">
        <v>124</v>
      </c>
      <c r="B25" s="5">
        <f>B17+B23</f>
        <v>100.01000000000002</v>
      </c>
      <c r="C25" s="1">
        <f>SUM(C17+C23)</f>
        <v>75007.5</v>
      </c>
      <c r="D25" s="5">
        <f>SUM(D4:D15)</f>
        <v>100</v>
      </c>
    </row>
    <row r="27" spans="1:4" x14ac:dyDescent="0.25">
      <c r="A27" t="s">
        <v>49</v>
      </c>
      <c r="B27">
        <v>0.47</v>
      </c>
      <c r="C27" s="1">
        <f>10*B27*BodyMassMale</f>
        <v>352.49999999999994</v>
      </c>
    </row>
    <row r="28" spans="1:4" x14ac:dyDescent="0.25">
      <c r="A28" s="2" t="s">
        <v>50</v>
      </c>
      <c r="B28">
        <v>0.17</v>
      </c>
      <c r="C28" s="1">
        <f>B28 * C27</f>
        <v>59.924999999999997</v>
      </c>
    </row>
    <row r="29" spans="1:4" x14ac:dyDescent="0.25">
      <c r="A29" s="2" t="s">
        <v>51</v>
      </c>
      <c r="B29">
        <f>1-B28</f>
        <v>0.83</v>
      </c>
      <c r="C29" s="1">
        <f>B29 * C27</f>
        <v>292.57499999999993</v>
      </c>
    </row>
    <row r="31" spans="1:4" x14ac:dyDescent="0.25">
      <c r="A31" t="s">
        <v>60</v>
      </c>
      <c r="B31">
        <v>40</v>
      </c>
      <c r="C31" s="1">
        <f>10*B31*BodyMassMale</f>
        <v>30000</v>
      </c>
    </row>
    <row r="32" spans="1:4" x14ac:dyDescent="0.25">
      <c r="A32" s="2" t="s">
        <v>61</v>
      </c>
      <c r="B32">
        <v>0.12</v>
      </c>
      <c r="C32">
        <f>C31*B32</f>
        <v>3600</v>
      </c>
    </row>
    <row r="33" spans="1:3" x14ac:dyDescent="0.25">
      <c r="A33" s="2" t="s">
        <v>62</v>
      </c>
      <c r="B33">
        <f>1-B32</f>
        <v>0.88</v>
      </c>
      <c r="C33">
        <f>C31*B33</f>
        <v>26400</v>
      </c>
    </row>
    <row r="34" spans="1:3" x14ac:dyDescent="0.25">
      <c r="A34" s="2"/>
    </row>
    <row r="35" spans="1:3" x14ac:dyDescent="0.25">
      <c r="A35" t="s">
        <v>52</v>
      </c>
      <c r="B35">
        <v>0.02</v>
      </c>
      <c r="C35" s="1">
        <f>10*B35*BodyMassMale</f>
        <v>15</v>
      </c>
    </row>
    <row r="36" spans="1:3" x14ac:dyDescent="0.25">
      <c r="A36" t="s">
        <v>53</v>
      </c>
      <c r="B36">
        <v>0.21</v>
      </c>
      <c r="C36" s="1">
        <f>10*B36*BodyMassMale</f>
        <v>157.5</v>
      </c>
    </row>
    <row r="37" spans="1:3" x14ac:dyDescent="0.25">
      <c r="A37" t="s">
        <v>54</v>
      </c>
      <c r="B37">
        <v>0.91</v>
      </c>
      <c r="C37" s="1">
        <f>10*B37*BodyMassMale</f>
        <v>682.5</v>
      </c>
    </row>
    <row r="38" spans="1:3" x14ac:dyDescent="0.25">
      <c r="A38" t="s">
        <v>55</v>
      </c>
      <c r="B38">
        <v>0.53</v>
      </c>
      <c r="C38" s="1">
        <f>10*B38*BodyMassMale</f>
        <v>397.50000000000006</v>
      </c>
    </row>
    <row r="39" spans="1:3" x14ac:dyDescent="0.25">
      <c r="A39" t="s">
        <v>56</v>
      </c>
      <c r="B39">
        <v>0.76</v>
      </c>
      <c r="C39" s="1">
        <f>10*B39*BodyMassMale</f>
        <v>570</v>
      </c>
    </row>
    <row r="40" spans="1:3" x14ac:dyDescent="0.25">
      <c r="A40" t="s">
        <v>57</v>
      </c>
      <c r="B40">
        <v>0.14000000000000001</v>
      </c>
      <c r="C40" s="1">
        <f>10*B40*BodyMassMale</f>
        <v>105.00000000000001</v>
      </c>
    </row>
    <row r="41" spans="1:3" x14ac:dyDescent="0.25">
      <c r="A41" t="s">
        <v>58</v>
      </c>
      <c r="B41">
        <v>0.26</v>
      </c>
      <c r="C41" s="1">
        <f>10*B41*BodyMassMale</f>
        <v>195</v>
      </c>
    </row>
    <row r="42" spans="1:3" x14ac:dyDescent="0.25">
      <c r="A42" t="s">
        <v>59</v>
      </c>
      <c r="B42">
        <v>0.03</v>
      </c>
      <c r="C42" s="1">
        <f>10*B42*BodyMassMale</f>
        <v>22.5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D19" sqref="D19"/>
    </sheetView>
  </sheetViews>
  <sheetFormatPr defaultRowHeight="15" x14ac:dyDescent="0.25"/>
  <cols>
    <col min="1" max="1" width="18.5703125" customWidth="1"/>
    <col min="2" max="2" width="7.28515625" customWidth="1"/>
    <col min="3" max="3" width="12.28515625" customWidth="1"/>
    <col min="4" max="4" width="15.140625" customWidth="1"/>
  </cols>
  <sheetData>
    <row r="1" spans="1:4" x14ac:dyDescent="0.25">
      <c r="A1" t="s">
        <v>100</v>
      </c>
    </row>
    <row r="3" spans="1:4" x14ac:dyDescent="0.25">
      <c r="A3" t="s">
        <v>28</v>
      </c>
      <c r="B3" t="s">
        <v>47</v>
      </c>
      <c r="C3" t="s">
        <v>66</v>
      </c>
      <c r="D3" t="s">
        <v>85</v>
      </c>
    </row>
    <row r="4" spans="1:4" x14ac:dyDescent="0.25">
      <c r="A4" t="s">
        <v>0</v>
      </c>
      <c r="C4" s="5">
        <f>'Organ Mass - Male'!D4</f>
        <v>41.198501872659179</v>
      </c>
      <c r="D4" s="1">
        <f>0.01*C4*BaseMassFemale</f>
        <v>8567.1460674157297</v>
      </c>
    </row>
    <row r="5" spans="1:4" x14ac:dyDescent="0.25">
      <c r="A5" t="s">
        <v>1</v>
      </c>
      <c r="C5" s="5">
        <f>'Organ Mass - Male'!D5</f>
        <v>5.762028233938346</v>
      </c>
      <c r="D5" s="1">
        <f>0.01*C5*BaseMassFemale</f>
        <v>1198.2022471910109</v>
      </c>
    </row>
    <row r="6" spans="1:4" x14ac:dyDescent="0.25">
      <c r="A6" t="s">
        <v>2</v>
      </c>
      <c r="B6">
        <v>32.700000000000003</v>
      </c>
      <c r="C6" s="5"/>
      <c r="D6" s="1">
        <f>10*B6*BodyMassFemale</f>
        <v>19767.150000000001</v>
      </c>
    </row>
    <row r="7" spans="1:4" x14ac:dyDescent="0.25">
      <c r="A7" t="s">
        <v>48</v>
      </c>
      <c r="C7" s="5">
        <f>'Organ Mass - Male'!D7</f>
        <v>4.897723998847594</v>
      </c>
      <c r="D7" s="1">
        <f>0.01*C7*BaseMassFemale</f>
        <v>1018.4719101123592</v>
      </c>
    </row>
    <row r="8" spans="1:4" x14ac:dyDescent="0.25">
      <c r="A8" t="s">
        <v>4</v>
      </c>
      <c r="C8" s="5">
        <f>'Organ Mass - Male'!D8</f>
        <v>1.2676462114664362</v>
      </c>
      <c r="D8" s="1">
        <f>0.01*C8*BaseMassFemale</f>
        <v>263.60449438202244</v>
      </c>
    </row>
    <row r="9" spans="1:4" x14ac:dyDescent="0.25">
      <c r="A9" t="s">
        <v>5</v>
      </c>
      <c r="C9" s="5">
        <f>'Organ Mass - Male'!D9</f>
        <v>1.1238836070296743</v>
      </c>
      <c r="D9" s="1">
        <f>0.01*C9*BaseMassFemale</f>
        <v>233.70934831460664</v>
      </c>
    </row>
    <row r="10" spans="1:4" x14ac:dyDescent="0.25">
      <c r="A10" t="s">
        <v>6</v>
      </c>
      <c r="C10" s="5">
        <f>'Organ Mass - Male'!D10</f>
        <v>7.4906367041198498</v>
      </c>
      <c r="D10" s="1">
        <f>0.01*C10*BaseMassFemale</f>
        <v>1557.6629213483143</v>
      </c>
    </row>
    <row r="11" spans="1:4" x14ac:dyDescent="0.25">
      <c r="A11" t="s">
        <v>7</v>
      </c>
      <c r="C11" s="5">
        <f>'Organ Mass - Male'!D11</f>
        <v>13.540766349755113</v>
      </c>
      <c r="D11" s="1">
        <f>0.01*C11*BaseMassFemale</f>
        <v>2815.7752808988762</v>
      </c>
    </row>
    <row r="12" spans="1:4" x14ac:dyDescent="0.25">
      <c r="A12" t="s">
        <v>8</v>
      </c>
      <c r="C12" s="5">
        <f>'Organ Mass - Male'!D12</f>
        <v>13.828867761452031</v>
      </c>
      <c r="D12" s="1">
        <f>0.01*C12*BaseMassFemale</f>
        <v>2875.6853932584268</v>
      </c>
    </row>
    <row r="13" spans="1:4" x14ac:dyDescent="0.25">
      <c r="A13" t="s">
        <v>9</v>
      </c>
      <c r="C13" s="5">
        <f>'Organ Mass - Male'!D13</f>
        <v>0.23019302794583693</v>
      </c>
      <c r="D13" s="1">
        <f>0.01*C13*BaseMassFemale</f>
        <v>47.868179775280893</v>
      </c>
    </row>
    <row r="14" spans="1:4" x14ac:dyDescent="0.25">
      <c r="A14" t="s">
        <v>10</v>
      </c>
      <c r="B14">
        <v>24.2</v>
      </c>
      <c r="C14" s="5"/>
      <c r="D14" s="1">
        <f>10*B14*BodyMassFemale</f>
        <v>14628.900000000001</v>
      </c>
    </row>
    <row r="15" spans="1:4" x14ac:dyDescent="0.25">
      <c r="A15" t="s">
        <v>11</v>
      </c>
      <c r="C15" s="5">
        <f>'Organ Mass - Male'!D15</f>
        <v>10.659752232785941</v>
      </c>
      <c r="D15" s="1">
        <f>0.01*C15*BaseMassFemale</f>
        <v>2216.6741573033705</v>
      </c>
    </row>
    <row r="16" spans="1:4" x14ac:dyDescent="0.25">
      <c r="A16" t="s">
        <v>101</v>
      </c>
      <c r="C16" s="5">
        <f>SUM(C4:C5,C7:C13,C15)</f>
        <v>100</v>
      </c>
      <c r="D16" s="1">
        <f>1000*BodyMassFemale - D6 -D14-D18</f>
        <v>20794.799999999996</v>
      </c>
    </row>
    <row r="17" spans="1:4" x14ac:dyDescent="0.25">
      <c r="A17" t="s">
        <v>63</v>
      </c>
      <c r="D17" s="1">
        <f>SUM(D4:D15)</f>
        <v>55190.85</v>
      </c>
    </row>
    <row r="18" spans="1:4" x14ac:dyDescent="0.25">
      <c r="A18" t="s">
        <v>64</v>
      </c>
      <c r="B18">
        <v>8.6999999999999993</v>
      </c>
      <c r="D18" s="1">
        <f>10*B18*BodyMassFemale</f>
        <v>5259.1500000000005</v>
      </c>
    </row>
    <row r="19" spans="1:4" x14ac:dyDescent="0.25">
      <c r="A19" t="s">
        <v>33</v>
      </c>
      <c r="D19" s="1">
        <f>D17+D18</f>
        <v>60450</v>
      </c>
    </row>
    <row r="20" spans="1:4" x14ac:dyDescent="0.25">
      <c r="D20" s="1"/>
    </row>
    <row r="21" spans="1:4" x14ac:dyDescent="0.25">
      <c r="A21" t="s">
        <v>49</v>
      </c>
      <c r="B21">
        <v>0.47</v>
      </c>
      <c r="C21" s="1">
        <f>10 * B21 *BodyMassFemale</f>
        <v>284.11499999999995</v>
      </c>
      <c r="D21" s="1"/>
    </row>
    <row r="22" spans="1:4" x14ac:dyDescent="0.25">
      <c r="A22" s="2" t="s">
        <v>50</v>
      </c>
      <c r="B22">
        <v>0.17</v>
      </c>
      <c r="C22" s="1">
        <f>B22 * C21</f>
        <v>48.299549999999996</v>
      </c>
      <c r="D22" s="1"/>
    </row>
    <row r="23" spans="1:4" x14ac:dyDescent="0.25">
      <c r="A23" s="2" t="s">
        <v>51</v>
      </c>
      <c r="B23">
        <f>1-B22</f>
        <v>0.83</v>
      </c>
      <c r="C23" s="1">
        <f>B23 * C21</f>
        <v>235.81544999999994</v>
      </c>
      <c r="D23" s="1"/>
    </row>
    <row r="24" spans="1:4" x14ac:dyDescent="0.25">
      <c r="C24" s="1"/>
      <c r="D24" s="1"/>
    </row>
    <row r="25" spans="1:4" x14ac:dyDescent="0.25">
      <c r="A25" t="s">
        <v>60</v>
      </c>
      <c r="B25">
        <v>40</v>
      </c>
      <c r="C25" s="1">
        <f>10*B25*BodyMassFemale</f>
        <v>24180</v>
      </c>
      <c r="D25" s="1"/>
    </row>
    <row r="26" spans="1:4" x14ac:dyDescent="0.25">
      <c r="A26" s="2" t="s">
        <v>61</v>
      </c>
      <c r="B26">
        <v>0.12</v>
      </c>
      <c r="C26" s="1">
        <f>C25*B26</f>
        <v>2901.6</v>
      </c>
      <c r="D26" s="1"/>
    </row>
    <row r="27" spans="1:4" x14ac:dyDescent="0.25">
      <c r="A27" s="2" t="s">
        <v>62</v>
      </c>
      <c r="B27">
        <f>1-B26</f>
        <v>0.88</v>
      </c>
      <c r="C27" s="1">
        <f>C25*B27</f>
        <v>21278.400000000001</v>
      </c>
      <c r="D27" s="1"/>
    </row>
    <row r="29" spans="1:4" x14ac:dyDescent="0.25">
      <c r="A29" t="s">
        <v>52</v>
      </c>
      <c r="B29">
        <v>0.02</v>
      </c>
      <c r="D29" s="5">
        <f>10*B29*BodyMassFemale</f>
        <v>12.090000000000002</v>
      </c>
    </row>
    <row r="30" spans="1:4" x14ac:dyDescent="0.25">
      <c r="A30" t="s">
        <v>53</v>
      </c>
      <c r="B30">
        <v>0.21</v>
      </c>
      <c r="D30" s="5">
        <f>10*B30*BodyMassFemale</f>
        <v>126.94500000000001</v>
      </c>
    </row>
    <row r="31" spans="1:4" x14ac:dyDescent="0.25">
      <c r="A31" t="s">
        <v>54</v>
      </c>
      <c r="B31">
        <v>0.91</v>
      </c>
      <c r="D31" s="5">
        <f>10*B31*BodyMassFemale</f>
        <v>550.09500000000003</v>
      </c>
    </row>
    <row r="32" spans="1:4" x14ac:dyDescent="0.25">
      <c r="A32" t="s">
        <v>55</v>
      </c>
      <c r="B32">
        <v>0.53</v>
      </c>
      <c r="D32" s="5">
        <f>10*B32*BodyMassFemale</f>
        <v>320.38500000000005</v>
      </c>
    </row>
    <row r="33" spans="1:4" x14ac:dyDescent="0.25">
      <c r="A33" t="s">
        <v>56</v>
      </c>
      <c r="B33">
        <v>0.76</v>
      </c>
      <c r="D33" s="5">
        <f>10*B33*BodyMassFemale</f>
        <v>459.42</v>
      </c>
    </row>
    <row r="34" spans="1:4" x14ac:dyDescent="0.25">
      <c r="A34" t="s">
        <v>57</v>
      </c>
      <c r="B34">
        <v>0.14000000000000001</v>
      </c>
      <c r="D34" s="5">
        <f>10*B34*BodyMassFemale</f>
        <v>84.63000000000001</v>
      </c>
    </row>
    <row r="35" spans="1:4" x14ac:dyDescent="0.25">
      <c r="A35" t="s">
        <v>58</v>
      </c>
      <c r="B35">
        <v>0.26</v>
      </c>
      <c r="D35" s="5">
        <f>10*B35*BodyMassFemale</f>
        <v>157.17000000000002</v>
      </c>
    </row>
    <row r="36" spans="1:4" x14ac:dyDescent="0.25">
      <c r="A36" t="s">
        <v>59</v>
      </c>
      <c r="B36">
        <v>0.03</v>
      </c>
      <c r="D36" s="5">
        <f>10*B36*BodyMassFemale</f>
        <v>18.135000000000002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9" sqref="B9"/>
    </sheetView>
  </sheetViews>
  <sheetFormatPr defaultRowHeight="15" x14ac:dyDescent="0.25"/>
  <cols>
    <col min="1" max="1" width="21.5703125" customWidth="1"/>
  </cols>
  <sheetData>
    <row r="1" spans="1:4" x14ac:dyDescent="0.25">
      <c r="A1" t="s">
        <v>102</v>
      </c>
    </row>
    <row r="3" spans="1:4" x14ac:dyDescent="0.25">
      <c r="A3" t="s">
        <v>69</v>
      </c>
      <c r="B3" t="s">
        <v>70</v>
      </c>
      <c r="C3" t="s">
        <v>71</v>
      </c>
      <c r="D3" t="s">
        <v>83</v>
      </c>
    </row>
    <row r="4" spans="1:4" x14ac:dyDescent="0.25">
      <c r="A4" t="s">
        <v>72</v>
      </c>
      <c r="B4">
        <v>97</v>
      </c>
      <c r="C4" s="5">
        <f t="shared" ref="C4:C11" si="0">0.1333*B4</f>
        <v>12.930099999999999</v>
      </c>
      <c r="D4">
        <f>B4</f>
        <v>97</v>
      </c>
    </row>
    <row r="5" spans="1:4" x14ac:dyDescent="0.25">
      <c r="A5" t="s">
        <v>73</v>
      </c>
      <c r="B5">
        <v>10</v>
      </c>
      <c r="C5" s="5">
        <f t="shared" si="0"/>
        <v>1.333</v>
      </c>
      <c r="D5">
        <f>B5</f>
        <v>10</v>
      </c>
    </row>
    <row r="6" spans="1:4" x14ac:dyDescent="0.25">
      <c r="A6" t="s">
        <v>74</v>
      </c>
      <c r="B6">
        <v>8</v>
      </c>
      <c r="C6" s="5">
        <f t="shared" si="0"/>
        <v>1.0664</v>
      </c>
      <c r="D6">
        <f>B6</f>
        <v>8</v>
      </c>
    </row>
    <row r="7" spans="1:4" x14ac:dyDescent="0.25">
      <c r="A7" t="s">
        <v>75</v>
      </c>
      <c r="B7">
        <v>2</v>
      </c>
      <c r="C7" s="5">
        <f t="shared" si="0"/>
        <v>0.2666</v>
      </c>
      <c r="D7">
        <f>B7-B21</f>
        <v>6</v>
      </c>
    </row>
    <row r="8" spans="1:4" x14ac:dyDescent="0.25">
      <c r="A8" t="s">
        <v>76</v>
      </c>
      <c r="B8">
        <v>14</v>
      </c>
      <c r="C8" s="5">
        <f t="shared" si="0"/>
        <v>1.8662000000000001</v>
      </c>
      <c r="D8">
        <f>B8-B21</f>
        <v>18</v>
      </c>
    </row>
    <row r="9" spans="1:4" x14ac:dyDescent="0.25">
      <c r="A9" t="s">
        <v>77</v>
      </c>
      <c r="B9">
        <v>10</v>
      </c>
      <c r="C9" s="5">
        <f t="shared" si="0"/>
        <v>1.333</v>
      </c>
      <c r="D9">
        <f>B9-B21</f>
        <v>14</v>
      </c>
    </row>
    <row r="10" spans="1:4" x14ac:dyDescent="0.25">
      <c r="A10" t="s">
        <v>78</v>
      </c>
      <c r="B10">
        <v>7</v>
      </c>
      <c r="C10" s="5">
        <f t="shared" si="0"/>
        <v>0.93310000000000004</v>
      </c>
      <c r="D10">
        <f>B10-B21</f>
        <v>11</v>
      </c>
    </row>
    <row r="11" spans="1:4" x14ac:dyDescent="0.25">
      <c r="A11" t="s">
        <v>79</v>
      </c>
      <c r="B11">
        <v>6</v>
      </c>
      <c r="C11" s="5">
        <f t="shared" si="0"/>
        <v>0.79980000000000007</v>
      </c>
      <c r="D11">
        <f>B11-B21</f>
        <v>10</v>
      </c>
    </row>
    <row r="12" spans="1:4" x14ac:dyDescent="0.25">
      <c r="C12" s="5"/>
    </row>
    <row r="13" spans="1:4" x14ac:dyDescent="0.25">
      <c r="A13" t="s">
        <v>72</v>
      </c>
      <c r="C13" s="5"/>
    </row>
    <row r="14" spans="1:4" x14ac:dyDescent="0.25">
      <c r="A14" s="2" t="s">
        <v>80</v>
      </c>
      <c r="B14">
        <v>120</v>
      </c>
      <c r="C14" s="5">
        <f>0.1333*B14</f>
        <v>15.996</v>
      </c>
      <c r="D14">
        <f>B14</f>
        <v>120</v>
      </c>
    </row>
    <row r="15" spans="1:4" x14ac:dyDescent="0.25">
      <c r="A15" s="2" t="s">
        <v>81</v>
      </c>
      <c r="B15">
        <v>80</v>
      </c>
      <c r="C15" s="5">
        <f>0.1333*B15</f>
        <v>10.664</v>
      </c>
      <c r="D15">
        <f>B15</f>
        <v>80</v>
      </c>
    </row>
    <row r="16" spans="1:4" x14ac:dyDescent="0.25">
      <c r="C16" s="5"/>
    </row>
    <row r="17" spans="1:4" x14ac:dyDescent="0.25">
      <c r="A17" t="s">
        <v>76</v>
      </c>
      <c r="C17" s="5"/>
    </row>
    <row r="18" spans="1:4" x14ac:dyDescent="0.25">
      <c r="A18" s="2" t="s">
        <v>80</v>
      </c>
      <c r="B18">
        <v>21</v>
      </c>
      <c r="C18" s="5">
        <f>0.1333*B18</f>
        <v>2.7993000000000001</v>
      </c>
      <c r="D18">
        <f>B18-B21</f>
        <v>25</v>
      </c>
    </row>
    <row r="19" spans="1:4" x14ac:dyDescent="0.25">
      <c r="A19" s="2" t="s">
        <v>81</v>
      </c>
      <c r="B19">
        <v>9</v>
      </c>
      <c r="C19" s="5">
        <f>0.1333*B19</f>
        <v>1.1997</v>
      </c>
      <c r="D19">
        <f>B19-B21</f>
        <v>13</v>
      </c>
    </row>
    <row r="20" spans="1:4" x14ac:dyDescent="0.25">
      <c r="C20" s="5"/>
    </row>
    <row r="21" spans="1:4" x14ac:dyDescent="0.25">
      <c r="A21" t="s">
        <v>82</v>
      </c>
      <c r="B21">
        <v>-4</v>
      </c>
      <c r="C21" s="5">
        <f>0.1333*B21</f>
        <v>-0.53320000000000001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4" sqref="D4"/>
    </sheetView>
  </sheetViews>
  <sheetFormatPr defaultRowHeight="15" x14ac:dyDescent="0.25"/>
  <cols>
    <col min="1" max="1" width="28.140625" customWidth="1"/>
    <col min="2" max="2" width="9.85546875" customWidth="1"/>
    <col min="3" max="3" width="12.7109375" customWidth="1"/>
    <col min="4" max="4" width="11" customWidth="1"/>
  </cols>
  <sheetData>
    <row r="1" spans="1:4" x14ac:dyDescent="0.25">
      <c r="A1" t="s">
        <v>103</v>
      </c>
    </row>
    <row r="2" spans="1:4" x14ac:dyDescent="0.25">
      <c r="B2" t="s">
        <v>114</v>
      </c>
      <c r="D2" t="s">
        <v>115</v>
      </c>
    </row>
    <row r="3" spans="1:4" x14ac:dyDescent="0.25">
      <c r="A3" t="s">
        <v>105</v>
      </c>
      <c r="B3" t="s">
        <v>116</v>
      </c>
      <c r="C3" t="s">
        <v>117</v>
      </c>
      <c r="D3" t="s">
        <v>106</v>
      </c>
    </row>
    <row r="4" spans="1:4" x14ac:dyDescent="0.25">
      <c r="A4" t="s">
        <v>104</v>
      </c>
      <c r="B4">
        <f>SystemicArtysPressure</f>
        <v>97</v>
      </c>
      <c r="C4">
        <f>SystemicVeinsPressure</f>
        <v>10</v>
      </c>
      <c r="D4">
        <f>B4-C4</f>
        <v>87</v>
      </c>
    </row>
    <row r="5" spans="1:4" x14ac:dyDescent="0.25">
      <c r="A5" t="s">
        <v>109</v>
      </c>
      <c r="B5">
        <f>SystemicArtysPressure</f>
        <v>97</v>
      </c>
      <c r="C5">
        <f>SplanchnicVeinsPressure</f>
        <v>8</v>
      </c>
      <c r="D5">
        <f>B5-C5</f>
        <v>89</v>
      </c>
    </row>
    <row r="6" spans="1:4" x14ac:dyDescent="0.25">
      <c r="A6" t="s">
        <v>107</v>
      </c>
      <c r="B6">
        <f>SystemicArtysPressure</f>
        <v>97</v>
      </c>
      <c r="C6">
        <f>RightAtrialPressure</f>
        <v>2</v>
      </c>
      <c r="D6">
        <f>B6-C6</f>
        <v>95</v>
      </c>
    </row>
    <row r="7" spans="1:4" x14ac:dyDescent="0.25">
      <c r="A7" t="s">
        <v>108</v>
      </c>
      <c r="B7">
        <f>SplanchnicVeinsPressure</f>
        <v>8</v>
      </c>
      <c r="C7">
        <f>RightAtrialPressure</f>
        <v>2</v>
      </c>
      <c r="D7">
        <f>B7-C7</f>
        <v>6</v>
      </c>
    </row>
    <row r="8" spans="1:4" x14ac:dyDescent="0.25">
      <c r="A8" t="s">
        <v>110</v>
      </c>
      <c r="B8">
        <f>SystemicVeinsPressure</f>
        <v>10</v>
      </c>
      <c r="C8">
        <f>RightAtrialPressure</f>
        <v>2</v>
      </c>
      <c r="D8">
        <f>B8-C8</f>
        <v>8</v>
      </c>
    </row>
    <row r="9" spans="1:4" x14ac:dyDescent="0.25">
      <c r="A9" t="s">
        <v>111</v>
      </c>
      <c r="B9">
        <f>PulmArtyPressure</f>
        <v>14</v>
      </c>
      <c r="C9">
        <f>PulmCapysPressure</f>
        <v>10</v>
      </c>
      <c r="D9">
        <f>B9-C9</f>
        <v>4</v>
      </c>
    </row>
    <row r="10" spans="1:4" x14ac:dyDescent="0.25">
      <c r="A10" t="s">
        <v>112</v>
      </c>
      <c r="B10">
        <f>PulmCapysPressure</f>
        <v>10</v>
      </c>
      <c r="C10">
        <f>PulmVeinsPressure</f>
        <v>7</v>
      </c>
      <c r="D10">
        <f>B10-C10</f>
        <v>3</v>
      </c>
    </row>
    <row r="11" spans="1:4" x14ac:dyDescent="0.25">
      <c r="A11" t="s">
        <v>113</v>
      </c>
      <c r="B11">
        <f>PulmVeinsPressure</f>
        <v>7</v>
      </c>
      <c r="C11">
        <f>LeftAtrialPressure</f>
        <v>6</v>
      </c>
      <c r="D11">
        <f>B11-C11</f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H15" sqref="H15"/>
    </sheetView>
  </sheetViews>
  <sheetFormatPr defaultRowHeight="15" x14ac:dyDescent="0.25"/>
  <cols>
    <col min="1" max="1" width="17.85546875" customWidth="1"/>
    <col min="3" max="3" width="8.28515625" customWidth="1"/>
    <col min="4" max="4" width="7.85546875" customWidth="1"/>
    <col min="5" max="5" width="8.28515625" customWidth="1"/>
    <col min="6" max="6" width="8.140625" customWidth="1"/>
    <col min="7" max="7" width="7.7109375" customWidth="1"/>
    <col min="8" max="8" width="15.140625" customWidth="1"/>
    <col min="9" max="9" width="9.140625" customWidth="1"/>
  </cols>
  <sheetData>
    <row r="1" spans="1:9" x14ac:dyDescent="0.25">
      <c r="A1" t="s">
        <v>119</v>
      </c>
    </row>
    <row r="2" spans="1:9" x14ac:dyDescent="0.25">
      <c r="C2" t="s">
        <v>120</v>
      </c>
      <c r="D2" t="s">
        <v>121</v>
      </c>
      <c r="E2" t="s">
        <v>121</v>
      </c>
      <c r="F2" t="s">
        <v>120</v>
      </c>
      <c r="G2" t="s">
        <v>121</v>
      </c>
      <c r="H2" t="s">
        <v>122</v>
      </c>
      <c r="I2" t="s">
        <v>121</v>
      </c>
    </row>
    <row r="3" spans="1:9" x14ac:dyDescent="0.25">
      <c r="A3" t="s">
        <v>28</v>
      </c>
      <c r="B3" t="s">
        <v>20</v>
      </c>
      <c r="C3" t="s">
        <v>23</v>
      </c>
      <c r="D3" t="s">
        <v>23</v>
      </c>
      <c r="E3" t="s">
        <v>24</v>
      </c>
      <c r="F3" t="s">
        <v>25</v>
      </c>
      <c r="G3" t="s">
        <v>25</v>
      </c>
      <c r="H3" t="s">
        <v>25</v>
      </c>
      <c r="I3" t="s">
        <v>127</v>
      </c>
    </row>
    <row r="4" spans="1:9" x14ac:dyDescent="0.25">
      <c r="A4" t="s">
        <v>0</v>
      </c>
      <c r="B4" s="1">
        <f>BoneMassMale</f>
        <v>10725</v>
      </c>
      <c r="C4">
        <v>0.32</v>
      </c>
      <c r="D4" s="1">
        <f>B4*C4</f>
        <v>3432</v>
      </c>
      <c r="E4" s="1">
        <f>B4-D4</f>
        <v>7293</v>
      </c>
      <c r="F4">
        <v>0.76</v>
      </c>
      <c r="G4" s="1">
        <f>E4*F4</f>
        <v>5542.68</v>
      </c>
      <c r="H4" s="1" t="s">
        <v>26</v>
      </c>
      <c r="I4" s="1">
        <f>E4-G4</f>
        <v>1750.3199999999997</v>
      </c>
    </row>
    <row r="5" spans="1:9" x14ac:dyDescent="0.25">
      <c r="A5" t="s">
        <v>1</v>
      </c>
      <c r="B5" s="1">
        <f>BrainMassMale</f>
        <v>1500</v>
      </c>
      <c r="C5">
        <v>0.67</v>
      </c>
      <c r="D5" s="1">
        <f>B5*C5</f>
        <v>1005.0000000000001</v>
      </c>
      <c r="E5" s="1">
        <f>B5-D5</f>
        <v>494.99999999999989</v>
      </c>
      <c r="G5" s="1"/>
    </row>
    <row r="6" spans="1:9" x14ac:dyDescent="0.25">
      <c r="A6" t="s">
        <v>2</v>
      </c>
      <c r="B6" s="1">
        <f>FatMassMale</f>
        <v>16050</v>
      </c>
      <c r="C6">
        <v>0.15</v>
      </c>
      <c r="D6" s="1">
        <f>B6*C6</f>
        <v>2407.5</v>
      </c>
      <c r="E6" s="1">
        <f>B6-D6</f>
        <v>13642.5</v>
      </c>
      <c r="F6">
        <v>0.89</v>
      </c>
      <c r="G6" s="1">
        <f>E6*F6</f>
        <v>12141.825000000001</v>
      </c>
      <c r="H6" s="1" t="s">
        <v>91</v>
      </c>
      <c r="I6" s="1">
        <f>E6-G6</f>
        <v>1500.6749999999993</v>
      </c>
    </row>
    <row r="7" spans="1:9" x14ac:dyDescent="0.25">
      <c r="A7" t="s">
        <v>3</v>
      </c>
      <c r="B7" s="1">
        <f>GIMassMale</f>
        <v>1275</v>
      </c>
      <c r="C7">
        <v>0.67</v>
      </c>
      <c r="D7" s="1">
        <f>B7*C7</f>
        <v>854.25</v>
      </c>
      <c r="E7" s="1">
        <f>B7-D7</f>
        <v>420.75</v>
      </c>
      <c r="G7" s="1"/>
    </row>
    <row r="8" spans="1:9" x14ac:dyDescent="0.25">
      <c r="A8" t="s">
        <v>4</v>
      </c>
      <c r="B8" s="1">
        <f>KidneyMassMale</f>
        <v>330</v>
      </c>
      <c r="C8">
        <v>0.67</v>
      </c>
      <c r="D8" s="1">
        <f>B8*C8</f>
        <v>221.10000000000002</v>
      </c>
      <c r="E8" s="1">
        <f>B8-D8</f>
        <v>108.89999999999998</v>
      </c>
      <c r="G8" s="1"/>
    </row>
    <row r="9" spans="1:9" x14ac:dyDescent="0.25">
      <c r="A9" t="s">
        <v>5</v>
      </c>
      <c r="B9" s="1">
        <f>LHeartMassMale</f>
        <v>292.57499999999993</v>
      </c>
      <c r="C9">
        <v>0.67</v>
      </c>
      <c r="D9" s="1">
        <f>B9*C9</f>
        <v>196.02524999999997</v>
      </c>
      <c r="E9" s="1">
        <f>B9-D9</f>
        <v>96.54974999999996</v>
      </c>
      <c r="F9">
        <v>0.7</v>
      </c>
      <c r="G9" s="1">
        <f>E9*F9</f>
        <v>67.584824999999967</v>
      </c>
      <c r="H9" s="1" t="s">
        <v>27</v>
      </c>
      <c r="I9" s="1">
        <f>E9-G9</f>
        <v>28.964924999999994</v>
      </c>
    </row>
    <row r="10" spans="1:9" x14ac:dyDescent="0.25">
      <c r="A10" t="s">
        <v>6</v>
      </c>
      <c r="B10" s="1">
        <f>LiverMassMale</f>
        <v>1950</v>
      </c>
      <c r="C10">
        <v>0.67</v>
      </c>
      <c r="D10" s="1">
        <f>B10*C10</f>
        <v>1306.5</v>
      </c>
      <c r="E10" s="1">
        <f>B10-D10</f>
        <v>643.5</v>
      </c>
      <c r="G10" s="1"/>
    </row>
    <row r="11" spans="1:9" x14ac:dyDescent="0.25">
      <c r="A11" t="s">
        <v>7</v>
      </c>
      <c r="B11" s="1">
        <f>OtherMassMale</f>
        <v>3525</v>
      </c>
      <c r="C11">
        <v>0.67</v>
      </c>
      <c r="D11" s="1">
        <f>B11*C11</f>
        <v>2361.75</v>
      </c>
      <c r="E11" s="1">
        <f>B11-D11</f>
        <v>1163.25</v>
      </c>
      <c r="G11" s="1"/>
    </row>
    <row r="12" spans="1:9" x14ac:dyDescent="0.25">
      <c r="A12" t="s">
        <v>8</v>
      </c>
      <c r="B12" s="1">
        <f>RMuscleMassMale</f>
        <v>3600</v>
      </c>
      <c r="C12">
        <v>0.79</v>
      </c>
      <c r="D12" s="1">
        <f>B12*C12</f>
        <v>2844</v>
      </c>
      <c r="E12" s="1">
        <f>B12-D12</f>
        <v>756</v>
      </c>
      <c r="F12">
        <v>0.5</v>
      </c>
      <c r="G12" s="1">
        <f>E12*F12</f>
        <v>378</v>
      </c>
      <c r="H12" s="1" t="s">
        <v>27</v>
      </c>
      <c r="I12" s="1">
        <f>E12-G12</f>
        <v>378</v>
      </c>
    </row>
    <row r="13" spans="1:9" x14ac:dyDescent="0.25">
      <c r="A13" t="s">
        <v>9</v>
      </c>
      <c r="B13" s="1">
        <f>RHeartMassMale</f>
        <v>59.924999999999997</v>
      </c>
      <c r="C13">
        <v>0.67</v>
      </c>
      <c r="D13" s="1">
        <f>B13*C13</f>
        <v>40.149749999999997</v>
      </c>
      <c r="E13" s="1">
        <f>B13-D13</f>
        <v>19.77525</v>
      </c>
      <c r="F13">
        <v>0.7</v>
      </c>
      <c r="G13" s="1">
        <f>E13*F13</f>
        <v>13.842675</v>
      </c>
      <c r="H13" s="1" t="s">
        <v>27</v>
      </c>
      <c r="I13" s="1">
        <f>E13-G13</f>
        <v>5.9325749999999999</v>
      </c>
    </row>
    <row r="14" spans="1:9" x14ac:dyDescent="0.25">
      <c r="A14" t="s">
        <v>10</v>
      </c>
      <c r="B14" s="1">
        <f>SMuscleMassMale</f>
        <v>26400</v>
      </c>
      <c r="C14">
        <v>0.79</v>
      </c>
      <c r="D14" s="1">
        <f>B14*C14</f>
        <v>20856</v>
      </c>
      <c r="E14" s="1">
        <f>B14-D14</f>
        <v>5544</v>
      </c>
      <c r="F14">
        <v>0.5</v>
      </c>
      <c r="G14" s="1">
        <f>E14*F14</f>
        <v>2772</v>
      </c>
      <c r="H14" s="1" t="s">
        <v>27</v>
      </c>
      <c r="I14" s="1">
        <f>E14-G14</f>
        <v>2772</v>
      </c>
    </row>
    <row r="15" spans="1:9" x14ac:dyDescent="0.25">
      <c r="A15" t="s">
        <v>11</v>
      </c>
      <c r="B15" s="1">
        <f>SkinMassMale</f>
        <v>2775</v>
      </c>
      <c r="C15">
        <v>0.67</v>
      </c>
      <c r="D15" s="1">
        <f>B15*C15</f>
        <v>1859.25</v>
      </c>
      <c r="E15" s="1">
        <f>B15-D15</f>
        <v>915.75</v>
      </c>
    </row>
    <row r="16" spans="1:9" x14ac:dyDescent="0.25">
      <c r="A16" t="s">
        <v>13</v>
      </c>
      <c r="B16" s="1">
        <f>SUM(B4:B15)</f>
        <v>68482.5</v>
      </c>
      <c r="D16" s="1">
        <f>SUM(D4:D15)</f>
        <v>37383.525000000001</v>
      </c>
      <c r="E16" s="1">
        <f>SUM(E4:E15)</f>
        <v>31098.974999999999</v>
      </c>
    </row>
    <row r="18" spans="1:3" x14ac:dyDescent="0.25">
      <c r="A18" t="s">
        <v>14</v>
      </c>
      <c r="B18">
        <f>BloodMass</f>
        <v>5550</v>
      </c>
    </row>
    <row r="19" spans="1:3" x14ac:dyDescent="0.25">
      <c r="A19" t="s">
        <v>126</v>
      </c>
      <c r="B19">
        <v>0.44</v>
      </c>
    </row>
    <row r="20" spans="1:3" x14ac:dyDescent="0.25">
      <c r="A20" t="s">
        <v>21</v>
      </c>
      <c r="B20">
        <f>B18*(1-Hematocrit)</f>
        <v>3108.0000000000005</v>
      </c>
    </row>
    <row r="21" spans="1:3" x14ac:dyDescent="0.25">
      <c r="A21" t="s">
        <v>22</v>
      </c>
      <c r="B21">
        <f>B18*Hematocrit</f>
        <v>2442</v>
      </c>
      <c r="C21">
        <v>0.66</v>
      </c>
    </row>
    <row r="22" spans="1:3" x14ac:dyDescent="0.25">
      <c r="A22" t="s">
        <v>23</v>
      </c>
      <c r="B22" s="1">
        <f>B21*C21</f>
        <v>1611.72</v>
      </c>
    </row>
    <row r="23" spans="1:3" x14ac:dyDescent="0.25">
      <c r="A23" t="s">
        <v>24</v>
      </c>
      <c r="B23" s="1">
        <f>B21*(1-C21)</f>
        <v>830.28</v>
      </c>
    </row>
    <row r="24" spans="1:3" x14ac:dyDescent="0.25">
      <c r="A24" t="s">
        <v>15</v>
      </c>
      <c r="B24">
        <f>LungH2OMass</f>
        <v>0</v>
      </c>
    </row>
    <row r="25" spans="1:3" x14ac:dyDescent="0.25">
      <c r="A25" t="s">
        <v>16</v>
      </c>
      <c r="B25">
        <f>PeritoneumMass</f>
        <v>0</v>
      </c>
    </row>
    <row r="26" spans="1:3" x14ac:dyDescent="0.25">
      <c r="A26" t="s">
        <v>17</v>
      </c>
      <c r="B26">
        <f>GutH2OMass</f>
        <v>975</v>
      </c>
    </row>
    <row r="27" spans="1:3" x14ac:dyDescent="0.25">
      <c r="A27" t="s">
        <v>18</v>
      </c>
      <c r="B27">
        <f>FluidsMass</f>
        <v>6525</v>
      </c>
    </row>
    <row r="29" spans="1:3" x14ac:dyDescent="0.25">
      <c r="A29" t="s">
        <v>19</v>
      </c>
      <c r="B29" s="1">
        <f>B16+B27</f>
        <v>75007.5</v>
      </c>
    </row>
  </sheetData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C6" sqref="C6"/>
    </sheetView>
  </sheetViews>
  <sheetFormatPr defaultRowHeight="15" x14ac:dyDescent="0.25"/>
  <cols>
    <col min="1" max="1" width="14.7109375" customWidth="1"/>
    <col min="2" max="2" width="16" customWidth="1"/>
    <col min="3" max="3" width="10.85546875" customWidth="1"/>
    <col min="4" max="5" width="14.85546875" customWidth="1"/>
    <col min="7" max="7" width="15.42578125" customWidth="1"/>
  </cols>
  <sheetData>
    <row r="1" spans="1:10" x14ac:dyDescent="0.25">
      <c r="A1" t="s">
        <v>86</v>
      </c>
      <c r="B1" t="s">
        <v>19</v>
      </c>
      <c r="C1" t="s">
        <v>84</v>
      </c>
      <c r="D1" t="s">
        <v>89</v>
      </c>
    </row>
    <row r="2" spans="1:10" x14ac:dyDescent="0.25">
      <c r="A2" t="s">
        <v>87</v>
      </c>
      <c r="B2" t="e">
        <f>'Organ Mass - Male'!#REF!</f>
        <v>#REF!</v>
      </c>
      <c r="C2">
        <v>7.1999999999999995E-2</v>
      </c>
      <c r="D2" t="e">
        <f>1000*C2*B2</f>
        <v>#REF!</v>
      </c>
    </row>
    <row r="3" spans="1:10" x14ac:dyDescent="0.25">
      <c r="A3" t="s">
        <v>88</v>
      </c>
      <c r="B3" s="5" t="e">
        <f>'Organ Mass - Female'!#REF!</f>
        <v>#REF!</v>
      </c>
      <c r="C3">
        <f>C2</f>
        <v>7.1999999999999995E-2</v>
      </c>
      <c r="D3" s="1" t="e">
        <f>1000*C3*B3</f>
        <v>#REF!</v>
      </c>
      <c r="G3" t="s">
        <v>97</v>
      </c>
    </row>
    <row r="5" spans="1:10" x14ac:dyDescent="0.25">
      <c r="A5" t="s">
        <v>90</v>
      </c>
      <c r="B5" t="s">
        <v>95</v>
      </c>
      <c r="C5" t="s">
        <v>96</v>
      </c>
      <c r="D5" t="s">
        <v>85</v>
      </c>
      <c r="E5" t="s">
        <v>97</v>
      </c>
      <c r="G5" t="s">
        <v>28</v>
      </c>
      <c r="H5" t="s">
        <v>87</v>
      </c>
      <c r="I5" t="s">
        <v>88</v>
      </c>
      <c r="J5" t="s">
        <v>98</v>
      </c>
    </row>
    <row r="6" spans="1:10" x14ac:dyDescent="0.25">
      <c r="A6" t="s">
        <v>91</v>
      </c>
      <c r="B6">
        <v>5</v>
      </c>
      <c r="C6" s="1" t="e">
        <f>0.01*B6*D2</f>
        <v>#REF!</v>
      </c>
      <c r="D6" s="1">
        <f>'Organ Mass - Male'!C6</f>
        <v>16050</v>
      </c>
      <c r="E6" s="7" t="e">
        <f t="shared" ref="E6:E12" si="0">C6/D6</f>
        <v>#REF!</v>
      </c>
      <c r="G6" t="s">
        <v>91</v>
      </c>
      <c r="H6" s="7" t="e">
        <f t="shared" ref="H6:H12" si="1">E6</f>
        <v>#REF!</v>
      </c>
      <c r="I6" s="7" t="e">
        <f t="shared" ref="I6:I12" si="2">E26</f>
        <v>#REF!</v>
      </c>
      <c r="J6" s="7" t="e">
        <f t="shared" ref="J6:J12" si="3">(H6+I6)/2</f>
        <v>#REF!</v>
      </c>
    </row>
    <row r="7" spans="1:10" x14ac:dyDescent="0.25">
      <c r="A7" t="s">
        <v>92</v>
      </c>
      <c r="B7">
        <v>0.3</v>
      </c>
      <c r="C7" s="1" t="e">
        <f>0.01*B7*D2</f>
        <v>#REF!</v>
      </c>
      <c r="D7" s="1">
        <f>'Organ Mass - Male'!C35</f>
        <v>15</v>
      </c>
      <c r="E7" s="7" t="e">
        <f t="shared" si="0"/>
        <v>#REF!</v>
      </c>
      <c r="G7" t="s">
        <v>92</v>
      </c>
      <c r="H7" s="7" t="e">
        <f t="shared" si="1"/>
        <v>#REF!</v>
      </c>
      <c r="I7" s="7" t="e">
        <f t="shared" si="2"/>
        <v>#REF!</v>
      </c>
      <c r="J7" s="7" t="e">
        <f t="shared" si="3"/>
        <v>#REF!</v>
      </c>
    </row>
    <row r="8" spans="1:10" x14ac:dyDescent="0.25">
      <c r="A8" t="s">
        <v>0</v>
      </c>
      <c r="B8">
        <v>5</v>
      </c>
      <c r="C8" s="1" t="e">
        <f>0.01*B8*D2</f>
        <v>#REF!</v>
      </c>
      <c r="D8" s="1">
        <f>'Organ Mass - Male'!C4</f>
        <v>10725</v>
      </c>
      <c r="E8" s="7" t="e">
        <f t="shared" si="0"/>
        <v>#REF!</v>
      </c>
      <c r="G8" t="s">
        <v>0</v>
      </c>
      <c r="H8" s="7" t="e">
        <f t="shared" si="1"/>
        <v>#REF!</v>
      </c>
      <c r="I8" s="7" t="e">
        <f t="shared" si="2"/>
        <v>#REF!</v>
      </c>
      <c r="J8" s="7" t="e">
        <f t="shared" si="3"/>
        <v>#REF!</v>
      </c>
    </row>
    <row r="9" spans="1:10" x14ac:dyDescent="0.25">
      <c r="A9" t="s">
        <v>1</v>
      </c>
      <c r="B9">
        <v>12</v>
      </c>
      <c r="C9" s="1" t="e">
        <f>0.01*B9*D2</f>
        <v>#REF!</v>
      </c>
      <c r="D9" s="1">
        <f>'Organ Mass - Male'!C5</f>
        <v>1500</v>
      </c>
      <c r="E9" s="7" t="e">
        <f t="shared" si="0"/>
        <v>#REF!</v>
      </c>
      <c r="G9" t="s">
        <v>1</v>
      </c>
      <c r="H9" s="7" t="e">
        <f t="shared" si="1"/>
        <v>#REF!</v>
      </c>
      <c r="I9" s="7" t="e">
        <f t="shared" si="2"/>
        <v>#REF!</v>
      </c>
      <c r="J9" s="7" t="e">
        <f t="shared" si="3"/>
        <v>#REF!</v>
      </c>
    </row>
    <row r="10" spans="1:10" x14ac:dyDescent="0.25">
      <c r="A10" t="s">
        <v>49</v>
      </c>
      <c r="B10">
        <v>4</v>
      </c>
      <c r="C10" s="1" t="e">
        <f>0.01*B10*D2</f>
        <v>#REF!</v>
      </c>
      <c r="D10" s="1">
        <f>'Organ Mass - Male'!C27</f>
        <v>352.49999999999994</v>
      </c>
      <c r="E10" s="7" t="e">
        <f t="shared" si="0"/>
        <v>#REF!</v>
      </c>
      <c r="G10" t="s">
        <v>49</v>
      </c>
      <c r="H10" s="7" t="e">
        <f t="shared" si="1"/>
        <v>#REF!</v>
      </c>
      <c r="I10" s="7" t="e">
        <f t="shared" si="2"/>
        <v>#REF!</v>
      </c>
      <c r="J10" s="7" t="e">
        <f t="shared" si="3"/>
        <v>#REF!</v>
      </c>
    </row>
    <row r="11" spans="1:10" x14ac:dyDescent="0.25">
      <c r="A11" t="s">
        <v>4</v>
      </c>
      <c r="B11">
        <v>19</v>
      </c>
      <c r="C11" s="1" t="e">
        <f>0.01*B11*D2</f>
        <v>#REF!</v>
      </c>
      <c r="D11" s="1">
        <f>'Organ Mass - Male'!C8</f>
        <v>330</v>
      </c>
      <c r="E11" s="7" t="e">
        <f t="shared" si="0"/>
        <v>#REF!</v>
      </c>
      <c r="G11" t="s">
        <v>4</v>
      </c>
      <c r="H11" s="7" t="e">
        <f t="shared" si="1"/>
        <v>#REF!</v>
      </c>
      <c r="I11" s="7" t="e">
        <f t="shared" si="2"/>
        <v>#REF!</v>
      </c>
      <c r="J11" s="7" t="e">
        <f t="shared" si="3"/>
        <v>#REF!</v>
      </c>
    </row>
    <row r="12" spans="1:10" x14ac:dyDescent="0.25">
      <c r="A12" t="s">
        <v>6</v>
      </c>
      <c r="B12">
        <v>25</v>
      </c>
      <c r="C12" s="1" t="e">
        <f>0.01*B12*D2</f>
        <v>#REF!</v>
      </c>
      <c r="D12" s="1">
        <f>'Organ Mass - Male'!C10</f>
        <v>1950</v>
      </c>
      <c r="E12" s="7" t="e">
        <f t="shared" si="0"/>
        <v>#REF!</v>
      </c>
      <c r="G12" t="s">
        <v>6</v>
      </c>
      <c r="H12" s="7" t="e">
        <f t="shared" si="1"/>
        <v>#REF!</v>
      </c>
      <c r="I12" s="7" t="e">
        <f t="shared" si="2"/>
        <v>#REF!</v>
      </c>
      <c r="J12" s="7" t="e">
        <f t="shared" si="3"/>
        <v>#REF!</v>
      </c>
    </row>
    <row r="13" spans="1:10" x14ac:dyDescent="0.25">
      <c r="A13" s="2" t="s">
        <v>40</v>
      </c>
      <c r="B13">
        <v>6</v>
      </c>
      <c r="C13" s="1" t="e">
        <f>0.01*B13*D2</f>
        <v>#REF!</v>
      </c>
      <c r="E13" s="7"/>
      <c r="G13" s="2" t="s">
        <v>40</v>
      </c>
      <c r="H13" s="7"/>
      <c r="I13" s="7"/>
      <c r="J13" s="7"/>
    </row>
    <row r="14" spans="1:10" x14ac:dyDescent="0.25">
      <c r="A14" s="2" t="s">
        <v>41</v>
      </c>
      <c r="B14">
        <v>19</v>
      </c>
      <c r="C14" s="1" t="e">
        <f>0.01*B14*D2</f>
        <v>#REF!</v>
      </c>
      <c r="D14" s="1">
        <f>'Organ Mass - Male'!C7</f>
        <v>1275</v>
      </c>
      <c r="E14" s="7" t="e">
        <f>C14/D14</f>
        <v>#REF!</v>
      </c>
      <c r="G14" s="2" t="s">
        <v>41</v>
      </c>
      <c r="H14" s="7" t="e">
        <f>E14</f>
        <v>#REF!</v>
      </c>
      <c r="I14" s="7" t="e">
        <f>E34</f>
        <v>#REF!</v>
      </c>
      <c r="J14" s="7" t="e">
        <f>(H14+I14)/2</f>
        <v>#REF!</v>
      </c>
    </row>
    <row r="15" spans="1:10" x14ac:dyDescent="0.25">
      <c r="A15" t="s">
        <v>93</v>
      </c>
      <c r="B15">
        <v>2.5</v>
      </c>
      <c r="C15" s="1" t="e">
        <f>0.01*B15*D2</f>
        <v>#REF!</v>
      </c>
      <c r="D15" s="1">
        <f>'Organ Mass - Male'!C39</f>
        <v>570</v>
      </c>
      <c r="E15" s="7" t="e">
        <f>C15/D15</f>
        <v>#REF!</v>
      </c>
      <c r="G15" t="s">
        <v>93</v>
      </c>
      <c r="H15" s="7" t="e">
        <f>E15</f>
        <v>#REF!</v>
      </c>
      <c r="I15" s="7" t="e">
        <f>E35</f>
        <v>#REF!</v>
      </c>
      <c r="J15" s="7" t="e">
        <f>(H15+I15)/2</f>
        <v>#REF!</v>
      </c>
    </row>
    <row r="16" spans="1:10" x14ac:dyDescent="0.25">
      <c r="A16" t="s">
        <v>60</v>
      </c>
      <c r="B16">
        <v>17</v>
      </c>
      <c r="C16" s="1" t="e">
        <f>0.01*B16*D2</f>
        <v>#REF!</v>
      </c>
      <c r="D16" s="1">
        <f>'Organ Mass - Male'!C31</f>
        <v>30000</v>
      </c>
      <c r="E16" s="7" t="e">
        <f>C16/D16</f>
        <v>#REF!</v>
      </c>
      <c r="G16" t="s">
        <v>60</v>
      </c>
      <c r="H16" s="7" t="e">
        <f>E16</f>
        <v>#REF!</v>
      </c>
      <c r="I16" s="7" t="e">
        <f>E36</f>
        <v>#REF!</v>
      </c>
      <c r="J16" s="7" t="e">
        <f>(H16+I16)/2</f>
        <v>#REF!</v>
      </c>
    </row>
    <row r="17" spans="1:10" x14ac:dyDescent="0.25">
      <c r="A17" s="2" t="s">
        <v>61</v>
      </c>
      <c r="C17" s="1" t="e">
        <f>'Organ Mass - Male'!B32 * C16</f>
        <v>#REF!</v>
      </c>
      <c r="D17" s="1">
        <f>'Organ Mass - Male'!B32 * D16</f>
        <v>3600</v>
      </c>
      <c r="E17" s="7"/>
      <c r="H17" s="7"/>
      <c r="I17" s="7"/>
      <c r="J17" s="7"/>
    </row>
    <row r="18" spans="1:10" x14ac:dyDescent="0.25">
      <c r="A18" s="2" t="s">
        <v>62</v>
      </c>
      <c r="C18" s="1" t="e">
        <f>'Organ Mass - Male'!B33 * C16</f>
        <v>#REF!</v>
      </c>
      <c r="D18" s="1">
        <f>'Organ Mass - Male'!B33 * D16</f>
        <v>26400</v>
      </c>
      <c r="E18" s="7"/>
      <c r="H18" s="7"/>
      <c r="I18" s="7"/>
      <c r="J18" s="7"/>
    </row>
    <row r="19" spans="1:10" x14ac:dyDescent="0.25">
      <c r="A19" t="s">
        <v>11</v>
      </c>
      <c r="B19">
        <v>5</v>
      </c>
      <c r="C19" s="1" t="e">
        <f>0.01*B19*D2</f>
        <v>#REF!</v>
      </c>
      <c r="D19" s="1">
        <f>'Organ Mass - Male'!C15</f>
        <v>2775</v>
      </c>
      <c r="E19" s="7" t="e">
        <f>C19/D19</f>
        <v>#REF!</v>
      </c>
      <c r="G19" t="s">
        <v>11</v>
      </c>
      <c r="H19" s="7" t="e">
        <f>E19</f>
        <v>#REF!</v>
      </c>
      <c r="I19" s="7" t="e">
        <f>E37</f>
        <v>#REF!</v>
      </c>
      <c r="J19" s="7" t="e">
        <f>(H19+I19)/2</f>
        <v>#REF!</v>
      </c>
    </row>
    <row r="20" spans="1:10" x14ac:dyDescent="0.25">
      <c r="A20" t="s">
        <v>59</v>
      </c>
      <c r="B20">
        <v>1.5</v>
      </c>
      <c r="C20" s="1" t="e">
        <f>0.01*B20*D2</f>
        <v>#REF!</v>
      </c>
      <c r="D20" s="1">
        <f>'Organ Mass - Male'!C42</f>
        <v>22.5</v>
      </c>
      <c r="E20" s="7" t="e">
        <f>C20/D20</f>
        <v>#REF!</v>
      </c>
      <c r="G20" t="s">
        <v>59</v>
      </c>
      <c r="H20" s="7" t="e">
        <f>E20</f>
        <v>#REF!</v>
      </c>
      <c r="I20" s="7" t="e">
        <f>E38</f>
        <v>#REF!</v>
      </c>
      <c r="J20" s="7" t="e">
        <f>(H20+I20)/2</f>
        <v>#REF!</v>
      </c>
    </row>
    <row r="21" spans="1:10" x14ac:dyDescent="0.25">
      <c r="A21" t="s">
        <v>33</v>
      </c>
      <c r="B21">
        <f>SUM(B6:B12,B15:B20)</f>
        <v>96.3</v>
      </c>
      <c r="C21" s="1" t="e">
        <f>SUM(C6:C12,C15:C16,C19:C20)</f>
        <v>#REF!</v>
      </c>
      <c r="D21" s="1">
        <f>SUM(D6:D12,D15:D16,D19:D20)</f>
        <v>64290</v>
      </c>
      <c r="E21" s="7"/>
    </row>
    <row r="22" spans="1:10" x14ac:dyDescent="0.25">
      <c r="C22" s="1"/>
      <c r="D22" s="1"/>
      <c r="E22" s="7"/>
    </row>
    <row r="23" spans="1:10" x14ac:dyDescent="0.25">
      <c r="A23" t="s">
        <v>65</v>
      </c>
      <c r="C23" s="1" t="e">
        <f>SUM(C7:C12,C15,C19)</f>
        <v>#REF!</v>
      </c>
      <c r="D23" s="1">
        <f>SUM(D7:D12,D14:D16,D19:D20)</f>
        <v>49515</v>
      </c>
      <c r="E23" s="7" t="e">
        <f>C23/D23</f>
        <v>#REF!</v>
      </c>
    </row>
    <row r="24" spans="1:10" x14ac:dyDescent="0.25">
      <c r="C24" s="1"/>
      <c r="E24" s="7"/>
    </row>
    <row r="25" spans="1:10" x14ac:dyDescent="0.25">
      <c r="A25" t="s">
        <v>94</v>
      </c>
      <c r="C25" s="1"/>
      <c r="E25" s="7"/>
    </row>
    <row r="26" spans="1:10" x14ac:dyDescent="0.25">
      <c r="A26" t="s">
        <v>91</v>
      </c>
      <c r="B26">
        <v>8.5</v>
      </c>
      <c r="C26" s="1" t="e">
        <f>0.01*B26*D3</f>
        <v>#REF!</v>
      </c>
      <c r="D26" s="1">
        <f>'Organ Mass - Female'!D6</f>
        <v>19767.150000000001</v>
      </c>
      <c r="E26" s="7" t="e">
        <f t="shared" ref="E26:E32" si="4">C26/D26</f>
        <v>#REF!</v>
      </c>
    </row>
    <row r="27" spans="1:10" x14ac:dyDescent="0.25">
      <c r="A27" t="s">
        <v>92</v>
      </c>
      <c r="B27">
        <v>0.3</v>
      </c>
      <c r="C27" s="1" t="e">
        <f>0.01*B27*D3</f>
        <v>#REF!</v>
      </c>
      <c r="D27" s="1">
        <f>'Organ Mass - Female'!D29</f>
        <v>12.090000000000002</v>
      </c>
      <c r="E27" s="7" t="e">
        <f t="shared" si="4"/>
        <v>#REF!</v>
      </c>
    </row>
    <row r="28" spans="1:10" x14ac:dyDescent="0.25">
      <c r="A28" t="s">
        <v>0</v>
      </c>
      <c r="B28">
        <v>5</v>
      </c>
      <c r="C28" s="1" t="e">
        <f>0.01*B28*D3</f>
        <v>#REF!</v>
      </c>
      <c r="D28" s="1">
        <f>'Organ Mass - Female'!D4</f>
        <v>8567.1460674157297</v>
      </c>
      <c r="E28" s="7" t="e">
        <f t="shared" si="4"/>
        <v>#REF!</v>
      </c>
    </row>
    <row r="29" spans="1:10" x14ac:dyDescent="0.25">
      <c r="A29" t="s">
        <v>1</v>
      </c>
      <c r="B29">
        <v>12</v>
      </c>
      <c r="C29" s="1" t="e">
        <f>0.01*B29*D3</f>
        <v>#REF!</v>
      </c>
      <c r="D29" s="1">
        <f>'Organ Mass - Female'!D5</f>
        <v>1198.2022471910109</v>
      </c>
      <c r="E29" s="7" t="e">
        <f t="shared" si="4"/>
        <v>#REF!</v>
      </c>
    </row>
    <row r="30" spans="1:10" x14ac:dyDescent="0.25">
      <c r="A30" t="s">
        <v>49</v>
      </c>
      <c r="B30">
        <v>5</v>
      </c>
      <c r="C30" s="1" t="e">
        <f>0.01*B30*D3</f>
        <v>#REF!</v>
      </c>
      <c r="D30" s="1">
        <f>'Organ Mass - Female'!C21</f>
        <v>284.11499999999995</v>
      </c>
      <c r="E30" s="7" t="e">
        <f t="shared" si="4"/>
        <v>#REF!</v>
      </c>
    </row>
    <row r="31" spans="1:10" x14ac:dyDescent="0.25">
      <c r="A31" t="s">
        <v>4</v>
      </c>
      <c r="B31">
        <v>17</v>
      </c>
      <c r="C31" s="1" t="e">
        <f>0.01*B31*D3</f>
        <v>#REF!</v>
      </c>
      <c r="D31" s="1">
        <f>'Organ Mass - Female'!D8</f>
        <v>263.60449438202244</v>
      </c>
      <c r="E31" s="7" t="e">
        <f t="shared" si="4"/>
        <v>#REF!</v>
      </c>
    </row>
    <row r="32" spans="1:10" x14ac:dyDescent="0.25">
      <c r="A32" t="s">
        <v>6</v>
      </c>
      <c r="B32">
        <v>27</v>
      </c>
      <c r="C32" s="1" t="e">
        <f>0.01*B32*D3</f>
        <v>#REF!</v>
      </c>
      <c r="D32" s="1">
        <f>'Organ Mass - Female'!D10</f>
        <v>1557.6629213483143</v>
      </c>
      <c r="E32" s="7" t="e">
        <f t="shared" si="4"/>
        <v>#REF!</v>
      </c>
    </row>
    <row r="33" spans="1:5" x14ac:dyDescent="0.25">
      <c r="A33" s="2" t="s">
        <v>40</v>
      </c>
      <c r="B33">
        <v>6</v>
      </c>
      <c r="C33" s="1" t="e">
        <f>0.01*B33*D3</f>
        <v>#REF!</v>
      </c>
      <c r="E33" s="7"/>
    </row>
    <row r="34" spans="1:5" x14ac:dyDescent="0.25">
      <c r="A34" s="2" t="s">
        <v>41</v>
      </c>
      <c r="B34">
        <v>21</v>
      </c>
      <c r="C34" s="1" t="e">
        <f>0.01*B34*D3</f>
        <v>#REF!</v>
      </c>
      <c r="D34" s="1">
        <f>'Organ Mass - Female'!D7</f>
        <v>1018.4719101123592</v>
      </c>
      <c r="E34" s="7" t="e">
        <f>C34/D34</f>
        <v>#REF!</v>
      </c>
    </row>
    <row r="35" spans="1:5" x14ac:dyDescent="0.25">
      <c r="A35" t="s">
        <v>93</v>
      </c>
      <c r="B35">
        <v>2.5</v>
      </c>
      <c r="C35" s="1" t="e">
        <f>0.01*B35*D3</f>
        <v>#REF!</v>
      </c>
      <c r="D35" s="1">
        <f>'Organ Mass - Female'!D33</f>
        <v>459.42</v>
      </c>
      <c r="E35" s="7" t="e">
        <f>C35/D35</f>
        <v>#REF!</v>
      </c>
    </row>
    <row r="36" spans="1:5" x14ac:dyDescent="0.25">
      <c r="A36" t="s">
        <v>60</v>
      </c>
      <c r="B36">
        <v>12</v>
      </c>
      <c r="C36" s="1" t="e">
        <f>0.01*B36*D3</f>
        <v>#REF!</v>
      </c>
      <c r="D36" s="1">
        <f>'Organ Mass - Female'!C25</f>
        <v>24180</v>
      </c>
      <c r="E36" s="7" t="e">
        <f>C36/D36</f>
        <v>#REF!</v>
      </c>
    </row>
    <row r="37" spans="1:5" x14ac:dyDescent="0.25">
      <c r="A37" t="s">
        <v>11</v>
      </c>
      <c r="B37">
        <v>5</v>
      </c>
      <c r="C37" s="1" t="e">
        <f>0.01*B37*D3</f>
        <v>#REF!</v>
      </c>
      <c r="D37" s="1">
        <f>'Organ Mass - Female'!D15</f>
        <v>2216.6741573033705</v>
      </c>
      <c r="E37" s="7" t="e">
        <f>C37/D37</f>
        <v>#REF!</v>
      </c>
    </row>
    <row r="38" spans="1:5" x14ac:dyDescent="0.25">
      <c r="A38" t="s">
        <v>59</v>
      </c>
      <c r="B38">
        <v>1.5</v>
      </c>
      <c r="C38" s="1" t="e">
        <f>0.01*B38*D3</f>
        <v>#REF!</v>
      </c>
      <c r="D38" s="1">
        <f>'Organ Mass - Female'!D36</f>
        <v>18.135000000000002</v>
      </c>
      <c r="E38" s="7" t="e">
        <f>C38/D38</f>
        <v>#REF!</v>
      </c>
    </row>
    <row r="39" spans="1:5" x14ac:dyDescent="0.25">
      <c r="A39" t="s">
        <v>33</v>
      </c>
      <c r="B39">
        <f>SUM(B26:B32, B35:B38)</f>
        <v>95.8</v>
      </c>
      <c r="C39" s="1" t="e">
        <f>SUM(C26:C32,C35:C38)</f>
        <v>#REF!</v>
      </c>
      <c r="D39" s="1">
        <f>SUM(D26:D38)</f>
        <v>59542.671797752817</v>
      </c>
      <c r="E39" s="7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24" sqref="D24"/>
    </sheetView>
  </sheetViews>
  <sheetFormatPr defaultRowHeight="15" x14ac:dyDescent="0.25"/>
  <cols>
    <col min="1" max="1" width="18.42578125" customWidth="1"/>
    <col min="2" max="2" width="9.85546875" customWidth="1"/>
    <col min="4" max="4" width="12.7109375" customWidth="1"/>
  </cols>
  <sheetData>
    <row r="1" spans="1:4" x14ac:dyDescent="0.25">
      <c r="A1" t="s">
        <v>28</v>
      </c>
      <c r="B1" t="s">
        <v>20</v>
      </c>
      <c r="C1" t="s">
        <v>29</v>
      </c>
      <c r="D1" t="s">
        <v>34</v>
      </c>
    </row>
    <row r="2" spans="1:4" x14ac:dyDescent="0.25">
      <c r="A2" t="s">
        <v>0</v>
      </c>
      <c r="B2">
        <v>9700</v>
      </c>
      <c r="C2">
        <v>90</v>
      </c>
      <c r="D2" s="3">
        <f>C2/B2</f>
        <v>9.2783505154639175E-3</v>
      </c>
    </row>
    <row r="3" spans="1:4" x14ac:dyDescent="0.25">
      <c r="A3" t="s">
        <v>1</v>
      </c>
      <c r="B3">
        <v>1300</v>
      </c>
      <c r="C3">
        <v>240</v>
      </c>
      <c r="D3" s="3">
        <f>C3/B3</f>
        <v>0.18461538461538463</v>
      </c>
    </row>
    <row r="4" spans="1:4" x14ac:dyDescent="0.25">
      <c r="A4" t="s">
        <v>2</v>
      </c>
      <c r="B4">
        <v>16600</v>
      </c>
      <c r="C4">
        <v>30</v>
      </c>
      <c r="D4" s="3">
        <f>C4/B4</f>
        <v>1.8072289156626507E-3</v>
      </c>
    </row>
    <row r="5" spans="1:4" x14ac:dyDescent="0.25">
      <c r="A5" t="s">
        <v>3</v>
      </c>
      <c r="B5">
        <v>1500</v>
      </c>
      <c r="C5">
        <v>120</v>
      </c>
      <c r="D5" s="3">
        <f>C5/B5</f>
        <v>0.08</v>
      </c>
    </row>
    <row r="6" spans="1:4" x14ac:dyDescent="0.25">
      <c r="A6" t="s">
        <v>4</v>
      </c>
      <c r="B6">
        <v>290</v>
      </c>
      <c r="C6">
        <v>110</v>
      </c>
      <c r="D6" s="3">
        <f>C6/B6</f>
        <v>0.37931034482758619</v>
      </c>
    </row>
    <row r="7" spans="1:4" x14ac:dyDescent="0.25">
      <c r="A7" s="2" t="s">
        <v>30</v>
      </c>
      <c r="C7">
        <v>50</v>
      </c>
      <c r="D7" s="3">
        <f>C7/B6</f>
        <v>0.17241379310344829</v>
      </c>
    </row>
    <row r="8" spans="1:4" x14ac:dyDescent="0.25">
      <c r="A8" s="2" t="s">
        <v>31</v>
      </c>
      <c r="C8">
        <v>60</v>
      </c>
      <c r="D8" s="3">
        <f>C8/B6</f>
        <v>0.20689655172413793</v>
      </c>
    </row>
    <row r="9" spans="1:4" x14ac:dyDescent="0.25">
      <c r="A9" t="s">
        <v>5</v>
      </c>
      <c r="B9">
        <v>260</v>
      </c>
      <c r="C9">
        <v>130</v>
      </c>
      <c r="D9" s="3">
        <f>C9/B9</f>
        <v>0.5</v>
      </c>
    </row>
    <row r="10" spans="1:4" x14ac:dyDescent="0.25">
      <c r="A10" s="2" t="s">
        <v>30</v>
      </c>
      <c r="C10">
        <v>20</v>
      </c>
      <c r="D10" s="3">
        <f>C10/B9</f>
        <v>7.6923076923076927E-2</v>
      </c>
    </row>
    <row r="11" spans="1:4" x14ac:dyDescent="0.25">
      <c r="A11" s="2" t="s">
        <v>32</v>
      </c>
      <c r="C11">
        <v>110</v>
      </c>
      <c r="D11" s="3">
        <f>C11/B9</f>
        <v>0.42307692307692307</v>
      </c>
    </row>
    <row r="12" spans="1:4" x14ac:dyDescent="0.25">
      <c r="A12" t="s">
        <v>6</v>
      </c>
      <c r="B12">
        <v>1750</v>
      </c>
      <c r="C12">
        <v>190</v>
      </c>
      <c r="D12" s="3">
        <f>C12/B12</f>
        <v>0.10857142857142857</v>
      </c>
    </row>
    <row r="13" spans="1:4" x14ac:dyDescent="0.25">
      <c r="A13" t="s">
        <v>7</v>
      </c>
      <c r="B13">
        <v>4100</v>
      </c>
      <c r="C13">
        <v>50</v>
      </c>
      <c r="D13" s="3">
        <f>C13/B13</f>
        <v>1.2195121951219513E-2</v>
      </c>
    </row>
    <row r="14" spans="1:4" x14ac:dyDescent="0.25">
      <c r="A14" t="s">
        <v>8</v>
      </c>
      <c r="B14">
        <v>3500</v>
      </c>
      <c r="C14">
        <v>30</v>
      </c>
      <c r="D14" s="3">
        <f>C14/B14</f>
        <v>8.5714285714285719E-3</v>
      </c>
    </row>
    <row r="15" spans="1:4" x14ac:dyDescent="0.25">
      <c r="A15" s="2" t="s">
        <v>30</v>
      </c>
      <c r="C15">
        <v>10</v>
      </c>
      <c r="D15" s="3">
        <f>C15/B14</f>
        <v>2.8571428571428571E-3</v>
      </c>
    </row>
    <row r="16" spans="1:4" x14ac:dyDescent="0.25">
      <c r="A16" s="2" t="s">
        <v>32</v>
      </c>
      <c r="C16">
        <v>20</v>
      </c>
      <c r="D16" s="3">
        <f>C16/B14</f>
        <v>5.7142857142857143E-3</v>
      </c>
    </row>
    <row r="17" spans="1:4" x14ac:dyDescent="0.25">
      <c r="A17" t="s">
        <v>9</v>
      </c>
      <c r="B17">
        <v>50</v>
      </c>
      <c r="C17">
        <v>25</v>
      </c>
      <c r="D17" s="3">
        <f>C17/B17</f>
        <v>0.5</v>
      </c>
    </row>
    <row r="18" spans="1:4" x14ac:dyDescent="0.25">
      <c r="A18" s="2" t="s">
        <v>30</v>
      </c>
      <c r="C18">
        <v>3</v>
      </c>
      <c r="D18" s="3">
        <f>C18/B17</f>
        <v>0.06</v>
      </c>
    </row>
    <row r="19" spans="1:4" x14ac:dyDescent="0.25">
      <c r="A19" s="2" t="s">
        <v>32</v>
      </c>
      <c r="C19">
        <v>22</v>
      </c>
      <c r="D19" s="3">
        <f>C19/B17</f>
        <v>0.44</v>
      </c>
    </row>
    <row r="20" spans="1:4" x14ac:dyDescent="0.25">
      <c r="A20" t="s">
        <v>10</v>
      </c>
      <c r="B20">
        <v>27000</v>
      </c>
      <c r="C20">
        <v>140</v>
      </c>
      <c r="D20" s="3">
        <f>C20/B20</f>
        <v>5.185185185185185E-3</v>
      </c>
    </row>
    <row r="21" spans="1:4" x14ac:dyDescent="0.25">
      <c r="A21" s="2" t="s">
        <v>30</v>
      </c>
      <c r="C21">
        <v>140</v>
      </c>
      <c r="D21" s="3">
        <f>C21/B20</f>
        <v>5.185185185185185E-3</v>
      </c>
    </row>
    <row r="22" spans="1:4" x14ac:dyDescent="0.25">
      <c r="A22" t="s">
        <v>11</v>
      </c>
      <c r="B22">
        <v>2550</v>
      </c>
      <c r="C22">
        <v>40</v>
      </c>
      <c r="D22" s="3">
        <f>C22/B22</f>
        <v>1.5686274509803921E-2</v>
      </c>
    </row>
    <row r="23" spans="1:4" x14ac:dyDescent="0.25">
      <c r="A23" s="2" t="s">
        <v>33</v>
      </c>
      <c r="B23">
        <f>SUM(B2:B22)</f>
        <v>68600</v>
      </c>
      <c r="C23">
        <f>SUM(C2:C6,C9,C12:C14,C17,C20,C22)</f>
        <v>1195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2" sqref="D2:D23"/>
    </sheetView>
  </sheetViews>
  <sheetFormatPr defaultRowHeight="15" x14ac:dyDescent="0.25"/>
  <cols>
    <col min="1" max="1" width="18.85546875" customWidth="1"/>
    <col min="2" max="2" width="10" customWidth="1"/>
    <col min="3" max="3" width="12.7109375" customWidth="1"/>
    <col min="4" max="4" width="16.7109375" customWidth="1"/>
  </cols>
  <sheetData>
    <row r="1" spans="1:4" x14ac:dyDescent="0.25">
      <c r="A1" t="s">
        <v>28</v>
      </c>
      <c r="B1" t="s">
        <v>20</v>
      </c>
      <c r="C1" t="s">
        <v>43</v>
      </c>
      <c r="D1" t="s">
        <v>46</v>
      </c>
    </row>
    <row r="2" spans="1:4" x14ac:dyDescent="0.25">
      <c r="A2" t="s">
        <v>0</v>
      </c>
      <c r="B2">
        <v>9700</v>
      </c>
      <c r="C2">
        <v>4.7</v>
      </c>
      <c r="D2" s="4">
        <f>C2/B2</f>
        <v>4.8453608247422681E-4</v>
      </c>
    </row>
    <row r="3" spans="1:4" x14ac:dyDescent="0.25">
      <c r="A3" t="s">
        <v>1</v>
      </c>
      <c r="B3">
        <v>1300</v>
      </c>
      <c r="C3">
        <v>9.1</v>
      </c>
      <c r="D3" s="4">
        <f>C3/B3</f>
        <v>7.0000000000000001E-3</v>
      </c>
    </row>
    <row r="4" spans="1:4" x14ac:dyDescent="0.25">
      <c r="A4" t="s">
        <v>2</v>
      </c>
      <c r="B4">
        <v>16600</v>
      </c>
      <c r="C4">
        <v>2.7</v>
      </c>
      <c r="D4" s="4">
        <f>C4/B4</f>
        <v>1.6265060240963855E-4</v>
      </c>
    </row>
    <row r="5" spans="1:4" x14ac:dyDescent="0.25">
      <c r="A5" t="s">
        <v>3</v>
      </c>
      <c r="B5">
        <v>1500</v>
      </c>
      <c r="C5">
        <v>10</v>
      </c>
      <c r="D5" s="4">
        <f>C5/B5</f>
        <v>6.6666666666666671E-3</v>
      </c>
    </row>
    <row r="6" spans="1:4" x14ac:dyDescent="0.25">
      <c r="A6" t="s">
        <v>4</v>
      </c>
      <c r="B6">
        <v>290</v>
      </c>
      <c r="C6">
        <v>13.9</v>
      </c>
      <c r="D6" s="4">
        <f>C6/B6</f>
        <v>4.7931034482758622E-2</v>
      </c>
    </row>
    <row r="7" spans="1:4" x14ac:dyDescent="0.25">
      <c r="A7" s="2" t="s">
        <v>35</v>
      </c>
      <c r="C7">
        <v>600</v>
      </c>
      <c r="D7" s="4">
        <f>C7/B6</f>
        <v>2.0689655172413794</v>
      </c>
    </row>
    <row r="8" spans="1:4" x14ac:dyDescent="0.25">
      <c r="A8" s="2" t="s">
        <v>36</v>
      </c>
      <c r="C8">
        <v>37.299999999999997</v>
      </c>
      <c r="D8" s="4">
        <f>C8/B6</f>
        <v>0.1286206896551724</v>
      </c>
    </row>
    <row r="9" spans="1:4" x14ac:dyDescent="0.25">
      <c r="A9" s="2" t="s">
        <v>37</v>
      </c>
      <c r="C9">
        <v>23</v>
      </c>
      <c r="D9" s="4">
        <f>C9/B6</f>
        <v>7.9310344827586213E-2</v>
      </c>
    </row>
    <row r="10" spans="1:4" x14ac:dyDescent="0.25">
      <c r="A10" t="s">
        <v>5</v>
      </c>
      <c r="B10">
        <v>260</v>
      </c>
      <c r="C10">
        <v>2.1</v>
      </c>
      <c r="D10" s="4">
        <f>C10/B10</f>
        <v>8.076923076923077E-3</v>
      </c>
    </row>
    <row r="11" spans="1:4" x14ac:dyDescent="0.25">
      <c r="A11" s="2" t="s">
        <v>38</v>
      </c>
      <c r="C11">
        <v>50</v>
      </c>
      <c r="D11" s="4">
        <f>C11/B10</f>
        <v>0.19230769230769232</v>
      </c>
    </row>
    <row r="12" spans="1:4" x14ac:dyDescent="0.25">
      <c r="A12" s="2" t="s">
        <v>39</v>
      </c>
      <c r="C12">
        <v>2.2000000000000002</v>
      </c>
      <c r="D12" s="4">
        <f>C12/B10</f>
        <v>8.461538461538463E-3</v>
      </c>
    </row>
    <row r="13" spans="1:4" x14ac:dyDescent="0.25">
      <c r="A13" t="s">
        <v>6</v>
      </c>
      <c r="B13">
        <v>1750</v>
      </c>
      <c r="C13" t="s">
        <v>44</v>
      </c>
      <c r="D13" s="4"/>
    </row>
    <row r="14" spans="1:4" x14ac:dyDescent="0.25">
      <c r="A14" s="2" t="s">
        <v>40</v>
      </c>
      <c r="C14">
        <v>2.8</v>
      </c>
      <c r="D14" s="4">
        <f>C14/B13</f>
        <v>1.5999999999999999E-3</v>
      </c>
    </row>
    <row r="15" spans="1:4" x14ac:dyDescent="0.25">
      <c r="A15" s="2" t="s">
        <v>41</v>
      </c>
      <c r="C15" t="s">
        <v>45</v>
      </c>
      <c r="D15" s="4"/>
    </row>
    <row r="16" spans="1:4" x14ac:dyDescent="0.25">
      <c r="A16" s="2" t="s">
        <v>42</v>
      </c>
      <c r="C16">
        <v>178</v>
      </c>
      <c r="D16" s="4">
        <f>C16/B13</f>
        <v>0.10171428571428572</v>
      </c>
    </row>
    <row r="17" spans="1:4" x14ac:dyDescent="0.25">
      <c r="A17" t="s">
        <v>7</v>
      </c>
      <c r="B17">
        <v>4100</v>
      </c>
      <c r="C17">
        <v>4.2</v>
      </c>
      <c r="D17" s="4">
        <f>C17/B17</f>
        <v>1.0243902439024391E-3</v>
      </c>
    </row>
    <row r="18" spans="1:4" x14ac:dyDescent="0.25">
      <c r="A18" t="s">
        <v>8</v>
      </c>
      <c r="B18">
        <v>3500</v>
      </c>
      <c r="C18">
        <v>1.1000000000000001</v>
      </c>
      <c r="D18" s="4">
        <f>C18/B18</f>
        <v>3.1428571428571432E-4</v>
      </c>
    </row>
    <row r="19" spans="1:4" x14ac:dyDescent="0.25">
      <c r="A19" t="s">
        <v>9</v>
      </c>
      <c r="B19">
        <v>50</v>
      </c>
      <c r="C19">
        <v>0.39</v>
      </c>
      <c r="D19" s="4">
        <f>C19/B19</f>
        <v>7.8000000000000005E-3</v>
      </c>
    </row>
    <row r="20" spans="1:4" x14ac:dyDescent="0.25">
      <c r="A20" s="2" t="s">
        <v>38</v>
      </c>
      <c r="C20">
        <v>10</v>
      </c>
      <c r="D20" s="4">
        <f>C20/B19</f>
        <v>0.2</v>
      </c>
    </row>
    <row r="21" spans="1:4" x14ac:dyDescent="0.25">
      <c r="A21" s="2" t="s">
        <v>39</v>
      </c>
      <c r="C21">
        <v>0.4</v>
      </c>
      <c r="D21" s="4">
        <f>C21/B19</f>
        <v>8.0000000000000002E-3</v>
      </c>
    </row>
    <row r="22" spans="1:4" x14ac:dyDescent="0.25">
      <c r="A22" t="s">
        <v>10</v>
      </c>
      <c r="B22">
        <v>27000</v>
      </c>
      <c r="C22">
        <v>7.2</v>
      </c>
      <c r="D22" s="4">
        <f>C22/B22</f>
        <v>2.6666666666666668E-4</v>
      </c>
    </row>
    <row r="23" spans="1:4" x14ac:dyDescent="0.25">
      <c r="A23" t="s">
        <v>11</v>
      </c>
      <c r="B23">
        <v>2550</v>
      </c>
      <c r="C23">
        <v>1.6</v>
      </c>
      <c r="D23" s="4">
        <f>C23/B23</f>
        <v>6.2745098039215688E-4</v>
      </c>
    </row>
    <row r="24" spans="1:4" x14ac:dyDescent="0.25">
      <c r="A24" t="s">
        <v>12</v>
      </c>
      <c r="B24">
        <f>SUM(B2,B3,B5:B19,B23)</f>
        <v>25000</v>
      </c>
    </row>
    <row r="25" spans="1:4" x14ac:dyDescent="0.25">
      <c r="A25" t="s">
        <v>13</v>
      </c>
      <c r="B25">
        <f>SUM(B2:B23)</f>
        <v>68600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38</vt:i4>
      </vt:variant>
    </vt:vector>
  </HeadingPairs>
  <TitlesOfParts>
    <vt:vector size="47" baseType="lpstr">
      <vt:lpstr>Body Mass</vt:lpstr>
      <vt:lpstr>Organ Mass - Male</vt:lpstr>
      <vt:lpstr>Organ Mass - Female</vt:lpstr>
      <vt:lpstr>Blood Pressures</vt:lpstr>
      <vt:lpstr>Pressure Gradients</vt:lpstr>
      <vt:lpstr>Organ Composition</vt:lpstr>
      <vt:lpstr>Organ Blood Flow</vt:lpstr>
      <vt:lpstr>Calories</vt:lpstr>
      <vt:lpstr>Vascular Conductance</vt:lpstr>
      <vt:lpstr>BaseMassFemale</vt:lpstr>
      <vt:lpstr>BaseMassMale</vt:lpstr>
      <vt:lpstr>BloodMass</vt:lpstr>
      <vt:lpstr>BodyMassFemale</vt:lpstr>
      <vt:lpstr>BodyMassMale</vt:lpstr>
      <vt:lpstr>BoneMassMale</vt:lpstr>
      <vt:lpstr>BrainMassMale</vt:lpstr>
      <vt:lpstr>CoronaryGradient</vt:lpstr>
      <vt:lpstr>FatMassMale</vt:lpstr>
      <vt:lpstr>FluidsMass</vt:lpstr>
      <vt:lpstr>GIMassMale</vt:lpstr>
      <vt:lpstr>GITractGradient</vt:lpstr>
      <vt:lpstr>GutH2OMass</vt:lpstr>
      <vt:lpstr>Hematocrit</vt:lpstr>
      <vt:lpstr>HepaticGradient</vt:lpstr>
      <vt:lpstr>KidneyMassMale</vt:lpstr>
      <vt:lpstr>LeftAtrialPressure</vt:lpstr>
      <vt:lpstr>LHeartMassMale</vt:lpstr>
      <vt:lpstr>LiverMassMale</vt:lpstr>
      <vt:lpstr>LungH2OMass</vt:lpstr>
      <vt:lpstr>OtherMassMale</vt:lpstr>
      <vt:lpstr>PeritoneumMass</vt:lpstr>
      <vt:lpstr>PulmArtyGradient</vt:lpstr>
      <vt:lpstr>PulmArtyPressure</vt:lpstr>
      <vt:lpstr>PulmCapysGradient</vt:lpstr>
      <vt:lpstr>PulmCapysPressure</vt:lpstr>
      <vt:lpstr>PulmVeinsGradient</vt:lpstr>
      <vt:lpstr>PulmVeinsPressure</vt:lpstr>
      <vt:lpstr>RHeartMassMale</vt:lpstr>
      <vt:lpstr>RightAtrialPressure</vt:lpstr>
      <vt:lpstr>RMuscleMassMale</vt:lpstr>
      <vt:lpstr>SkinMassMale</vt:lpstr>
      <vt:lpstr>SMuscleMassMale</vt:lpstr>
      <vt:lpstr>SplanchnicVeinsPressure</vt:lpstr>
      <vt:lpstr>SystemicArtysPressure</vt:lpstr>
      <vt:lpstr>SystemicGradient</vt:lpstr>
      <vt:lpstr>SystemicVeinsGradient</vt:lpstr>
      <vt:lpstr>SystemicVeinsPressure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Coleman</dc:creator>
  <cp:lastModifiedBy>Tom Coleman</cp:lastModifiedBy>
  <cp:lastPrinted>2012-02-07T18:35:10Z</cp:lastPrinted>
  <dcterms:created xsi:type="dcterms:W3CDTF">2012-02-04T15:43:29Z</dcterms:created>
  <dcterms:modified xsi:type="dcterms:W3CDTF">2012-02-07T22:52:23Z</dcterms:modified>
</cp:coreProperties>
</file>