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13_ncr:1_{919828C9-1991-4CD5-8070-440DA669E08F}" xr6:coauthVersionLast="47" xr6:coauthVersionMax="47" xr10:uidLastSave="{00000000-0000-0000-0000-000000000000}"/>
  <bookViews>
    <workbookView xWindow="-120" yWindow="-120" windowWidth="20730" windowHeight="11160" tabRatio="596" activeTab="4" xr2:uid="{9DE659BB-73C2-4B63-BCA4-A0BA9D659235}"/>
  </bookViews>
  <sheets>
    <sheet name="MARÇO" sheetId="1" r:id="rId1"/>
    <sheet name="ABRIL" sheetId="2" r:id="rId2"/>
    <sheet name="MAIO" sheetId="3" r:id="rId3"/>
    <sheet name="JUNHO" sheetId="4" r:id="rId4"/>
    <sheet name="JULHO " sheetId="5" r:id="rId5"/>
    <sheet name="AGOSTO " sheetId="6" r:id="rId6"/>
    <sheet name="SETEMBRO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G2" i="5" s="1"/>
  <c r="BO2" i="5"/>
  <c r="BO2" i="4"/>
  <c r="AJ2" i="5"/>
  <c r="AK24" i="5" s="1"/>
  <c r="J2" i="5"/>
  <c r="BB5" i="5"/>
  <c r="BB9" i="5" s="1"/>
  <c r="M5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BK2" i="5"/>
  <c r="BG2" i="5"/>
  <c r="BC2" i="5"/>
  <c r="AW2" i="5"/>
  <c r="AU2" i="5"/>
  <c r="AE2" i="5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Z2" i="5"/>
  <c r="U2" i="5"/>
  <c r="T2" i="5"/>
  <c r="N2" i="5"/>
  <c r="M2" i="5"/>
  <c r="J2" i="4"/>
  <c r="M5" i="4"/>
  <c r="M2" i="4"/>
  <c r="N2" i="4" s="1"/>
  <c r="BK2" i="4"/>
  <c r="BK2" i="3"/>
  <c r="J2" i="3"/>
  <c r="AI42" i="3"/>
  <c r="AJ2" i="3"/>
  <c r="AK32" i="3" s="1"/>
  <c r="BM22" i="3"/>
  <c r="BM23" i="3"/>
  <c r="BM24" i="3"/>
  <c r="BM25" i="3"/>
  <c r="BM26" i="3"/>
  <c r="BM27" i="3"/>
  <c r="BA14" i="3"/>
  <c r="M2" i="3"/>
  <c r="N2" i="3" s="1"/>
  <c r="AI9" i="3"/>
  <c r="M4" i="3"/>
  <c r="BA13" i="3"/>
  <c r="BB5" i="4"/>
  <c r="BB9" i="4" s="1"/>
  <c r="BG2" i="4"/>
  <c r="BC2" i="4"/>
  <c r="AW2" i="4"/>
  <c r="AU2" i="4"/>
  <c r="AJ2" i="4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Z2" i="4"/>
  <c r="U2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C2" i="4"/>
  <c r="G2" i="4" s="1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BB5" i="3"/>
  <c r="BB9" i="3" s="1"/>
  <c r="BG2" i="3"/>
  <c r="BC2" i="3"/>
  <c r="BG2" i="2"/>
  <c r="BB5" i="2"/>
  <c r="BB9" i="2" s="1"/>
  <c r="BC2" i="2"/>
  <c r="B11" i="2"/>
  <c r="C1" i="2" s="1"/>
  <c r="J2" i="2"/>
  <c r="AW2" i="3"/>
  <c r="AU2" i="3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Z2" i="3"/>
  <c r="U2" i="3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C2" i="3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2" i="2"/>
  <c r="AJ2" i="2"/>
  <c r="AK26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U2" i="2"/>
  <c r="AW4" i="1"/>
  <c r="BA8" i="1"/>
  <c r="BA4" i="1"/>
  <c r="BB1" i="1"/>
  <c r="AW2" i="1"/>
  <c r="AU2" i="1"/>
  <c r="AW2" i="2"/>
  <c r="AU2" i="2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Z2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M2" i="2"/>
  <c r="N2" i="2" s="1"/>
  <c r="I17" i="1"/>
  <c r="M2" i="1"/>
  <c r="N2" i="1" s="1"/>
  <c r="AK6" i="1"/>
  <c r="AK5" i="1"/>
  <c r="AK4" i="1"/>
  <c r="AK3" i="1"/>
  <c r="AK2" i="1"/>
  <c r="I2" i="1"/>
  <c r="I3" i="1" s="1"/>
  <c r="I4" i="1" s="1"/>
  <c r="I5" i="1" s="1"/>
  <c r="J2" i="1"/>
  <c r="U2" i="1"/>
  <c r="AJ4" i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K19" i="1" s="1"/>
  <c r="AJ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" i="1"/>
  <c r="AD2" i="1"/>
  <c r="Z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" i="1"/>
  <c r="C1" i="1"/>
  <c r="AK29" i="5" l="1"/>
  <c r="AK19" i="5"/>
  <c r="AK32" i="5"/>
  <c r="AK8" i="5"/>
  <c r="AK28" i="5"/>
  <c r="AK9" i="5"/>
  <c r="AK30" i="5"/>
  <c r="AK18" i="5"/>
  <c r="AK2" i="5"/>
  <c r="AK5" i="5"/>
  <c r="AK12" i="5"/>
  <c r="AK23" i="5"/>
  <c r="AK14" i="5"/>
  <c r="AK10" i="5"/>
  <c r="AK15" i="5"/>
  <c r="AK20" i="5"/>
  <c r="AK26" i="5"/>
  <c r="AK31" i="5"/>
  <c r="AK3" i="5"/>
  <c r="AK7" i="5"/>
  <c r="AK11" i="5"/>
  <c r="AK16" i="5"/>
  <c r="AK22" i="5"/>
  <c r="AK27" i="5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AK4" i="5"/>
  <c r="AK6" i="5"/>
  <c r="AK13" i="5"/>
  <c r="AK17" i="5"/>
  <c r="AK21" i="5"/>
  <c r="AK25" i="5"/>
  <c r="AK31" i="3"/>
  <c r="AK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AK3" i="4"/>
  <c r="AK6" i="4"/>
  <c r="AK13" i="4"/>
  <c r="AK17" i="4"/>
  <c r="AK21" i="4"/>
  <c r="AK25" i="4"/>
  <c r="AK29" i="4"/>
  <c r="AK8" i="4"/>
  <c r="AK11" i="4"/>
  <c r="AK15" i="4"/>
  <c r="AK2" i="4"/>
  <c r="AK4" i="4"/>
  <c r="AK7" i="4"/>
  <c r="AK10" i="4"/>
  <c r="AK14" i="4"/>
  <c r="AK18" i="4"/>
  <c r="AK22" i="4"/>
  <c r="AK26" i="4"/>
  <c r="AK30" i="4"/>
  <c r="AK19" i="4"/>
  <c r="AK23" i="4"/>
  <c r="AK27" i="4"/>
  <c r="AK31" i="4"/>
  <c r="AK9" i="4"/>
  <c r="AK12" i="4"/>
  <c r="AK16" i="4"/>
  <c r="AK20" i="4"/>
  <c r="AK24" i="4"/>
  <c r="AK28" i="4"/>
  <c r="AK3" i="3"/>
  <c r="AK7" i="3"/>
  <c r="AK11" i="3"/>
  <c r="AK15" i="3"/>
  <c r="AK19" i="3"/>
  <c r="AK2" i="3"/>
  <c r="AK4" i="3"/>
  <c r="AK8" i="3"/>
  <c r="AK12" i="3"/>
  <c r="AK16" i="3"/>
  <c r="AK5" i="3"/>
  <c r="AK9" i="3"/>
  <c r="AK13" i="3"/>
  <c r="AK17" i="3"/>
  <c r="AK6" i="3"/>
  <c r="AK10" i="3"/>
  <c r="AK14" i="3"/>
  <c r="AK18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AK20" i="3"/>
  <c r="AK21" i="3"/>
  <c r="AK22" i="3"/>
  <c r="AK23" i="3"/>
  <c r="AK24" i="3"/>
  <c r="AK25" i="3"/>
  <c r="AK26" i="3"/>
  <c r="AK27" i="3"/>
  <c r="AK28" i="3"/>
  <c r="AK29" i="3"/>
  <c r="AK30" i="3"/>
  <c r="AK2" i="2"/>
  <c r="AK4" i="2"/>
  <c r="AK3" i="2"/>
  <c r="AK6" i="2"/>
  <c r="AK10" i="2"/>
  <c r="AK31" i="2"/>
  <c r="AK19" i="2"/>
  <c r="AK24" i="2"/>
  <c r="AK7" i="2"/>
  <c r="AK12" i="2"/>
  <c r="AK15" i="2"/>
  <c r="AK20" i="2"/>
  <c r="AK25" i="2"/>
  <c r="AK8" i="2"/>
  <c r="AK14" i="2"/>
  <c r="AK16" i="2"/>
  <c r="AK21" i="2"/>
  <c r="AK27" i="2"/>
  <c r="AK11" i="2"/>
  <c r="AK30" i="2"/>
  <c r="AK17" i="2"/>
  <c r="AK23" i="2"/>
  <c r="AK28" i="2"/>
  <c r="AK5" i="2"/>
  <c r="AK9" i="2"/>
  <c r="AK13" i="2"/>
  <c r="AK29" i="2"/>
  <c r="AK18" i="2"/>
  <c r="AK22" i="2"/>
  <c r="AJ20" i="1"/>
  <c r="AK20" i="1" s="1"/>
  <c r="AK7" i="1"/>
  <c r="AK8" i="1"/>
  <c r="AK14" i="1"/>
  <c r="AK10" i="1"/>
  <c r="AK15" i="1"/>
  <c r="AK11" i="1"/>
  <c r="AK12" i="1"/>
  <c r="AK9" i="1"/>
  <c r="AK13" i="1"/>
  <c r="AK17" i="1"/>
  <c r="AK18" i="1"/>
  <c r="AK1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8" i="1" s="1"/>
  <c r="I19" i="1" s="1"/>
  <c r="I20" i="1" s="1"/>
</calcChain>
</file>

<file path=xl/sharedStrings.xml><?xml version="1.0" encoding="utf-8"?>
<sst xmlns="http://schemas.openxmlformats.org/spreadsheetml/2006/main" count="593" uniqueCount="144">
  <si>
    <t>MÃE</t>
  </si>
  <si>
    <t>SENAC</t>
  </si>
  <si>
    <t>LUZ</t>
  </si>
  <si>
    <t>BOLSA</t>
  </si>
  <si>
    <t>DATA</t>
  </si>
  <si>
    <t>GANHOS</t>
  </si>
  <si>
    <t xml:space="preserve">VALOR RESTANTE </t>
  </si>
  <si>
    <t>METAS</t>
  </si>
  <si>
    <t>CARTÃO MÃE</t>
  </si>
  <si>
    <t>BB</t>
  </si>
  <si>
    <t>VALOR</t>
  </si>
  <si>
    <t>DIVIDA CARRO</t>
  </si>
  <si>
    <t>TOTAL</t>
  </si>
  <si>
    <t xml:space="preserve">RESERVA DE EMERGENCIA </t>
  </si>
  <si>
    <t xml:space="preserve">APLICADO </t>
  </si>
  <si>
    <t>VALOR FALTANTE</t>
  </si>
  <si>
    <t xml:space="preserve">TIM </t>
  </si>
  <si>
    <t xml:space="preserve">TIPO </t>
  </si>
  <si>
    <t>PAGO</t>
  </si>
  <si>
    <t>COMBUSTIVEL</t>
  </si>
  <si>
    <t>GANHOS TOTAL</t>
  </si>
  <si>
    <t xml:space="preserve">OBJETIVOS </t>
  </si>
  <si>
    <t>MEDIA</t>
  </si>
  <si>
    <t>GASTOS</t>
  </si>
  <si>
    <t>AGUA</t>
  </si>
  <si>
    <t>AÇAI</t>
  </si>
  <si>
    <t>ENTRADA</t>
  </si>
  <si>
    <t>CERVEJA</t>
  </si>
  <si>
    <t>PADARIA</t>
  </si>
  <si>
    <t xml:space="preserve">DEPOSITO </t>
  </si>
  <si>
    <t>PNEUS</t>
  </si>
  <si>
    <t xml:space="preserve">CARTÃO </t>
  </si>
  <si>
    <t>CONVENIO</t>
  </si>
  <si>
    <t>CIGARROS E BALAS</t>
  </si>
  <si>
    <t>CIGARROS</t>
  </si>
  <si>
    <t>MERCADO</t>
  </si>
  <si>
    <t>PÃO E CIGARROS</t>
  </si>
  <si>
    <t>POMADA</t>
  </si>
  <si>
    <t>RIFA JULIA</t>
  </si>
  <si>
    <t>DISNEY PLUS</t>
  </si>
  <si>
    <t xml:space="preserve">COMBUSTIVEL </t>
  </si>
  <si>
    <t>PNEU</t>
  </si>
  <si>
    <t>FLANELINHA</t>
  </si>
  <si>
    <t>MOÇA MERCADO</t>
  </si>
  <si>
    <t>TOTAL CIGARROS</t>
  </si>
  <si>
    <t>PAPEL FILME</t>
  </si>
  <si>
    <t>VINHO</t>
  </si>
  <si>
    <t>CIGARROS THUKA</t>
  </si>
  <si>
    <t>TOTAL DINHEIRO</t>
  </si>
  <si>
    <t>TOTAL CONTA</t>
  </si>
  <si>
    <t>TOTAL INVESTIMENTO</t>
  </si>
  <si>
    <t>TOTAL RESERVA</t>
  </si>
  <si>
    <t xml:space="preserve">TOTAL PAGO </t>
  </si>
  <si>
    <t xml:space="preserve">TOTAL CUSTOS </t>
  </si>
  <si>
    <t xml:space="preserve">TOTAL COMBUSTIVEL </t>
  </si>
  <si>
    <t>CIGARROS PÃO</t>
  </si>
  <si>
    <t>NETFLIX</t>
  </si>
  <si>
    <t>TOTAL DE GANHOS</t>
  </si>
  <si>
    <t xml:space="preserve">TOTAL INVESTIDO </t>
  </si>
  <si>
    <t>TOTAL DE GASTOS</t>
  </si>
  <si>
    <t>TOTAL DE CIGARROS</t>
  </si>
  <si>
    <t>TOTAL DE VALORES GASTOS</t>
  </si>
  <si>
    <t>TOTAL SAIDAS</t>
  </si>
  <si>
    <t>DENTISTA ERICK</t>
  </si>
  <si>
    <t>PIRUA</t>
  </si>
  <si>
    <t>CUSTOS FIXOS</t>
  </si>
  <si>
    <t>INVESTIMENTO</t>
  </si>
  <si>
    <t>CAIXA</t>
  </si>
  <si>
    <t>THUKA</t>
  </si>
  <si>
    <t>PNEU MOTO</t>
  </si>
  <si>
    <t>DESIGRIPANTE</t>
  </si>
  <si>
    <t>THUKA MAGIC CITY</t>
  </si>
  <si>
    <t>PALETA MOTO</t>
  </si>
  <si>
    <t>RERSERVATORIO</t>
  </si>
  <si>
    <t>DISNEY</t>
  </si>
  <si>
    <t xml:space="preserve">DISNEY </t>
  </si>
  <si>
    <t xml:space="preserve">GASOLINA </t>
  </si>
  <si>
    <t>CIGARROS E PAO</t>
  </si>
  <si>
    <t>PALETA DE OLEO</t>
  </si>
  <si>
    <t>TIM</t>
  </si>
  <si>
    <t>CONTA TIM</t>
  </si>
  <si>
    <t xml:space="preserve">CONTA TIM </t>
  </si>
  <si>
    <t>ALUGUEL</t>
  </si>
  <si>
    <t xml:space="preserve">ALUGUEL </t>
  </si>
  <si>
    <t>MERCADO MÃE</t>
  </si>
  <si>
    <t>WESLEY</t>
  </si>
  <si>
    <t>COCA</t>
  </si>
  <si>
    <t>MANUTENÇÃO MOTO</t>
  </si>
  <si>
    <t>MÊS MARÇO</t>
  </si>
  <si>
    <t>MÊS ABRIL</t>
  </si>
  <si>
    <t xml:space="preserve">TOTAL DE GANHOS </t>
  </si>
  <si>
    <t>VALORES</t>
  </si>
  <si>
    <t xml:space="preserve">VALOR POR DIA TRABALHADO </t>
  </si>
  <si>
    <t>DESTRIÇÃO</t>
  </si>
  <si>
    <t>CIGARROS E ISQUEIRO</t>
  </si>
  <si>
    <t xml:space="preserve">NIVER MIGUEL </t>
  </si>
  <si>
    <t xml:space="preserve">OCULOS 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</si>
  <si>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</si>
  <si>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</si>
  <si>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</si>
  <si>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</si>
  <si>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</si>
  <si>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</si>
  <si>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</si>
  <si>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</si>
  <si>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</si>
  <si>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</si>
  <si>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</si>
  <si>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</si>
  <si>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CARTÃO SANTANDER</t>
  </si>
  <si>
    <t>MERCADO MAE</t>
  </si>
  <si>
    <t>ANDREZA</t>
  </si>
  <si>
    <t>CASA</t>
  </si>
  <si>
    <t>MÊS MAIO</t>
  </si>
  <si>
    <t xml:space="preserve">TV </t>
  </si>
  <si>
    <t>TV</t>
  </si>
  <si>
    <t>FOTOS RAVI</t>
  </si>
  <si>
    <t>CARTÃO PERNAMBUCANAS</t>
  </si>
  <si>
    <t xml:space="preserve">CARTÃO DM </t>
  </si>
  <si>
    <t xml:space="preserve">MERCADO LIVRE </t>
  </si>
  <si>
    <t xml:space="preserve">INTERNET </t>
  </si>
  <si>
    <t xml:space="preserve">CAMA </t>
  </si>
  <si>
    <t>PIRUA ERICK 01/06</t>
  </si>
  <si>
    <t>PIRUA ERICK 01/07</t>
  </si>
  <si>
    <t>PIRUA ERICK</t>
  </si>
  <si>
    <t>DESPESAS</t>
  </si>
  <si>
    <t>DESPESAS DOCES</t>
  </si>
  <si>
    <t>DESPESAS MERCADO</t>
  </si>
  <si>
    <t>DESPESAS DEPOSITO</t>
  </si>
  <si>
    <t xml:space="preserve">DESPESAS MONTAGEM </t>
  </si>
  <si>
    <t>PÃO</t>
  </si>
  <si>
    <t>CARTÃO DM</t>
  </si>
  <si>
    <t>DOCES</t>
  </si>
  <si>
    <t xml:space="preserve">PAINEL </t>
  </si>
  <si>
    <t>PERNAMBUCANAS ROUPA D/CAMA</t>
  </si>
  <si>
    <t>CARTÃO DM DESPESAS</t>
  </si>
  <si>
    <t>PERNAMBUCANAS</t>
  </si>
  <si>
    <t>PENAMBUCANAS C</t>
  </si>
  <si>
    <t xml:space="preserve">CONTA DE ÁGUA </t>
  </si>
  <si>
    <t>CONTA DE ÁGUA</t>
  </si>
  <si>
    <t>INTERNET</t>
  </si>
  <si>
    <t>DESCRIÇÃO</t>
  </si>
  <si>
    <t>MONTADOR</t>
  </si>
  <si>
    <t>BRINQUEDOS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</si>
</sst>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1" applyNumberFormat="1" applyFont="1"/>
    <xf numFmtId="0" fontId="2" fillId="0" borderId="0" xfId="0" applyFont="1" applyAlignment="1">
      <alignment horizontal="center"/>
    </xf>
    <xf numFmtId="44" fontId="0" fillId="2" borderId="0" xfId="1" applyFont="1" applyFill="1"/>
    <xf numFmtId="44" fontId="3" fillId="0" borderId="0" xfId="1" applyFont="1"/>
    <xf numFmtId="44" fontId="3" fillId="0" borderId="0" xfId="1" applyFont="1" applyFill="1"/>
    <xf numFmtId="44" fontId="4" fillId="0" borderId="0" xfId="1" applyFont="1"/>
    <xf numFmtId="44" fontId="4" fillId="0" borderId="0" xfId="1" applyFont="1" applyFill="1"/>
    <xf numFmtId="44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4" fontId="2" fillId="0" borderId="0" xfId="1" applyNumberFormat="1" applyFont="1" applyAlignment="1">
      <alignment horizontal="center"/>
    </xf>
    <xf numFmtId="44" fontId="2" fillId="0" borderId="0" xfId="1" applyFont="1"/>
    <xf numFmtId="44" fontId="5" fillId="0" borderId="0" xfId="1" applyFont="1" applyAlignment="1">
      <alignment horizont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8170-A023-4C67-A6FE-35CA82CF17AC}">
  <dimension ref="A1:BB64"/>
  <sheetViews>
    <sheetView topLeftCell="AN1" workbookViewId="0">
      <selection activeCell="AZ1" sqref="AZ1:BB8"/>
    </sheetView>
  </sheetViews>
  <sheetFormatPr defaultRowHeight="15" x14ac:dyDescent="0.25"/>
  <cols>
    <col min="1" max="1" width="12.5703125" style="1" bestFit="1" customWidth="1"/>
    <col min="2" max="2" width="10.5703125" style="1" bestFit="1" customWidth="1"/>
    <col min="3" max="3" width="12.140625" bestFit="1" customWidth="1"/>
    <col min="4" max="4" width="10.7109375" bestFit="1" customWidth="1"/>
    <col min="5" max="5" width="10.5703125" style="1" bestFit="1" customWidth="1"/>
    <col min="6" max="6" width="10.7109375" style="6" bestFit="1" customWidth="1"/>
    <col min="7" max="8" width="10.5703125" style="1" bestFit="1" customWidth="1"/>
    <col min="9" max="9" width="18.42578125" style="1" bestFit="1" customWidth="1"/>
    <col min="10" max="10" width="16.28515625" bestFit="1" customWidth="1"/>
    <col min="12" max="12" width="14" bestFit="1" customWidth="1"/>
    <col min="13" max="13" width="12.140625" style="1" bestFit="1" customWidth="1"/>
    <col min="14" max="14" width="13.28515625" bestFit="1" customWidth="1"/>
    <col min="15" max="15" width="10.7109375" style="3" bestFit="1" customWidth="1"/>
    <col min="16" max="16" width="13.140625" style="5" customWidth="1"/>
    <col min="17" max="17" width="10.7109375" bestFit="1" customWidth="1"/>
    <col min="18" max="18" width="26" style="1" bestFit="1" customWidth="1"/>
    <col min="19" max="19" width="11.85546875" style="1" bestFit="1" customWidth="1"/>
    <col min="20" max="20" width="18" style="1" bestFit="1" customWidth="1"/>
    <col min="21" max="21" width="10.5703125" bestFit="1" customWidth="1"/>
    <col min="23" max="23" width="10.7109375" style="3" bestFit="1" customWidth="1"/>
    <col min="24" max="24" width="10.7109375" style="7" bestFit="1" customWidth="1"/>
    <col min="25" max="25" width="10.5703125" style="1" bestFit="1" customWidth="1"/>
    <col min="26" max="26" width="12.140625" bestFit="1" customWidth="1"/>
    <col min="29" max="29" width="10.7109375" bestFit="1" customWidth="1"/>
    <col min="30" max="30" width="14.5703125" style="1" customWidth="1"/>
    <col min="31" max="31" width="10.5703125" bestFit="1" customWidth="1"/>
    <col min="34" max="34" width="10.7109375" style="3" bestFit="1" customWidth="1"/>
    <col min="35" max="35" width="10.5703125" style="1" bestFit="1" customWidth="1"/>
    <col min="36" max="36" width="12.140625" style="1" bestFit="1" customWidth="1"/>
    <col min="37" max="37" width="10.5703125" bestFit="1" customWidth="1"/>
    <col min="38" max="38" width="10.7109375" bestFit="1" customWidth="1"/>
    <col min="39" max="39" width="12.42578125" style="1" bestFit="1" customWidth="1"/>
    <col min="41" max="41" width="10.7109375" bestFit="1" customWidth="1"/>
    <col min="42" max="42" width="12.42578125" style="7" bestFit="1" customWidth="1"/>
    <col min="44" max="44" width="10.7109375" style="9" bestFit="1" customWidth="1"/>
    <col min="45" max="45" width="17.7109375" bestFit="1" customWidth="1"/>
    <col min="46" max="46" width="12.140625" style="1" bestFit="1" customWidth="1"/>
    <col min="47" max="47" width="10.5703125" style="1" bestFit="1" customWidth="1"/>
    <col min="48" max="48" width="9.5703125" style="1" bestFit="1" customWidth="1"/>
    <col min="49" max="49" width="16" style="1" customWidth="1"/>
    <col min="52" max="52" width="25.7109375" bestFit="1" customWidth="1"/>
    <col min="53" max="53" width="12.140625" style="1" bestFit="1" customWidth="1"/>
    <col min="54" max="54" width="9.5703125" bestFit="1" customWidth="1"/>
  </cols>
  <sheetData>
    <row r="1" spans="1:54" x14ac:dyDescent="0.25">
      <c r="A1" s="1" t="s">
        <v>3</v>
      </c>
      <c r="B1" s="1">
        <v>150</v>
      </c>
      <c r="C1" s="2">
        <f>SUM(B1:B50)</f>
        <v>914</v>
      </c>
      <c r="F1" s="4" t="s">
        <v>4</v>
      </c>
      <c r="G1" s="5" t="s">
        <v>7</v>
      </c>
      <c r="H1" s="5" t="s">
        <v>5</v>
      </c>
      <c r="I1" s="5" t="s">
        <v>6</v>
      </c>
      <c r="J1" s="5" t="s">
        <v>20</v>
      </c>
      <c r="L1" s="5" t="s">
        <v>7</v>
      </c>
      <c r="M1" s="5" t="s">
        <v>10</v>
      </c>
      <c r="N1" s="5" t="s">
        <v>12</v>
      </c>
      <c r="Q1" s="6" t="s">
        <v>4</v>
      </c>
      <c r="R1" s="5" t="s">
        <v>13</v>
      </c>
      <c r="S1" s="5" t="s">
        <v>14</v>
      </c>
      <c r="T1" s="5" t="s">
        <v>15</v>
      </c>
      <c r="U1" s="5" t="s">
        <v>12</v>
      </c>
      <c r="W1" s="6" t="s">
        <v>4</v>
      </c>
      <c r="X1" s="5" t="s">
        <v>17</v>
      </c>
      <c r="Y1" s="5" t="s">
        <v>10</v>
      </c>
      <c r="Z1" s="5" t="s">
        <v>18</v>
      </c>
      <c r="AC1" s="5" t="s">
        <v>4</v>
      </c>
      <c r="AD1" s="5" t="s">
        <v>19</v>
      </c>
      <c r="AE1" s="5" t="s">
        <v>12</v>
      </c>
      <c r="AH1" s="6" t="s">
        <v>4</v>
      </c>
      <c r="AI1" s="5" t="s">
        <v>5</v>
      </c>
      <c r="AJ1" s="5" t="s">
        <v>12</v>
      </c>
      <c r="AK1" s="5" t="s">
        <v>22</v>
      </c>
      <c r="AO1" s="5" t="s">
        <v>4</v>
      </c>
      <c r="AP1" s="5" t="s">
        <v>21</v>
      </c>
      <c r="AR1" s="6" t="s">
        <v>4</v>
      </c>
      <c r="AS1" s="7" t="s">
        <v>23</v>
      </c>
      <c r="AT1" s="5" t="s">
        <v>10</v>
      </c>
      <c r="AU1" s="5" t="s">
        <v>12</v>
      </c>
      <c r="AW1" s="1" t="s">
        <v>44</v>
      </c>
      <c r="AZ1" t="s">
        <v>57</v>
      </c>
      <c r="BA1" s="1">
        <v>941.98</v>
      </c>
      <c r="BB1" s="2">
        <f>BA1/13</f>
        <v>72.460000000000008</v>
      </c>
    </row>
    <row r="2" spans="1:54" x14ac:dyDescent="0.25">
      <c r="A2" s="1" t="s">
        <v>31</v>
      </c>
      <c r="B2" s="1">
        <v>240</v>
      </c>
      <c r="F2" s="4">
        <v>45364</v>
      </c>
      <c r="G2" s="1">
        <v>150</v>
      </c>
      <c r="H2" s="1">
        <v>14.28</v>
      </c>
      <c r="I2" s="1">
        <f>G2-H2+G6</f>
        <v>457.22</v>
      </c>
      <c r="J2" s="2">
        <f>SUM(H2:H20)</f>
        <v>612.42999999999995</v>
      </c>
      <c r="L2" t="s">
        <v>29</v>
      </c>
      <c r="M2" s="1">
        <f>1500*3</f>
        <v>4500</v>
      </c>
      <c r="N2" s="2">
        <f>SUM(M2:M75)</f>
        <v>17786</v>
      </c>
      <c r="Q2" s="3">
        <v>45364</v>
      </c>
      <c r="R2" s="5">
        <v>3000</v>
      </c>
      <c r="S2" s="1">
        <v>9.52</v>
      </c>
      <c r="T2" s="1">
        <f>SUM(R2-S2:S117)</f>
        <v>2990.48</v>
      </c>
      <c r="U2" s="2">
        <f>SUM(S2:S20)</f>
        <v>175.86</v>
      </c>
      <c r="W2" s="3">
        <v>45365</v>
      </c>
      <c r="X2" s="7" t="s">
        <v>1</v>
      </c>
      <c r="Y2" s="1">
        <v>160.30000000000001</v>
      </c>
      <c r="Z2" s="2">
        <f>SUM(Y2:Y30)</f>
        <v>1138.95</v>
      </c>
      <c r="AC2" s="3">
        <v>45365</v>
      </c>
      <c r="AD2" s="1">
        <f>20+57.9</f>
        <v>77.900000000000006</v>
      </c>
      <c r="AE2" s="2">
        <f>AD2</f>
        <v>77.900000000000006</v>
      </c>
      <c r="AH2" s="3">
        <v>45364</v>
      </c>
      <c r="AI2" s="1">
        <v>23.8</v>
      </c>
      <c r="AJ2" s="1">
        <v>23.8</v>
      </c>
      <c r="AK2" s="2">
        <f>AI2*1</f>
        <v>23.8</v>
      </c>
      <c r="AO2" s="3">
        <v>45367</v>
      </c>
      <c r="AP2" s="7" t="s">
        <v>3</v>
      </c>
      <c r="AR2" s="9">
        <v>45367</v>
      </c>
      <c r="AS2" t="s">
        <v>24</v>
      </c>
      <c r="AT2" s="1">
        <v>2</v>
      </c>
      <c r="AU2" s="1">
        <f>SUM(AT2:AT82)</f>
        <v>863.42</v>
      </c>
      <c r="AW2" s="1">
        <f>SUM(AV1:AV36)</f>
        <v>157.5</v>
      </c>
      <c r="AZ2" t="s">
        <v>58</v>
      </c>
      <c r="BA2" s="1">
        <v>198.64</v>
      </c>
    </row>
    <row r="3" spans="1:54" x14ac:dyDescent="0.25">
      <c r="A3" s="1" t="s">
        <v>0</v>
      </c>
      <c r="F3" s="6">
        <v>45365</v>
      </c>
      <c r="G3" s="1">
        <v>150</v>
      </c>
      <c r="H3" s="1">
        <v>47.1</v>
      </c>
      <c r="I3" s="1">
        <f>I2-H3</f>
        <v>410.12</v>
      </c>
      <c r="L3" t="s">
        <v>8</v>
      </c>
      <c r="Q3" s="3">
        <v>45365</v>
      </c>
      <c r="R3" s="5">
        <v>3000</v>
      </c>
      <c r="S3" s="1">
        <v>31.4</v>
      </c>
      <c r="T3" s="1">
        <f>T2-S3</f>
        <v>2959.08</v>
      </c>
      <c r="W3" s="3">
        <v>45371</v>
      </c>
      <c r="X3" s="5" t="s">
        <v>16</v>
      </c>
      <c r="Y3" s="1">
        <v>60.99</v>
      </c>
      <c r="AC3" s="3">
        <v>45366</v>
      </c>
      <c r="AD3" s="1">
        <v>0</v>
      </c>
      <c r="AE3" s="2">
        <f>AD3+AE2</f>
        <v>77.900000000000006</v>
      </c>
      <c r="AH3" s="3">
        <v>45365</v>
      </c>
      <c r="AI3" s="1">
        <v>78.540000000000006</v>
      </c>
      <c r="AJ3" s="1">
        <f>SUM(AI3+AJ2)</f>
        <v>102.34</v>
      </c>
      <c r="AK3" s="2">
        <f>AJ3/2</f>
        <v>51.17</v>
      </c>
      <c r="AO3" s="3">
        <v>45375</v>
      </c>
      <c r="AP3" s="7" t="s">
        <v>30</v>
      </c>
      <c r="AR3" s="9">
        <v>45367</v>
      </c>
      <c r="AS3" t="s">
        <v>25</v>
      </c>
      <c r="AT3" s="1">
        <v>36</v>
      </c>
      <c r="AW3" s="1" t="s">
        <v>62</v>
      </c>
      <c r="AZ3" t="s">
        <v>51</v>
      </c>
      <c r="BA3" s="1">
        <v>178.12</v>
      </c>
    </row>
    <row r="4" spans="1:54" x14ac:dyDescent="0.25">
      <c r="A4" s="1" t="s">
        <v>2</v>
      </c>
      <c r="B4" s="1">
        <v>244</v>
      </c>
      <c r="F4" s="6">
        <v>45366</v>
      </c>
      <c r="G4" s="1">
        <v>150</v>
      </c>
      <c r="H4" s="1">
        <v>54.48</v>
      </c>
      <c r="I4" s="1">
        <f t="shared" ref="I4:I20" si="0">I3-H4</f>
        <v>355.64</v>
      </c>
      <c r="L4" t="s">
        <v>9</v>
      </c>
      <c r="M4" s="1">
        <v>5000</v>
      </c>
      <c r="Q4" s="3">
        <v>45366</v>
      </c>
      <c r="R4" s="5">
        <v>3000</v>
      </c>
      <c r="S4" s="1">
        <v>36.32</v>
      </c>
      <c r="T4" s="1">
        <f t="shared" ref="T4:T20" si="1">T3-S4</f>
        <v>2922.7599999999998</v>
      </c>
      <c r="W4" s="3">
        <v>45377</v>
      </c>
      <c r="X4" s="7" t="s">
        <v>32</v>
      </c>
      <c r="Y4" s="1">
        <v>917.66</v>
      </c>
      <c r="AC4" s="3">
        <v>45367</v>
      </c>
      <c r="AD4" s="1">
        <v>0</v>
      </c>
      <c r="AE4" s="2">
        <f t="shared" ref="AE4:AE19" si="2">AD4+AE3</f>
        <v>77.900000000000006</v>
      </c>
      <c r="AH4" s="3">
        <v>45366</v>
      </c>
      <c r="AI4" s="1">
        <v>90.8</v>
      </c>
      <c r="AJ4" s="1">
        <f t="shared" ref="AJ4:AJ20" si="3">SUM(AI4+AJ3)</f>
        <v>193.14</v>
      </c>
      <c r="AK4" s="2">
        <f>AJ4/3</f>
        <v>64.38</v>
      </c>
      <c r="AR4" s="9">
        <v>45366</v>
      </c>
      <c r="AS4" t="s">
        <v>26</v>
      </c>
      <c r="AT4" s="1">
        <v>20</v>
      </c>
      <c r="AU4" s="1">
        <v>20</v>
      </c>
      <c r="AW4" s="1">
        <f>SUM(AU4:AU36)</f>
        <v>223.15</v>
      </c>
      <c r="AZ4" t="s">
        <v>52</v>
      </c>
      <c r="BA4" s="11">
        <f>180+160.3</f>
        <v>340.3</v>
      </c>
    </row>
    <row r="5" spans="1:54" x14ac:dyDescent="0.25">
      <c r="A5" s="1" t="s">
        <v>2</v>
      </c>
      <c r="B5" s="1">
        <v>280</v>
      </c>
      <c r="F5" s="6">
        <v>45367</v>
      </c>
      <c r="G5" s="1">
        <v>150</v>
      </c>
      <c r="H5" s="1">
        <v>53.93</v>
      </c>
      <c r="I5" s="1">
        <f t="shared" si="0"/>
        <v>301.70999999999998</v>
      </c>
      <c r="L5" t="s">
        <v>11</v>
      </c>
      <c r="M5" s="1">
        <v>7000</v>
      </c>
      <c r="Q5" s="3">
        <v>45367</v>
      </c>
      <c r="R5" s="5">
        <v>3000</v>
      </c>
      <c r="S5" s="1">
        <v>35.950000000000003</v>
      </c>
      <c r="T5" s="1">
        <f t="shared" si="1"/>
        <v>2886.81</v>
      </c>
      <c r="AC5" s="3">
        <v>45368</v>
      </c>
      <c r="AD5" s="1">
        <v>50.06</v>
      </c>
      <c r="AE5" s="2">
        <f t="shared" si="2"/>
        <v>127.96000000000001</v>
      </c>
      <c r="AH5" s="3">
        <v>45367</v>
      </c>
      <c r="AI5" s="1">
        <v>90.33</v>
      </c>
      <c r="AJ5" s="1">
        <f t="shared" si="3"/>
        <v>283.46999999999997</v>
      </c>
      <c r="AK5" s="2">
        <f>AJ5/4</f>
        <v>70.867499999999993</v>
      </c>
      <c r="AR5" s="9">
        <v>45366</v>
      </c>
      <c r="AS5" t="s">
        <v>27</v>
      </c>
      <c r="AT5" s="1">
        <v>20</v>
      </c>
      <c r="AU5" s="1">
        <v>20</v>
      </c>
      <c r="AZ5" t="s">
        <v>59</v>
      </c>
      <c r="BA5" s="11">
        <v>863.42</v>
      </c>
    </row>
    <row r="6" spans="1:54" x14ac:dyDescent="0.25">
      <c r="F6" s="6">
        <v>45368</v>
      </c>
      <c r="G6" s="1">
        <v>321.5</v>
      </c>
      <c r="H6" s="1">
        <v>50.8</v>
      </c>
      <c r="I6" s="1">
        <f>I5-H6</f>
        <v>250.90999999999997</v>
      </c>
      <c r="L6" t="s">
        <v>41</v>
      </c>
      <c r="M6" s="1">
        <v>1286</v>
      </c>
      <c r="Q6" s="3">
        <v>45368</v>
      </c>
      <c r="R6" s="5">
        <v>3000</v>
      </c>
      <c r="S6" s="1">
        <v>32.200000000000003</v>
      </c>
      <c r="T6" s="1">
        <f t="shared" si="1"/>
        <v>2854.61</v>
      </c>
      <c r="AC6" s="3">
        <v>45369</v>
      </c>
      <c r="AD6" s="1">
        <v>0</v>
      </c>
      <c r="AE6" s="2">
        <f t="shared" si="2"/>
        <v>127.96000000000001</v>
      </c>
      <c r="AH6" s="3">
        <v>45368</v>
      </c>
      <c r="AI6" s="1">
        <v>83</v>
      </c>
      <c r="AJ6" s="1">
        <f t="shared" si="3"/>
        <v>366.46999999999997</v>
      </c>
      <c r="AK6" s="2">
        <f>AJ6/5</f>
        <v>73.293999999999997</v>
      </c>
      <c r="AR6" s="9">
        <v>45366</v>
      </c>
      <c r="AS6" t="s">
        <v>27</v>
      </c>
      <c r="AT6" s="1">
        <v>72.900000000000006</v>
      </c>
      <c r="AU6" s="1">
        <v>72.900000000000006</v>
      </c>
      <c r="AZ6" t="s">
        <v>60</v>
      </c>
      <c r="BA6" s="11">
        <v>157.5</v>
      </c>
    </row>
    <row r="7" spans="1:54" x14ac:dyDescent="0.25">
      <c r="F7" s="6">
        <v>45369</v>
      </c>
      <c r="G7" s="1">
        <v>321.5</v>
      </c>
      <c r="H7" s="1">
        <v>30</v>
      </c>
      <c r="I7" s="1">
        <f t="shared" si="0"/>
        <v>220.90999999999997</v>
      </c>
      <c r="Q7" s="3">
        <v>45369</v>
      </c>
      <c r="R7" s="5">
        <v>3000</v>
      </c>
      <c r="S7" s="1">
        <v>0</v>
      </c>
      <c r="T7" s="1">
        <f t="shared" si="1"/>
        <v>2854.61</v>
      </c>
      <c r="AC7" s="3">
        <v>45370</v>
      </c>
      <c r="AD7" s="1">
        <v>0</v>
      </c>
      <c r="AE7" s="2">
        <f t="shared" si="2"/>
        <v>127.96000000000001</v>
      </c>
      <c r="AH7" s="3">
        <v>45369</v>
      </c>
      <c r="AI7" s="1">
        <v>50</v>
      </c>
      <c r="AJ7" s="1">
        <f t="shared" si="3"/>
        <v>416.46999999999997</v>
      </c>
      <c r="AK7" s="2">
        <f>AJ7/6</f>
        <v>69.411666666666662</v>
      </c>
      <c r="AR7" s="9">
        <v>45366</v>
      </c>
      <c r="AS7" t="s">
        <v>28</v>
      </c>
      <c r="AT7" s="1">
        <v>21.9</v>
      </c>
      <c r="AV7" s="1">
        <v>11.25</v>
      </c>
      <c r="AZ7" t="s">
        <v>54</v>
      </c>
      <c r="BA7" s="11">
        <v>204.23</v>
      </c>
    </row>
    <row r="8" spans="1:54" x14ac:dyDescent="0.25">
      <c r="F8" s="6">
        <v>45370</v>
      </c>
      <c r="G8" s="1">
        <v>321.5</v>
      </c>
      <c r="H8" s="1">
        <v>15.7</v>
      </c>
      <c r="I8" s="1">
        <f t="shared" si="0"/>
        <v>205.20999999999998</v>
      </c>
      <c r="Q8" s="3">
        <v>45370</v>
      </c>
      <c r="R8" s="5">
        <v>3000</v>
      </c>
      <c r="S8" s="1">
        <v>0</v>
      </c>
      <c r="T8" s="1">
        <f t="shared" si="1"/>
        <v>2854.61</v>
      </c>
      <c r="AC8" s="3">
        <v>45371</v>
      </c>
      <c r="AD8" s="1">
        <v>0</v>
      </c>
      <c r="AE8" s="2">
        <f t="shared" si="2"/>
        <v>127.96000000000001</v>
      </c>
      <c r="AH8" s="3">
        <v>45370</v>
      </c>
      <c r="AI8" s="1">
        <v>26.17</v>
      </c>
      <c r="AJ8" s="1">
        <f t="shared" si="3"/>
        <v>442.64</v>
      </c>
      <c r="AK8" s="2">
        <f>AJ8/7</f>
        <v>63.234285714285711</v>
      </c>
      <c r="AR8" s="9">
        <v>45367</v>
      </c>
      <c r="AS8" t="s">
        <v>26</v>
      </c>
      <c r="AT8" s="1">
        <v>15</v>
      </c>
      <c r="AU8" s="1">
        <v>15</v>
      </c>
      <c r="AZ8" t="s">
        <v>61</v>
      </c>
      <c r="BA8" s="1">
        <f>SUM(BA7+BA4+BA5)</f>
        <v>1407.9499999999998</v>
      </c>
    </row>
    <row r="9" spans="1:54" x14ac:dyDescent="0.25">
      <c r="F9" s="6">
        <v>45371</v>
      </c>
      <c r="G9" s="1">
        <v>321.5</v>
      </c>
      <c r="H9" s="1">
        <v>0</v>
      </c>
      <c r="I9" s="1">
        <f t="shared" si="0"/>
        <v>205.20999999999998</v>
      </c>
      <c r="Q9" s="3">
        <v>45371</v>
      </c>
      <c r="R9" s="5">
        <v>3000</v>
      </c>
      <c r="S9" s="1">
        <v>30.47</v>
      </c>
      <c r="T9" s="1">
        <f t="shared" si="1"/>
        <v>2824.1400000000003</v>
      </c>
      <c r="AC9" s="3">
        <v>45372</v>
      </c>
      <c r="AD9" s="1">
        <v>0</v>
      </c>
      <c r="AE9" s="2">
        <f t="shared" si="2"/>
        <v>127.96000000000001</v>
      </c>
      <c r="AH9" s="3">
        <v>45371</v>
      </c>
      <c r="AI9" s="1">
        <v>0</v>
      </c>
      <c r="AJ9" s="1">
        <f t="shared" si="3"/>
        <v>442.64</v>
      </c>
      <c r="AK9" s="2">
        <f>AJ9/8</f>
        <v>55.33</v>
      </c>
      <c r="AR9" s="9">
        <v>45376</v>
      </c>
      <c r="AS9" t="s">
        <v>33</v>
      </c>
      <c r="AT9" s="1">
        <v>13.75</v>
      </c>
      <c r="AV9" s="1">
        <v>11.25</v>
      </c>
    </row>
    <row r="10" spans="1:54" x14ac:dyDescent="0.25">
      <c r="F10" s="6">
        <v>45372</v>
      </c>
      <c r="G10" s="1">
        <v>321.5</v>
      </c>
      <c r="H10" s="1">
        <v>0</v>
      </c>
      <c r="I10" s="1">
        <f t="shared" si="0"/>
        <v>205.20999999999998</v>
      </c>
      <c r="Q10" s="3">
        <v>45372</v>
      </c>
      <c r="R10" s="5">
        <v>3000</v>
      </c>
      <c r="T10" s="1">
        <f t="shared" si="1"/>
        <v>2824.1400000000003</v>
      </c>
      <c r="AC10" s="3">
        <v>45373</v>
      </c>
      <c r="AD10" s="1">
        <v>0</v>
      </c>
      <c r="AE10" s="2">
        <f t="shared" si="2"/>
        <v>127.96000000000001</v>
      </c>
      <c r="AH10" s="3">
        <v>45372</v>
      </c>
      <c r="AI10" s="1">
        <v>0</v>
      </c>
      <c r="AJ10" s="1">
        <f t="shared" si="3"/>
        <v>442.64</v>
      </c>
      <c r="AK10" s="2">
        <f>AJ10/9</f>
        <v>49.182222222222222</v>
      </c>
      <c r="AR10" s="9">
        <v>45374</v>
      </c>
      <c r="AS10" t="s">
        <v>34</v>
      </c>
      <c r="AT10" s="1">
        <v>11.25</v>
      </c>
      <c r="AV10" s="1">
        <v>11.25</v>
      </c>
    </row>
    <row r="11" spans="1:54" x14ac:dyDescent="0.25">
      <c r="F11" s="6">
        <v>45373</v>
      </c>
      <c r="G11" s="1">
        <v>321.5</v>
      </c>
      <c r="H11" s="1">
        <v>0</v>
      </c>
      <c r="I11" s="1">
        <f t="shared" si="0"/>
        <v>205.20999999999998</v>
      </c>
      <c r="Q11" s="3">
        <v>45373</v>
      </c>
      <c r="R11" s="5">
        <v>3000</v>
      </c>
      <c r="T11" s="1">
        <f t="shared" si="1"/>
        <v>2824.1400000000003</v>
      </c>
      <c r="AC11" s="3">
        <v>45374</v>
      </c>
      <c r="AD11" s="1">
        <v>0</v>
      </c>
      <c r="AE11" s="2">
        <f t="shared" si="2"/>
        <v>127.96000000000001</v>
      </c>
      <c r="AH11" s="3">
        <v>45373</v>
      </c>
      <c r="AI11" s="1">
        <v>0</v>
      </c>
      <c r="AJ11" s="1">
        <f t="shared" si="3"/>
        <v>442.64</v>
      </c>
      <c r="AK11" s="2">
        <f>AJ11/10</f>
        <v>44.263999999999996</v>
      </c>
      <c r="AR11" s="9">
        <v>45373</v>
      </c>
      <c r="AS11" t="s">
        <v>35</v>
      </c>
      <c r="AT11" s="1">
        <v>50.26</v>
      </c>
    </row>
    <row r="12" spans="1:54" x14ac:dyDescent="0.25">
      <c r="F12" s="6">
        <v>45374</v>
      </c>
      <c r="G12" s="1">
        <v>321.5</v>
      </c>
      <c r="H12" s="1">
        <v>0</v>
      </c>
      <c r="I12" s="1">
        <f t="shared" si="0"/>
        <v>205.20999999999998</v>
      </c>
      <c r="Q12" s="3">
        <v>45374</v>
      </c>
      <c r="R12" s="5">
        <v>3000</v>
      </c>
      <c r="T12" s="1">
        <f t="shared" si="1"/>
        <v>2824.1400000000003</v>
      </c>
      <c r="AC12" s="3">
        <v>45375</v>
      </c>
      <c r="AD12" s="1">
        <v>0</v>
      </c>
      <c r="AE12" s="2">
        <f t="shared" si="2"/>
        <v>127.96000000000001</v>
      </c>
      <c r="AH12" s="3">
        <v>45374</v>
      </c>
      <c r="AI12" s="1">
        <v>0</v>
      </c>
      <c r="AJ12" s="1">
        <f t="shared" si="3"/>
        <v>442.64</v>
      </c>
      <c r="AK12" s="2">
        <f>AJ12/11</f>
        <v>40.24</v>
      </c>
      <c r="AR12" s="9">
        <v>45372</v>
      </c>
      <c r="AS12" t="s">
        <v>36</v>
      </c>
      <c r="AT12" s="1">
        <v>17.21</v>
      </c>
      <c r="AV12" s="1">
        <v>11.25</v>
      </c>
    </row>
    <row r="13" spans="1:54" x14ac:dyDescent="0.25">
      <c r="F13" s="6">
        <v>45375</v>
      </c>
      <c r="G13" s="1">
        <v>321.5</v>
      </c>
      <c r="H13" s="1">
        <v>0</v>
      </c>
      <c r="I13" s="1">
        <f t="shared" si="0"/>
        <v>205.20999999999998</v>
      </c>
      <c r="Q13" s="3">
        <v>45375</v>
      </c>
      <c r="R13" s="5">
        <v>3000</v>
      </c>
      <c r="T13" s="1">
        <f t="shared" si="1"/>
        <v>2824.1400000000003</v>
      </c>
      <c r="AC13" s="3">
        <v>45376</v>
      </c>
      <c r="AD13" s="1">
        <v>0</v>
      </c>
      <c r="AE13" s="2">
        <f t="shared" si="2"/>
        <v>127.96000000000001</v>
      </c>
      <c r="AH13" s="3">
        <v>45375</v>
      </c>
      <c r="AI13" s="1">
        <v>0</v>
      </c>
      <c r="AJ13" s="1">
        <f t="shared" si="3"/>
        <v>442.64</v>
      </c>
      <c r="AK13" s="2">
        <f>AJ13/12</f>
        <v>36.886666666666663</v>
      </c>
      <c r="AR13" s="9">
        <v>45372</v>
      </c>
      <c r="AS13" t="s">
        <v>37</v>
      </c>
      <c r="AT13" s="1">
        <v>28.31</v>
      </c>
    </row>
    <row r="14" spans="1:54" x14ac:dyDescent="0.25">
      <c r="F14" s="6">
        <v>45376</v>
      </c>
      <c r="G14" s="1">
        <v>321.5</v>
      </c>
      <c r="H14" s="1">
        <v>46.47</v>
      </c>
      <c r="I14" s="1">
        <f t="shared" si="0"/>
        <v>158.73999999999998</v>
      </c>
      <c r="Q14" s="3">
        <v>45376</v>
      </c>
      <c r="R14" s="5">
        <v>3000</v>
      </c>
      <c r="T14" s="1">
        <f t="shared" si="1"/>
        <v>2824.1400000000003</v>
      </c>
      <c r="AC14" s="3">
        <v>45377</v>
      </c>
      <c r="AD14" s="1">
        <v>0</v>
      </c>
      <c r="AE14" s="2">
        <f t="shared" si="2"/>
        <v>127.96000000000001</v>
      </c>
      <c r="AH14" s="3">
        <v>45376</v>
      </c>
      <c r="AI14" s="1">
        <v>46.47</v>
      </c>
      <c r="AJ14" s="1">
        <f t="shared" si="3"/>
        <v>489.11</v>
      </c>
      <c r="AK14" s="2">
        <f>AJ14/13</f>
        <v>37.623846153846152</v>
      </c>
      <c r="AR14" s="9">
        <v>45369</v>
      </c>
      <c r="AS14" t="s">
        <v>38</v>
      </c>
      <c r="AT14" s="1">
        <v>20</v>
      </c>
    </row>
    <row r="15" spans="1:54" x14ac:dyDescent="0.25">
      <c r="F15" s="6">
        <v>45377</v>
      </c>
      <c r="G15" s="1">
        <v>321.5</v>
      </c>
      <c r="H15" s="1">
        <v>19.77</v>
      </c>
      <c r="I15" s="1">
        <f t="shared" si="0"/>
        <v>138.96999999999997</v>
      </c>
      <c r="Q15" s="3">
        <v>45377</v>
      </c>
      <c r="R15" s="5">
        <v>3000</v>
      </c>
      <c r="T15" s="1">
        <f t="shared" si="1"/>
        <v>2824.1400000000003</v>
      </c>
      <c r="AC15" s="3">
        <v>45378</v>
      </c>
      <c r="AD15" s="1">
        <v>46.27</v>
      </c>
      <c r="AE15" s="2">
        <f t="shared" si="2"/>
        <v>174.23000000000002</v>
      </c>
      <c r="AH15" s="3">
        <v>45377</v>
      </c>
      <c r="AI15" s="1">
        <v>39.770000000000003</v>
      </c>
      <c r="AJ15" s="1">
        <f t="shared" si="3"/>
        <v>528.88</v>
      </c>
      <c r="AK15" s="2">
        <f>AJ15/14</f>
        <v>37.777142857142856</v>
      </c>
      <c r="AR15" s="9">
        <v>45367</v>
      </c>
      <c r="AS15" t="s">
        <v>34</v>
      </c>
      <c r="AT15" s="1">
        <v>11.25</v>
      </c>
      <c r="AV15" s="1">
        <v>11.25</v>
      </c>
    </row>
    <row r="16" spans="1:54" x14ac:dyDescent="0.25">
      <c r="F16" s="6">
        <v>45378</v>
      </c>
      <c r="G16" s="1">
        <v>321.5</v>
      </c>
      <c r="H16" s="1">
        <v>101.9</v>
      </c>
      <c r="I16" s="1">
        <f t="shared" si="0"/>
        <v>37.069999999999965</v>
      </c>
      <c r="Q16" s="3">
        <v>45378</v>
      </c>
      <c r="R16" s="5">
        <v>3000</v>
      </c>
      <c r="T16" s="1">
        <f t="shared" si="1"/>
        <v>2824.1400000000003</v>
      </c>
      <c r="AC16" s="3">
        <v>45379</v>
      </c>
      <c r="AD16" s="1">
        <v>0</v>
      </c>
      <c r="AE16" s="2">
        <f t="shared" si="2"/>
        <v>174.23000000000002</v>
      </c>
      <c r="AH16" s="3">
        <v>45378</v>
      </c>
      <c r="AI16" s="1">
        <v>101.9</v>
      </c>
      <c r="AJ16" s="1">
        <f t="shared" si="3"/>
        <v>630.78</v>
      </c>
      <c r="AK16" s="2">
        <f>AJ16/15</f>
        <v>42.052</v>
      </c>
      <c r="AR16" s="9">
        <v>45358</v>
      </c>
      <c r="AS16" t="s">
        <v>34</v>
      </c>
      <c r="AT16" s="1">
        <v>11.25</v>
      </c>
      <c r="AV16" s="1">
        <v>11.25</v>
      </c>
    </row>
    <row r="17" spans="6:48" x14ac:dyDescent="0.25">
      <c r="F17" s="6">
        <v>45379</v>
      </c>
      <c r="G17" s="1">
        <v>321.5</v>
      </c>
      <c r="H17" s="1">
        <v>65.400000000000006</v>
      </c>
      <c r="I17" s="1">
        <f>I16-H17</f>
        <v>-28.330000000000041</v>
      </c>
      <c r="Q17" s="3">
        <v>45379</v>
      </c>
      <c r="R17" s="5">
        <v>3000</v>
      </c>
      <c r="T17" s="1">
        <f t="shared" si="1"/>
        <v>2824.1400000000003</v>
      </c>
      <c r="AC17" s="3">
        <v>45380</v>
      </c>
      <c r="AD17" s="1">
        <v>30</v>
      </c>
      <c r="AE17" s="2">
        <f t="shared" si="2"/>
        <v>204.23000000000002</v>
      </c>
      <c r="AH17" s="3">
        <v>45379</v>
      </c>
      <c r="AI17" s="1">
        <v>65.400000000000006</v>
      </c>
      <c r="AJ17" s="1">
        <f t="shared" si="3"/>
        <v>696.18</v>
      </c>
      <c r="AK17" s="2">
        <f>AJ17/16</f>
        <v>43.511249999999997</v>
      </c>
      <c r="AR17" s="9">
        <v>45357</v>
      </c>
      <c r="AS17" t="s">
        <v>39</v>
      </c>
      <c r="AT17" s="1">
        <v>33.9</v>
      </c>
    </row>
    <row r="18" spans="6:48" x14ac:dyDescent="0.25">
      <c r="F18" s="6">
        <v>45380</v>
      </c>
      <c r="H18" s="1">
        <v>112.6</v>
      </c>
      <c r="I18" s="1">
        <f t="shared" si="0"/>
        <v>-140.93000000000004</v>
      </c>
      <c r="Q18" s="3">
        <v>45380</v>
      </c>
      <c r="R18" s="5">
        <v>3000</v>
      </c>
      <c r="T18" s="1">
        <f t="shared" si="1"/>
        <v>2824.1400000000003</v>
      </c>
      <c r="AC18" s="3">
        <v>45381</v>
      </c>
      <c r="AD18" s="1">
        <v>0</v>
      </c>
      <c r="AE18" s="2">
        <f t="shared" si="2"/>
        <v>204.23000000000002</v>
      </c>
      <c r="AH18" s="3">
        <v>45380</v>
      </c>
      <c r="AI18" s="1">
        <v>112.6</v>
      </c>
      <c r="AJ18" s="1">
        <f t="shared" si="3"/>
        <v>808.78</v>
      </c>
      <c r="AK18" s="2">
        <f>AJ18/17</f>
        <v>47.575294117647054</v>
      </c>
      <c r="AR18" s="9">
        <v>45356</v>
      </c>
      <c r="AS18" t="s">
        <v>40</v>
      </c>
      <c r="AT18" s="1">
        <v>50</v>
      </c>
    </row>
    <row r="19" spans="6:48" x14ac:dyDescent="0.25">
      <c r="F19" s="6">
        <v>45381</v>
      </c>
      <c r="I19" s="1">
        <f t="shared" si="0"/>
        <v>-140.93000000000004</v>
      </c>
      <c r="Q19" s="3">
        <v>45381</v>
      </c>
      <c r="R19" s="5">
        <v>3000</v>
      </c>
      <c r="T19" s="1">
        <f t="shared" si="1"/>
        <v>2824.1400000000003</v>
      </c>
      <c r="AC19" s="3">
        <v>45382</v>
      </c>
      <c r="AD19" s="1">
        <v>0</v>
      </c>
      <c r="AE19" s="2">
        <f t="shared" si="2"/>
        <v>204.23000000000002</v>
      </c>
      <c r="AH19" s="3">
        <v>45381</v>
      </c>
      <c r="AI19" s="1">
        <v>133.19999999999999</v>
      </c>
      <c r="AJ19" s="1">
        <f t="shared" si="3"/>
        <v>941.98</v>
      </c>
      <c r="AK19" s="2">
        <f>AJ19/18</f>
        <v>52.332222222222221</v>
      </c>
      <c r="AR19" s="9">
        <v>45356</v>
      </c>
      <c r="AS19" t="s">
        <v>34</v>
      </c>
      <c r="AT19" s="1">
        <v>11.25</v>
      </c>
      <c r="AV19" s="1">
        <v>11.25</v>
      </c>
    </row>
    <row r="20" spans="6:48" x14ac:dyDescent="0.25">
      <c r="F20" s="6">
        <v>45382</v>
      </c>
      <c r="I20" s="1">
        <f t="shared" si="0"/>
        <v>-140.93000000000004</v>
      </c>
      <c r="Q20" s="3">
        <v>45382</v>
      </c>
      <c r="R20" s="5">
        <v>3000</v>
      </c>
      <c r="T20" s="1">
        <f t="shared" si="1"/>
        <v>2824.1400000000003</v>
      </c>
      <c r="W20" s="8"/>
      <c r="AH20" s="3">
        <v>45382</v>
      </c>
      <c r="AI20" s="1">
        <v>0</v>
      </c>
      <c r="AJ20" s="1">
        <f t="shared" si="3"/>
        <v>941.98</v>
      </c>
      <c r="AK20" s="2">
        <f>AJ20/19</f>
        <v>49.577894736842104</v>
      </c>
      <c r="AR20" s="9">
        <v>45377</v>
      </c>
      <c r="AS20" t="s">
        <v>42</v>
      </c>
      <c r="AT20" s="1">
        <v>10</v>
      </c>
      <c r="AU20" s="1">
        <v>10</v>
      </c>
    </row>
    <row r="21" spans="6:48" x14ac:dyDescent="0.25">
      <c r="R21" s="5"/>
      <c r="W21" s="8"/>
      <c r="AR21" s="9">
        <v>45377</v>
      </c>
      <c r="AS21" t="s">
        <v>43</v>
      </c>
      <c r="AT21" s="1">
        <v>10</v>
      </c>
      <c r="AU21" s="1">
        <v>10</v>
      </c>
    </row>
    <row r="22" spans="6:48" x14ac:dyDescent="0.25">
      <c r="R22" s="5"/>
      <c r="W22" s="8"/>
      <c r="AR22" s="9">
        <v>45352</v>
      </c>
      <c r="AS22" t="s">
        <v>40</v>
      </c>
      <c r="AT22" s="1">
        <v>50</v>
      </c>
    </row>
    <row r="23" spans="6:48" x14ac:dyDescent="0.25">
      <c r="L23" s="1"/>
      <c r="R23" s="5"/>
      <c r="W23" s="8"/>
      <c r="AR23" s="9">
        <v>45353</v>
      </c>
      <c r="AS23" t="s">
        <v>33</v>
      </c>
      <c r="AT23" s="1">
        <v>13.75</v>
      </c>
      <c r="AV23" s="1">
        <v>11.25</v>
      </c>
    </row>
    <row r="24" spans="6:48" x14ac:dyDescent="0.25">
      <c r="R24" s="5"/>
      <c r="W24" s="8"/>
      <c r="AR24" s="9">
        <v>45354</v>
      </c>
      <c r="AS24" t="s">
        <v>25</v>
      </c>
      <c r="AT24" s="1">
        <v>16</v>
      </c>
    </row>
    <row r="25" spans="6:48" x14ac:dyDescent="0.25">
      <c r="R25" s="5"/>
      <c r="W25" s="8"/>
      <c r="AR25" s="9">
        <v>45354</v>
      </c>
      <c r="AS25" t="s">
        <v>34</v>
      </c>
      <c r="AT25" s="1">
        <v>11.25</v>
      </c>
      <c r="AV25" s="1">
        <v>11.25</v>
      </c>
    </row>
    <row r="26" spans="6:48" x14ac:dyDescent="0.25">
      <c r="R26" s="5"/>
      <c r="W26" s="8"/>
      <c r="AR26" s="9">
        <v>45378</v>
      </c>
      <c r="AS26" t="s">
        <v>40</v>
      </c>
      <c r="AT26" s="1">
        <v>50</v>
      </c>
    </row>
    <row r="27" spans="6:48" x14ac:dyDescent="0.25">
      <c r="R27" s="5"/>
      <c r="W27" s="8"/>
      <c r="AR27" s="9">
        <v>45378</v>
      </c>
      <c r="AS27" t="s">
        <v>34</v>
      </c>
      <c r="AT27" s="1">
        <v>11.25</v>
      </c>
      <c r="AV27" s="1">
        <v>11.25</v>
      </c>
    </row>
    <row r="28" spans="6:48" x14ac:dyDescent="0.25">
      <c r="R28" s="5"/>
      <c r="W28" s="8"/>
      <c r="AR28" s="9">
        <v>45380</v>
      </c>
      <c r="AS28" t="s">
        <v>36</v>
      </c>
      <c r="AT28" s="1">
        <v>16.489999999999998</v>
      </c>
      <c r="AV28" s="1">
        <v>11.25</v>
      </c>
    </row>
    <row r="29" spans="6:48" x14ac:dyDescent="0.25">
      <c r="R29" s="5"/>
      <c r="AR29" s="9">
        <v>45380</v>
      </c>
      <c r="AS29" t="s">
        <v>45</v>
      </c>
      <c r="AT29" s="1">
        <v>5</v>
      </c>
    </row>
    <row r="30" spans="6:48" x14ac:dyDescent="0.25">
      <c r="R30" s="5"/>
      <c r="AR30" s="9">
        <v>45380</v>
      </c>
      <c r="AS30" t="s">
        <v>46</v>
      </c>
      <c r="AT30" s="1">
        <v>63</v>
      </c>
      <c r="AU30" s="1">
        <v>63</v>
      </c>
    </row>
    <row r="31" spans="6:48" x14ac:dyDescent="0.25">
      <c r="R31" s="5"/>
      <c r="AR31" s="9">
        <v>45380</v>
      </c>
      <c r="AS31" t="s">
        <v>34</v>
      </c>
      <c r="AT31" s="1">
        <v>11.25</v>
      </c>
      <c r="AV31" s="1">
        <v>11.25</v>
      </c>
    </row>
    <row r="32" spans="6:48" x14ac:dyDescent="0.25">
      <c r="R32" s="5"/>
      <c r="AR32" s="9">
        <v>45380</v>
      </c>
      <c r="AS32" t="s">
        <v>47</v>
      </c>
      <c r="AT32" s="1">
        <v>12.25</v>
      </c>
      <c r="AU32" s="1">
        <v>12.25</v>
      </c>
    </row>
    <row r="33" spans="18:48" x14ac:dyDescent="0.25">
      <c r="R33" s="5"/>
      <c r="AR33" s="9">
        <v>45382</v>
      </c>
      <c r="AS33" t="s">
        <v>55</v>
      </c>
      <c r="AT33" s="1">
        <v>19.8</v>
      </c>
      <c r="AV33" s="1">
        <v>11.25</v>
      </c>
    </row>
    <row r="34" spans="18:48" x14ac:dyDescent="0.25">
      <c r="R34" s="5"/>
      <c r="AR34" s="9">
        <v>45382</v>
      </c>
      <c r="AS34" t="s">
        <v>56</v>
      </c>
      <c r="AT34" s="1">
        <v>55.9</v>
      </c>
    </row>
    <row r="35" spans="18:48" x14ac:dyDescent="0.25">
      <c r="R35" s="5"/>
      <c r="AR35" s="9">
        <v>45381</v>
      </c>
      <c r="AS35" t="s">
        <v>40</v>
      </c>
      <c r="AT35" s="1">
        <v>50</v>
      </c>
    </row>
    <row r="36" spans="18:48" x14ac:dyDescent="0.25">
      <c r="R36" s="5"/>
      <c r="AR36" s="9">
        <v>45381</v>
      </c>
      <c r="AS36" t="s">
        <v>34</v>
      </c>
      <c r="AT36" s="1">
        <v>11.25</v>
      </c>
      <c r="AV36" s="1">
        <v>11.25</v>
      </c>
    </row>
    <row r="37" spans="18:48" x14ac:dyDescent="0.25">
      <c r="R37" s="5"/>
    </row>
    <row r="38" spans="18:48" x14ac:dyDescent="0.25">
      <c r="R38" s="5"/>
    </row>
    <row r="39" spans="18:48" x14ac:dyDescent="0.25">
      <c r="R39" s="5"/>
    </row>
    <row r="40" spans="18:48" x14ac:dyDescent="0.25">
      <c r="R40" s="5"/>
    </row>
    <row r="41" spans="18:48" x14ac:dyDescent="0.25">
      <c r="R41" s="5"/>
    </row>
    <row r="42" spans="18:48" x14ac:dyDescent="0.25">
      <c r="R42" s="5"/>
    </row>
    <row r="43" spans="18:48" x14ac:dyDescent="0.25">
      <c r="R43" s="5"/>
    </row>
    <row r="44" spans="18:48" x14ac:dyDescent="0.25">
      <c r="R44" s="5"/>
    </row>
    <row r="45" spans="18:48" x14ac:dyDescent="0.25">
      <c r="R45" s="5"/>
    </row>
    <row r="46" spans="18:48" x14ac:dyDescent="0.25">
      <c r="R46" s="5"/>
    </row>
    <row r="47" spans="18:48" x14ac:dyDescent="0.25">
      <c r="R47" s="5"/>
    </row>
    <row r="48" spans="18:48" x14ac:dyDescent="0.25">
      <c r="R48" s="5"/>
    </row>
    <row r="49" spans="18:18" x14ac:dyDescent="0.25">
      <c r="R49" s="5"/>
    </row>
    <row r="50" spans="18:18" x14ac:dyDescent="0.25">
      <c r="R50" s="5"/>
    </row>
    <row r="51" spans="18:18" x14ac:dyDescent="0.25">
      <c r="R51" s="5"/>
    </row>
    <row r="52" spans="18:18" x14ac:dyDescent="0.25">
      <c r="R52" s="5"/>
    </row>
    <row r="53" spans="18:18" x14ac:dyDescent="0.25">
      <c r="R53" s="5"/>
    </row>
    <row r="54" spans="18:18" x14ac:dyDescent="0.25">
      <c r="R54" s="5"/>
    </row>
    <row r="55" spans="18:18" x14ac:dyDescent="0.25">
      <c r="R55" s="5"/>
    </row>
    <row r="56" spans="18:18" x14ac:dyDescent="0.25">
      <c r="R56" s="5"/>
    </row>
    <row r="57" spans="18:18" x14ac:dyDescent="0.25">
      <c r="R57" s="5"/>
    </row>
    <row r="58" spans="18:18" x14ac:dyDescent="0.25">
      <c r="R58" s="5"/>
    </row>
    <row r="59" spans="18:18" x14ac:dyDescent="0.25">
      <c r="R59" s="5"/>
    </row>
    <row r="60" spans="18:18" x14ac:dyDescent="0.25">
      <c r="R60" s="5"/>
    </row>
    <row r="61" spans="18:18" x14ac:dyDescent="0.25">
      <c r="R61" s="5"/>
    </row>
    <row r="62" spans="18:18" x14ac:dyDescent="0.25">
      <c r="R62" s="5"/>
    </row>
    <row r="63" spans="18:18" x14ac:dyDescent="0.25">
      <c r="R63" s="5"/>
    </row>
    <row r="64" spans="18:18" x14ac:dyDescent="0.25">
      <c r="R64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6794-9048-4868-853F-0C64EEFE5FD2}">
  <dimension ref="A1:BI35"/>
  <sheetViews>
    <sheetView workbookViewId="0">
      <selection activeCell="AK10" sqref="AK1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140625" bestFit="1" customWidth="1"/>
    <col min="6" max="6" width="10.7109375" bestFit="1" customWidth="1"/>
    <col min="7" max="7" width="14.28515625" bestFit="1" customWidth="1"/>
    <col min="8" max="8" width="10.5703125" bestFit="1" customWidth="1"/>
    <col min="9" max="9" width="18.42578125" bestFit="1" customWidth="1"/>
    <col min="10" max="10" width="16.28515625" bestFit="1" customWidth="1"/>
    <col min="12" max="12" width="14" bestFit="1" customWidth="1"/>
    <col min="13" max="13" width="12.140625" bestFit="1" customWidth="1"/>
    <col min="14" max="14" width="13.28515625" bestFit="1" customWidth="1"/>
    <col min="17" max="17" width="10.7109375" bestFit="1" customWidth="1"/>
    <col min="18" max="18" width="26" bestFit="1" customWidth="1"/>
    <col min="19" max="19" width="11.85546875" bestFit="1" customWidth="1"/>
    <col min="20" max="20" width="18" bestFit="1" customWidth="1"/>
    <col min="21" max="21" width="10.5703125" bestFit="1" customWidth="1"/>
    <col min="23" max="23" width="10.7109375" bestFit="1" customWidth="1"/>
    <col min="24" max="24" width="15.5703125" bestFit="1" customWidth="1"/>
    <col min="25" max="25" width="10.5703125" bestFit="1" customWidth="1"/>
    <col min="26" max="26" width="12.140625" bestFit="1" customWidth="1"/>
    <col min="29" max="29" width="10.7109375" bestFit="1" customWidth="1"/>
    <col min="30" max="30" width="15" bestFit="1" customWidth="1"/>
    <col min="31" max="31" width="10.5703125" bestFit="1" customWidth="1"/>
    <col min="34" max="34" width="10.7109375" bestFit="1" customWidth="1"/>
    <col min="35" max="35" width="10.5703125" bestFit="1" customWidth="1"/>
    <col min="36" max="37" width="12.140625" bestFit="1" customWidth="1"/>
    <col min="41" max="41" width="10.7109375" style="3" bestFit="1" customWidth="1"/>
    <col min="42" max="42" width="15.140625" bestFit="1" customWidth="1"/>
    <col min="44" max="44" width="10.7109375" bestFit="1" customWidth="1"/>
    <col min="45" max="45" width="17.7109375" bestFit="1" customWidth="1"/>
    <col min="46" max="46" width="9.5703125" bestFit="1" customWidth="1"/>
    <col min="47" max="47" width="10.5703125" bestFit="1" customWidth="1"/>
    <col min="48" max="48" width="9.5703125" style="1" bestFit="1" customWidth="1"/>
    <col min="49" max="49" width="16.140625" style="1" bestFit="1" customWidth="1"/>
    <col min="53" max="53" width="25.7109375" style="10" bestFit="1" customWidth="1"/>
    <col min="54" max="54" width="12.140625" style="1" bestFit="1" customWidth="1"/>
    <col min="55" max="55" width="28.140625" bestFit="1" customWidth="1"/>
    <col min="56" max="56" width="25.7109375" bestFit="1" customWidth="1"/>
    <col min="57" max="57" width="20.85546875" bestFit="1" customWidth="1"/>
    <col min="58" max="58" width="12.140625" bestFit="1" customWidth="1"/>
    <col min="59" max="59" width="28.140625" bestFit="1" customWidth="1"/>
    <col min="60" max="60" width="20.85546875" bestFit="1" customWidth="1"/>
  </cols>
  <sheetData>
    <row r="1" spans="1:61" x14ac:dyDescent="0.25">
      <c r="A1" s="12" t="s">
        <v>3</v>
      </c>
      <c r="B1" s="12">
        <v>150</v>
      </c>
      <c r="C1" s="2">
        <f>SUM(B1:B50)</f>
        <v>2424.6000000000004</v>
      </c>
      <c r="E1" s="1"/>
      <c r="F1" s="4" t="s">
        <v>4</v>
      </c>
      <c r="G1" s="5" t="s">
        <v>7</v>
      </c>
      <c r="H1" s="5" t="s">
        <v>5</v>
      </c>
      <c r="I1" s="5" t="s">
        <v>6</v>
      </c>
      <c r="J1" s="5" t="s">
        <v>20</v>
      </c>
      <c r="L1" s="5" t="s">
        <v>7</v>
      </c>
      <c r="M1" s="5" t="s">
        <v>10</v>
      </c>
      <c r="N1" s="5" t="s">
        <v>12</v>
      </c>
      <c r="O1" s="3"/>
      <c r="P1" s="5"/>
      <c r="Q1" s="6" t="s">
        <v>4</v>
      </c>
      <c r="R1" s="5" t="s">
        <v>13</v>
      </c>
      <c r="S1" s="5" t="s">
        <v>14</v>
      </c>
      <c r="T1" s="5" t="s">
        <v>15</v>
      </c>
      <c r="U1" s="5" t="s">
        <v>12</v>
      </c>
      <c r="W1" s="6" t="s">
        <v>4</v>
      </c>
      <c r="X1" s="5" t="s">
        <v>17</v>
      </c>
      <c r="Y1" s="5" t="s">
        <v>10</v>
      </c>
      <c r="Z1" s="5" t="s">
        <v>18</v>
      </c>
      <c r="AC1" s="5" t="s">
        <v>4</v>
      </c>
      <c r="AD1" s="5" t="s">
        <v>19</v>
      </c>
      <c r="AE1" s="5" t="s">
        <v>12</v>
      </c>
      <c r="AH1" s="6" t="s">
        <v>4</v>
      </c>
      <c r="AI1" s="5" t="s">
        <v>5</v>
      </c>
      <c r="AJ1" s="5" t="s">
        <v>12</v>
      </c>
      <c r="AK1" s="5" t="s">
        <v>22</v>
      </c>
      <c r="AM1" s="1"/>
      <c r="AO1" s="6" t="s">
        <v>4</v>
      </c>
      <c r="AP1" s="5" t="s">
        <v>21</v>
      </c>
      <c r="AR1" s="6" t="s">
        <v>4</v>
      </c>
      <c r="AS1" s="7" t="s">
        <v>23</v>
      </c>
      <c r="AT1" s="5" t="s">
        <v>10</v>
      </c>
      <c r="AU1" s="7" t="s">
        <v>12</v>
      </c>
      <c r="AW1" s="1" t="s">
        <v>44</v>
      </c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</row>
    <row r="2" spans="1:61" x14ac:dyDescent="0.25">
      <c r="A2" s="12" t="s">
        <v>63</v>
      </c>
      <c r="B2" s="12">
        <v>326.5</v>
      </c>
      <c r="E2" s="1"/>
      <c r="F2" s="4">
        <v>45383</v>
      </c>
      <c r="G2" s="1">
        <v>2424.6</v>
      </c>
      <c r="H2" s="1">
        <f>178.12+56+100+30.6</f>
        <v>364.72</v>
      </c>
      <c r="I2" s="1">
        <f>G2-H2</f>
        <v>2059.88</v>
      </c>
      <c r="J2" s="2">
        <f>SUM(H2:H31)</f>
        <v>1963.9000000000003</v>
      </c>
      <c r="L2" t="s">
        <v>29</v>
      </c>
      <c r="M2" s="1">
        <f>1500*3</f>
        <v>4500</v>
      </c>
      <c r="N2" s="2">
        <f>SUM(M2:M75)</f>
        <v>17464.5</v>
      </c>
      <c r="O2" s="3"/>
      <c r="P2" s="5"/>
      <c r="Q2" s="3">
        <v>45383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45383</v>
      </c>
      <c r="X2" s="7" t="s">
        <v>64</v>
      </c>
      <c r="Y2" s="1">
        <v>180</v>
      </c>
      <c r="Z2" s="2">
        <f>SUM(Y2:Y30)</f>
        <v>1394.68</v>
      </c>
      <c r="AC2" s="3">
        <v>45383</v>
      </c>
      <c r="AD2" s="1">
        <v>45.07</v>
      </c>
      <c r="AE2" s="2">
        <f>AD2</f>
        <v>45.07</v>
      </c>
      <c r="AH2" s="3">
        <v>45383</v>
      </c>
      <c r="AI2" s="1">
        <v>30.6</v>
      </c>
      <c r="AJ2" s="1">
        <f>SUM(AI2:AI31)</f>
        <v>1629.7800000000002</v>
      </c>
      <c r="AK2" s="2">
        <f>AJ2*1</f>
        <v>1629.7800000000002</v>
      </c>
      <c r="AM2" s="1"/>
      <c r="AO2" s="3">
        <v>45383</v>
      </c>
      <c r="AP2" s="7" t="s">
        <v>64</v>
      </c>
      <c r="AR2" s="9">
        <v>45383</v>
      </c>
      <c r="AS2" t="s">
        <v>34</v>
      </c>
      <c r="AT2" s="1">
        <v>11.25</v>
      </c>
      <c r="AU2" s="2">
        <f>SUM(AT2:AT82)</f>
        <v>618.7700000000001</v>
      </c>
      <c r="AV2" s="1">
        <v>11.25</v>
      </c>
      <c r="AW2" s="1">
        <f>SUM(AV1:AV36)</f>
        <v>157.5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H2" s="10"/>
      <c r="BI2" s="1"/>
    </row>
    <row r="3" spans="1:61" x14ac:dyDescent="0.25">
      <c r="A3" s="12" t="s">
        <v>75</v>
      </c>
      <c r="B3" s="12">
        <v>33.9</v>
      </c>
      <c r="E3" s="1"/>
      <c r="F3" s="4">
        <v>45384</v>
      </c>
      <c r="G3" s="1">
        <v>2424.6</v>
      </c>
      <c r="H3" s="1">
        <v>70.989999999999995</v>
      </c>
      <c r="I3" s="1">
        <f>I2-H3</f>
        <v>1988.89</v>
      </c>
      <c r="M3" s="1"/>
      <c r="O3" s="3"/>
      <c r="P3" s="5"/>
      <c r="Q3" s="3">
        <v>45384</v>
      </c>
      <c r="R3" s="5">
        <v>500</v>
      </c>
      <c r="S3" s="1">
        <v>0</v>
      </c>
      <c r="T3" s="1">
        <f>T2-S3</f>
        <v>500</v>
      </c>
      <c r="W3" s="3">
        <v>45391</v>
      </c>
      <c r="X3" s="5" t="s">
        <v>30</v>
      </c>
      <c r="Y3" s="1">
        <v>321.5</v>
      </c>
      <c r="AC3" s="3">
        <v>45384</v>
      </c>
      <c r="AD3" s="1">
        <v>0</v>
      </c>
      <c r="AE3" s="2">
        <f>AD3+AE2</f>
        <v>45.07</v>
      </c>
      <c r="AH3" s="3">
        <v>45384</v>
      </c>
      <c r="AI3" s="1">
        <v>70.989999999999995</v>
      </c>
      <c r="AJ3" s="1"/>
      <c r="AK3" s="2">
        <f>AJ2/2</f>
        <v>814.8900000000001</v>
      </c>
      <c r="AM3" s="1"/>
      <c r="AO3" s="3">
        <v>45391</v>
      </c>
      <c r="AP3" s="5" t="s">
        <v>30</v>
      </c>
      <c r="AR3" s="9">
        <v>45384</v>
      </c>
      <c r="AS3" t="s">
        <v>69</v>
      </c>
      <c r="AT3" s="1">
        <v>42</v>
      </c>
      <c r="BA3" t="s">
        <v>58</v>
      </c>
      <c r="BB3" s="1">
        <v>198.64</v>
      </c>
      <c r="BE3" s="10" t="s">
        <v>48</v>
      </c>
      <c r="BF3" s="1">
        <v>0</v>
      </c>
      <c r="BH3" s="10"/>
      <c r="BI3" s="1"/>
    </row>
    <row r="4" spans="1:61" x14ac:dyDescent="0.25">
      <c r="A4" s="12" t="s">
        <v>68</v>
      </c>
      <c r="B4" s="12">
        <v>22</v>
      </c>
      <c r="E4" s="1"/>
      <c r="F4" s="4">
        <v>45385</v>
      </c>
      <c r="G4" s="1">
        <v>2424.6</v>
      </c>
      <c r="H4" s="1">
        <v>27.42</v>
      </c>
      <c r="I4" s="1">
        <f t="shared" ref="I4:I31" si="0">I3-H4</f>
        <v>1961.47</v>
      </c>
      <c r="L4" t="s">
        <v>9</v>
      </c>
      <c r="M4" s="1">
        <v>5000</v>
      </c>
      <c r="O4" s="3"/>
      <c r="P4" s="5"/>
      <c r="Q4" s="3">
        <v>45385</v>
      </c>
      <c r="R4" s="5">
        <v>500</v>
      </c>
      <c r="S4" s="1">
        <v>0</v>
      </c>
      <c r="T4" s="1">
        <f t="shared" ref="T4:T31" si="1">T3-S4</f>
        <v>500</v>
      </c>
      <c r="W4" s="3">
        <v>45391</v>
      </c>
      <c r="X4" s="7" t="s">
        <v>63</v>
      </c>
      <c r="Y4" s="1">
        <v>326.5</v>
      </c>
      <c r="AC4" s="3">
        <v>45385</v>
      </c>
      <c r="AD4" s="1">
        <v>34.46</v>
      </c>
      <c r="AE4" s="2">
        <f t="shared" ref="AE4:AE31" si="2">AD4+AE3</f>
        <v>79.53</v>
      </c>
      <c r="AH4" s="3">
        <v>45385</v>
      </c>
      <c r="AI4" s="1">
        <v>27.42</v>
      </c>
      <c r="AJ4" s="1"/>
      <c r="AK4" s="2">
        <f>AJ2/3</f>
        <v>543.2600000000001</v>
      </c>
      <c r="AM4" s="1"/>
      <c r="AO4" s="3">
        <v>45391</v>
      </c>
      <c r="AP4" s="7" t="s">
        <v>63</v>
      </c>
      <c r="AR4" s="9">
        <v>45384</v>
      </c>
      <c r="AS4" t="s">
        <v>70</v>
      </c>
      <c r="AT4" s="1">
        <v>15</v>
      </c>
      <c r="BA4" t="s">
        <v>51</v>
      </c>
      <c r="BB4" s="1">
        <v>178.12</v>
      </c>
      <c r="BE4" s="10" t="s">
        <v>49</v>
      </c>
      <c r="BF4" s="1">
        <v>230.54</v>
      </c>
      <c r="BH4" s="10"/>
      <c r="BI4" s="1"/>
    </row>
    <row r="5" spans="1:61" x14ac:dyDescent="0.25">
      <c r="A5" s="12" t="s">
        <v>41</v>
      </c>
      <c r="B5" s="12">
        <v>321</v>
      </c>
      <c r="E5" s="1"/>
      <c r="F5" s="4">
        <v>45386</v>
      </c>
      <c r="G5" s="1">
        <v>2424.6</v>
      </c>
      <c r="H5" s="1">
        <v>37.03</v>
      </c>
      <c r="I5" s="1">
        <f t="shared" si="0"/>
        <v>1924.44</v>
      </c>
      <c r="L5" t="s">
        <v>11</v>
      </c>
      <c r="M5" s="1">
        <v>7000</v>
      </c>
      <c r="O5" s="3"/>
      <c r="P5" s="5"/>
      <c r="Q5" s="3">
        <v>45386</v>
      </c>
      <c r="R5" s="5">
        <v>500</v>
      </c>
      <c r="S5" s="1">
        <v>0</v>
      </c>
      <c r="T5" s="1">
        <f t="shared" si="1"/>
        <v>500</v>
      </c>
      <c r="W5" s="3">
        <v>45383</v>
      </c>
      <c r="X5" s="7" t="s">
        <v>68</v>
      </c>
      <c r="Y5" s="1">
        <v>22</v>
      </c>
      <c r="AC5" s="3">
        <v>45386</v>
      </c>
      <c r="AD5" s="1">
        <v>0</v>
      </c>
      <c r="AE5" s="2">
        <f t="shared" si="2"/>
        <v>79.53</v>
      </c>
      <c r="AH5" s="3">
        <v>45386</v>
      </c>
      <c r="AI5" s="1">
        <v>37.03</v>
      </c>
      <c r="AJ5" s="1"/>
      <c r="AK5" s="2">
        <f>AJ2/4</f>
        <v>407.44500000000005</v>
      </c>
      <c r="AM5" s="1"/>
      <c r="AO5" s="3">
        <v>45383</v>
      </c>
      <c r="AP5" s="7" t="s">
        <v>68</v>
      </c>
      <c r="AR5" s="9">
        <v>45383</v>
      </c>
      <c r="AS5" t="s">
        <v>71</v>
      </c>
      <c r="AT5" s="1">
        <v>22</v>
      </c>
      <c r="BA5" t="s">
        <v>52</v>
      </c>
      <c r="BB5" s="11">
        <f>180+160.3</f>
        <v>340.3</v>
      </c>
      <c r="BE5" s="10" t="s">
        <v>50</v>
      </c>
      <c r="BF5" s="1">
        <v>302.47000000000003</v>
      </c>
      <c r="BH5" s="10"/>
      <c r="BI5" s="1"/>
    </row>
    <row r="6" spans="1:61" x14ac:dyDescent="0.25">
      <c r="A6" s="13" t="s">
        <v>1</v>
      </c>
      <c r="B6" s="13">
        <v>160.79</v>
      </c>
      <c r="E6" s="1"/>
      <c r="F6" s="4">
        <v>45387</v>
      </c>
      <c r="G6" s="1">
        <v>2424.6</v>
      </c>
      <c r="H6" s="1">
        <v>144.30000000000001</v>
      </c>
      <c r="I6" s="1">
        <f t="shared" si="0"/>
        <v>1780.14</v>
      </c>
      <c r="L6" t="s">
        <v>41</v>
      </c>
      <c r="M6" s="1">
        <v>964.5</v>
      </c>
      <c r="O6" s="3"/>
      <c r="P6" s="5"/>
      <c r="Q6" s="3">
        <v>45387</v>
      </c>
      <c r="R6" s="5">
        <v>500</v>
      </c>
      <c r="S6" s="1">
        <v>0</v>
      </c>
      <c r="T6" s="1">
        <f t="shared" si="1"/>
        <v>500</v>
      </c>
      <c r="W6" s="3">
        <v>45387</v>
      </c>
      <c r="X6" s="7" t="s">
        <v>74</v>
      </c>
      <c r="Y6" s="1">
        <v>33.9</v>
      </c>
      <c r="AC6" s="3">
        <v>45387</v>
      </c>
      <c r="AD6" s="1">
        <v>0</v>
      </c>
      <c r="AE6" s="2">
        <f t="shared" si="2"/>
        <v>79.53</v>
      </c>
      <c r="AH6" s="3">
        <v>45387</v>
      </c>
      <c r="AI6" s="1">
        <v>144.30000000000001</v>
      </c>
      <c r="AJ6" s="1"/>
      <c r="AK6" s="2">
        <f>AJ2/5</f>
        <v>325.95600000000002</v>
      </c>
      <c r="AM6" s="1"/>
      <c r="AO6" s="3">
        <v>45387</v>
      </c>
      <c r="AP6" s="7" t="s">
        <v>74</v>
      </c>
      <c r="AR6" s="9">
        <v>45384</v>
      </c>
      <c r="AS6" t="s">
        <v>73</v>
      </c>
      <c r="AT6" s="1">
        <v>5</v>
      </c>
      <c r="BA6" t="s">
        <v>59</v>
      </c>
      <c r="BB6" s="11">
        <v>863.42</v>
      </c>
      <c r="BE6" s="10" t="s">
        <v>51</v>
      </c>
      <c r="BF6" s="1">
        <v>0</v>
      </c>
      <c r="BH6" s="10"/>
      <c r="BI6" s="1"/>
    </row>
    <row r="7" spans="1:61" x14ac:dyDescent="0.25">
      <c r="A7" s="12" t="s">
        <v>72</v>
      </c>
      <c r="B7" s="12">
        <v>40</v>
      </c>
      <c r="E7" s="1"/>
      <c r="F7" s="4">
        <v>45388</v>
      </c>
      <c r="G7" s="1">
        <v>2424.6</v>
      </c>
      <c r="H7" s="1">
        <v>158.36000000000001</v>
      </c>
      <c r="I7" s="1">
        <f t="shared" si="0"/>
        <v>1621.7800000000002</v>
      </c>
      <c r="M7" s="1"/>
      <c r="O7" s="3"/>
      <c r="P7" s="5"/>
      <c r="Q7" s="3">
        <v>45388</v>
      </c>
      <c r="R7" s="5">
        <v>500</v>
      </c>
      <c r="S7" s="1">
        <v>0</v>
      </c>
      <c r="T7" s="1">
        <f t="shared" si="1"/>
        <v>500</v>
      </c>
      <c r="W7" s="3">
        <v>45392</v>
      </c>
      <c r="X7" s="7" t="s">
        <v>3</v>
      </c>
      <c r="Y7" s="1">
        <v>150</v>
      </c>
      <c r="AC7" s="3">
        <v>45388</v>
      </c>
      <c r="AD7" s="1">
        <v>45</v>
      </c>
      <c r="AE7" s="2">
        <f t="shared" si="2"/>
        <v>124.53</v>
      </c>
      <c r="AH7" s="3">
        <v>45388</v>
      </c>
      <c r="AI7" s="1">
        <v>158.36000000000001</v>
      </c>
      <c r="AJ7" s="1"/>
      <c r="AK7" s="2">
        <f>AJ2/6</f>
        <v>271.63000000000005</v>
      </c>
      <c r="AM7" s="1"/>
      <c r="AO7" s="3">
        <v>45392</v>
      </c>
      <c r="AP7" s="7" t="s">
        <v>3</v>
      </c>
      <c r="AR7" s="9">
        <v>45387</v>
      </c>
      <c r="AS7" t="s">
        <v>33</v>
      </c>
      <c r="AT7" s="1">
        <v>18.25</v>
      </c>
      <c r="AV7" s="1">
        <v>11.25</v>
      </c>
      <c r="BA7" t="s">
        <v>60</v>
      </c>
      <c r="BB7" s="11">
        <v>157.5</v>
      </c>
      <c r="BE7" s="10" t="s">
        <v>44</v>
      </c>
      <c r="BF7" s="1">
        <v>157.5</v>
      </c>
      <c r="BH7" s="10"/>
      <c r="BI7" s="1"/>
    </row>
    <row r="8" spans="1:61" x14ac:dyDescent="0.25">
      <c r="A8" s="12" t="s">
        <v>81</v>
      </c>
      <c r="B8" s="12">
        <v>65.989999999999995</v>
      </c>
      <c r="E8" s="1"/>
      <c r="F8" s="4">
        <v>45389</v>
      </c>
      <c r="G8" s="1">
        <v>2424.6</v>
      </c>
      <c r="H8" s="1">
        <v>52.74</v>
      </c>
      <c r="I8" s="1">
        <f t="shared" si="0"/>
        <v>1569.0400000000002</v>
      </c>
      <c r="M8" s="1"/>
      <c r="O8" s="3"/>
      <c r="P8" s="5"/>
      <c r="Q8" s="3">
        <v>45389</v>
      </c>
      <c r="R8" s="5">
        <v>500</v>
      </c>
      <c r="S8" s="1">
        <v>0</v>
      </c>
      <c r="T8" s="1">
        <f t="shared" si="1"/>
        <v>500</v>
      </c>
      <c r="W8" s="3">
        <v>45404</v>
      </c>
      <c r="X8" s="7" t="s">
        <v>1</v>
      </c>
      <c r="Y8" s="1">
        <v>160.79</v>
      </c>
      <c r="AC8" s="3">
        <v>45389</v>
      </c>
      <c r="AD8" s="1">
        <v>0</v>
      </c>
      <c r="AE8" s="2">
        <f t="shared" si="2"/>
        <v>124.53</v>
      </c>
      <c r="AH8" s="3">
        <v>45389</v>
      </c>
      <c r="AI8" s="1">
        <v>52.74</v>
      </c>
      <c r="AJ8" s="1"/>
      <c r="AK8" s="2">
        <f>AJ2/7</f>
        <v>232.82571428571433</v>
      </c>
      <c r="AM8" s="1"/>
      <c r="AO8" s="3">
        <v>45404</v>
      </c>
      <c r="AP8" s="7" t="s">
        <v>1</v>
      </c>
      <c r="AR8" s="9">
        <v>45387</v>
      </c>
      <c r="AS8" t="s">
        <v>74</v>
      </c>
      <c r="AT8" s="1">
        <v>33.9</v>
      </c>
      <c r="BA8" t="s">
        <v>54</v>
      </c>
      <c r="BB8" s="11">
        <v>204.23</v>
      </c>
      <c r="BE8" s="10" t="s">
        <v>52</v>
      </c>
      <c r="BF8" s="1">
        <v>1394.68</v>
      </c>
      <c r="BH8" s="10"/>
      <c r="BI8" s="1"/>
    </row>
    <row r="9" spans="1:61" x14ac:dyDescent="0.25">
      <c r="A9" s="1" t="s">
        <v>66</v>
      </c>
      <c r="B9" s="1">
        <v>103.5</v>
      </c>
      <c r="E9" s="1"/>
      <c r="F9" s="4">
        <v>45390</v>
      </c>
      <c r="G9" s="1">
        <v>2424.6</v>
      </c>
      <c r="H9" s="1">
        <v>0</v>
      </c>
      <c r="I9" s="1">
        <f t="shared" si="0"/>
        <v>1569.0400000000002</v>
      </c>
      <c r="M9" s="1"/>
      <c r="O9" s="3"/>
      <c r="P9" s="5"/>
      <c r="Q9" s="3">
        <v>45390</v>
      </c>
      <c r="R9" s="5">
        <v>500</v>
      </c>
      <c r="S9" s="1">
        <v>0</v>
      </c>
      <c r="T9" s="1">
        <f t="shared" si="1"/>
        <v>500</v>
      </c>
      <c r="W9" s="3">
        <v>45397</v>
      </c>
      <c r="X9" s="7" t="s">
        <v>78</v>
      </c>
      <c r="Y9" s="1">
        <v>40</v>
      </c>
      <c r="AC9" s="3">
        <v>45390</v>
      </c>
      <c r="AD9" s="1">
        <v>0</v>
      </c>
      <c r="AE9" s="2">
        <f t="shared" si="2"/>
        <v>124.53</v>
      </c>
      <c r="AH9" s="3">
        <v>45390</v>
      </c>
      <c r="AI9" s="1">
        <v>0</v>
      </c>
      <c r="AJ9" s="1"/>
      <c r="AK9" s="2">
        <f>AJ2/8</f>
        <v>203.72250000000003</v>
      </c>
      <c r="AM9" s="1"/>
      <c r="AO9" s="3">
        <v>45405</v>
      </c>
      <c r="AP9" s="7" t="s">
        <v>79</v>
      </c>
      <c r="AR9" s="9">
        <v>45386</v>
      </c>
      <c r="AS9" t="s">
        <v>34</v>
      </c>
      <c r="AT9" s="1">
        <v>11.25</v>
      </c>
      <c r="AV9" s="1">
        <v>11.25</v>
      </c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H9" s="10"/>
      <c r="BI9" s="1"/>
    </row>
    <row r="10" spans="1:61" x14ac:dyDescent="0.25">
      <c r="A10" s="1" t="s">
        <v>34</v>
      </c>
      <c r="B10" s="1">
        <v>157.5</v>
      </c>
      <c r="E10" s="1"/>
      <c r="F10" s="4">
        <v>45391</v>
      </c>
      <c r="G10" s="1">
        <v>2424.6</v>
      </c>
      <c r="H10" s="1">
        <v>79.95</v>
      </c>
      <c r="I10" s="1">
        <f t="shared" si="0"/>
        <v>1489.0900000000001</v>
      </c>
      <c r="M10" s="1"/>
      <c r="O10" s="3"/>
      <c r="P10" s="5"/>
      <c r="Q10" s="3">
        <v>45391</v>
      </c>
      <c r="R10" s="5">
        <v>500</v>
      </c>
      <c r="S10" s="1">
        <v>0</v>
      </c>
      <c r="T10" s="1">
        <f t="shared" si="1"/>
        <v>500</v>
      </c>
      <c r="W10" s="3">
        <v>45405</v>
      </c>
      <c r="X10" s="7" t="s">
        <v>80</v>
      </c>
      <c r="Y10" s="1">
        <v>65.989999999999995</v>
      </c>
      <c r="AC10" s="3">
        <v>45391</v>
      </c>
      <c r="AD10" s="1">
        <v>30</v>
      </c>
      <c r="AE10" s="2">
        <f t="shared" si="2"/>
        <v>154.53</v>
      </c>
      <c r="AH10" s="3">
        <v>45391</v>
      </c>
      <c r="AI10" s="1">
        <v>79.95</v>
      </c>
      <c r="AJ10" s="1"/>
      <c r="AK10" s="2">
        <f>AJ2/9</f>
        <v>181.0866666666667</v>
      </c>
      <c r="AM10" s="1"/>
      <c r="AO10" s="3">
        <v>45412</v>
      </c>
      <c r="AP10" s="7" t="s">
        <v>56</v>
      </c>
      <c r="AR10" s="9">
        <v>45390</v>
      </c>
      <c r="AS10" t="s">
        <v>34</v>
      </c>
      <c r="AT10" s="1">
        <v>11.25</v>
      </c>
      <c r="AV10" s="1">
        <v>11.25</v>
      </c>
      <c r="BE10" s="10" t="s">
        <v>54</v>
      </c>
      <c r="BF10" s="1">
        <v>364.55</v>
      </c>
    </row>
    <row r="11" spans="1:61" x14ac:dyDescent="0.25">
      <c r="A11" s="1" t="s">
        <v>19</v>
      </c>
      <c r="B11" s="1">
        <f>364.55-33.9</f>
        <v>330.65000000000003</v>
      </c>
      <c r="E11" s="1"/>
      <c r="F11" s="4">
        <v>45392</v>
      </c>
      <c r="G11" s="1">
        <v>2424.6</v>
      </c>
      <c r="H11" s="1">
        <v>0</v>
      </c>
      <c r="I11" s="1">
        <f t="shared" si="0"/>
        <v>1489.0900000000001</v>
      </c>
      <c r="M11" s="1"/>
      <c r="O11" s="3"/>
      <c r="P11" s="5"/>
      <c r="Q11" s="3">
        <v>45392</v>
      </c>
      <c r="R11" s="5">
        <v>500</v>
      </c>
      <c r="S11" s="1">
        <v>0</v>
      </c>
      <c r="T11" s="1">
        <f t="shared" si="1"/>
        <v>500</v>
      </c>
      <c r="W11" s="3">
        <v>45411</v>
      </c>
      <c r="X11" s="7" t="s">
        <v>32</v>
      </c>
      <c r="Y11" s="1">
        <v>94</v>
      </c>
      <c r="AC11" s="3">
        <v>45392</v>
      </c>
      <c r="AD11" s="1">
        <v>0</v>
      </c>
      <c r="AE11" s="2">
        <f t="shared" si="2"/>
        <v>154.53</v>
      </c>
      <c r="AH11" s="3">
        <v>45392</v>
      </c>
      <c r="AI11" s="1">
        <v>0</v>
      </c>
      <c r="AJ11" s="1"/>
      <c r="AK11" s="2">
        <f>AJ2/10</f>
        <v>162.97800000000001</v>
      </c>
      <c r="AM11" s="1"/>
      <c r="AP11" s="7"/>
      <c r="AR11" s="9">
        <v>45388</v>
      </c>
      <c r="AS11" t="s">
        <v>34</v>
      </c>
      <c r="AT11" s="1">
        <v>11.25</v>
      </c>
      <c r="AV11" s="1">
        <v>11.25</v>
      </c>
    </row>
    <row r="12" spans="1:61" x14ac:dyDescent="0.25">
      <c r="A12" s="1" t="s">
        <v>65</v>
      </c>
      <c r="B12" s="1">
        <v>562.87</v>
      </c>
      <c r="E12" s="1"/>
      <c r="F12" s="4">
        <v>45393</v>
      </c>
      <c r="G12" s="1">
        <v>2424.6</v>
      </c>
      <c r="H12" s="1">
        <v>0</v>
      </c>
      <c r="I12" s="1">
        <f t="shared" si="0"/>
        <v>1489.0900000000001</v>
      </c>
      <c r="M12" s="1"/>
      <c r="O12" s="3"/>
      <c r="P12" s="5"/>
      <c r="Q12" s="3">
        <v>45393</v>
      </c>
      <c r="R12" s="5">
        <v>500</v>
      </c>
      <c r="S12" s="1">
        <v>0</v>
      </c>
      <c r="T12" s="1">
        <f t="shared" si="1"/>
        <v>500</v>
      </c>
      <c r="W12" s="3"/>
      <c r="X12" s="7"/>
      <c r="Y12" s="1"/>
      <c r="AC12" s="3">
        <v>45393</v>
      </c>
      <c r="AD12" s="1">
        <v>0</v>
      </c>
      <c r="AE12" s="2">
        <f t="shared" si="2"/>
        <v>154.53</v>
      </c>
      <c r="AH12" s="3">
        <v>45393</v>
      </c>
      <c r="AI12" s="1">
        <v>0</v>
      </c>
      <c r="AJ12" s="1"/>
      <c r="AK12" s="2">
        <f>AJ2/11</f>
        <v>148.16181818181821</v>
      </c>
      <c r="AM12" s="1"/>
      <c r="AP12" s="7"/>
      <c r="AR12" s="9">
        <v>45388</v>
      </c>
      <c r="AS12" t="s">
        <v>76</v>
      </c>
      <c r="AT12" s="1">
        <v>50</v>
      </c>
    </row>
    <row r="13" spans="1:61" x14ac:dyDescent="0.25">
      <c r="A13" s="1" t="s">
        <v>32</v>
      </c>
      <c r="B13" s="1">
        <v>94</v>
      </c>
      <c r="E13" s="1"/>
      <c r="F13" s="4">
        <v>45394</v>
      </c>
      <c r="G13" s="1">
        <v>2424.6</v>
      </c>
      <c r="H13" s="1">
        <v>25.8</v>
      </c>
      <c r="I13" s="1">
        <f t="shared" si="0"/>
        <v>1463.2900000000002</v>
      </c>
      <c r="M13" s="1"/>
      <c r="O13" s="3"/>
      <c r="P13" s="5"/>
      <c r="Q13" s="3">
        <v>45394</v>
      </c>
      <c r="R13" s="5">
        <v>500</v>
      </c>
      <c r="S13" s="1">
        <v>0</v>
      </c>
      <c r="T13" s="1">
        <f t="shared" si="1"/>
        <v>500</v>
      </c>
      <c r="W13" s="3"/>
      <c r="X13" s="7"/>
      <c r="Y13" s="1"/>
      <c r="AC13" s="3">
        <v>45394</v>
      </c>
      <c r="AD13" s="1">
        <v>0</v>
      </c>
      <c r="AE13" s="2">
        <f t="shared" si="2"/>
        <v>154.53</v>
      </c>
      <c r="AH13" s="3">
        <v>45394</v>
      </c>
      <c r="AI13" s="1">
        <v>25.8</v>
      </c>
      <c r="AJ13" s="1"/>
      <c r="AK13" s="2">
        <f>AJ2/12</f>
        <v>135.81500000000003</v>
      </c>
      <c r="AM13" s="1"/>
      <c r="AP13" s="7"/>
      <c r="AR13" s="9">
        <v>45392</v>
      </c>
      <c r="AS13" t="s">
        <v>77</v>
      </c>
      <c r="AT13" s="1">
        <v>17.649999999999999</v>
      </c>
      <c r="AV13" s="1">
        <v>11.25</v>
      </c>
    </row>
    <row r="14" spans="1:61" x14ac:dyDescent="0.25">
      <c r="A14" s="1" t="s">
        <v>56</v>
      </c>
      <c r="B14" s="1">
        <v>55.9</v>
      </c>
      <c r="E14" s="1"/>
      <c r="F14" s="4">
        <v>45395</v>
      </c>
      <c r="G14" s="1">
        <v>2424.6</v>
      </c>
      <c r="H14" s="1">
        <v>116.38</v>
      </c>
      <c r="I14" s="1">
        <f t="shared" si="0"/>
        <v>1346.9100000000003</v>
      </c>
      <c r="M14" s="1"/>
      <c r="O14" s="3"/>
      <c r="P14" s="5"/>
      <c r="Q14" s="3">
        <v>45395</v>
      </c>
      <c r="R14" s="5">
        <v>500</v>
      </c>
      <c r="S14" s="1">
        <v>0</v>
      </c>
      <c r="T14" s="1">
        <f t="shared" si="1"/>
        <v>500</v>
      </c>
      <c r="W14" s="3"/>
      <c r="X14" s="7"/>
      <c r="Y14" s="1"/>
      <c r="AC14" s="3">
        <v>45395</v>
      </c>
      <c r="AD14" s="1">
        <v>37.03</v>
      </c>
      <c r="AE14" s="2">
        <f t="shared" si="2"/>
        <v>191.56</v>
      </c>
      <c r="AH14" s="3">
        <v>45395</v>
      </c>
      <c r="AI14" s="1">
        <v>116.38</v>
      </c>
      <c r="AJ14" s="1"/>
      <c r="AK14" s="2">
        <f>AJ2/13</f>
        <v>125.36769230769232</v>
      </c>
      <c r="AM14" s="1"/>
      <c r="AP14" s="7"/>
      <c r="AR14" s="9">
        <v>45401</v>
      </c>
      <c r="AS14" t="s">
        <v>84</v>
      </c>
      <c r="AT14" s="1">
        <v>85.42</v>
      </c>
    </row>
    <row r="15" spans="1:61" x14ac:dyDescent="0.25">
      <c r="E15" s="1"/>
      <c r="F15" s="4">
        <v>45396</v>
      </c>
      <c r="G15" s="1">
        <v>2424.6</v>
      </c>
      <c r="H15" s="1">
        <v>107.41</v>
      </c>
      <c r="I15" s="1">
        <f t="shared" si="0"/>
        <v>1239.5000000000002</v>
      </c>
      <c r="M15" s="1"/>
      <c r="O15" s="3"/>
      <c r="P15" s="5"/>
      <c r="Q15" s="3">
        <v>45396</v>
      </c>
      <c r="R15" s="5">
        <v>500</v>
      </c>
      <c r="S15" s="1">
        <v>0</v>
      </c>
      <c r="T15" s="1">
        <f t="shared" si="1"/>
        <v>500</v>
      </c>
      <c r="W15" s="3"/>
      <c r="X15" s="7"/>
      <c r="Y15" s="1"/>
      <c r="AC15" s="3">
        <v>45396</v>
      </c>
      <c r="AD15" s="1">
        <v>0</v>
      </c>
      <c r="AE15" s="2">
        <f t="shared" si="2"/>
        <v>191.56</v>
      </c>
      <c r="AH15" s="3">
        <v>45396</v>
      </c>
      <c r="AI15" s="1">
        <v>107.41</v>
      </c>
      <c r="AJ15" s="1"/>
      <c r="AK15" s="2">
        <f>AJ2/14</f>
        <v>116.41285714285716</v>
      </c>
      <c r="AM15" s="1"/>
      <c r="AP15" s="7"/>
      <c r="AR15" s="9">
        <v>45402</v>
      </c>
      <c r="AS15" t="s">
        <v>36</v>
      </c>
      <c r="AT15" s="1">
        <v>18.489999999999998</v>
      </c>
      <c r="AV15" s="1">
        <v>11.25</v>
      </c>
    </row>
    <row r="16" spans="1:61" x14ac:dyDescent="0.25">
      <c r="E16" s="1"/>
      <c r="F16" s="4">
        <v>45397</v>
      </c>
      <c r="G16" s="1">
        <v>2424.6</v>
      </c>
      <c r="H16" s="1">
        <v>0</v>
      </c>
      <c r="I16" s="1">
        <f t="shared" si="0"/>
        <v>1239.5000000000002</v>
      </c>
      <c r="M16" s="1"/>
      <c r="O16" s="3"/>
      <c r="P16" s="5"/>
      <c r="Q16" s="3">
        <v>45397</v>
      </c>
      <c r="R16" s="5">
        <v>500</v>
      </c>
      <c r="S16" s="1">
        <v>0</v>
      </c>
      <c r="T16" s="1">
        <f t="shared" si="1"/>
        <v>500</v>
      </c>
      <c r="W16" s="3"/>
      <c r="X16" s="7"/>
      <c r="Y16" s="1"/>
      <c r="AC16" s="3">
        <v>45397</v>
      </c>
      <c r="AD16" s="1">
        <v>27.79</v>
      </c>
      <c r="AE16" s="2">
        <f t="shared" si="2"/>
        <v>219.35</v>
      </c>
      <c r="AH16" s="3">
        <v>45397</v>
      </c>
      <c r="AI16" s="1">
        <v>0</v>
      </c>
      <c r="AJ16" s="1"/>
      <c r="AK16" s="2">
        <f>AJ2/15</f>
        <v>108.65200000000002</v>
      </c>
      <c r="AM16" s="1"/>
      <c r="AP16" s="7"/>
      <c r="AR16" s="9">
        <v>45403</v>
      </c>
      <c r="AS16" t="s">
        <v>36</v>
      </c>
      <c r="AT16" s="1">
        <v>17.16</v>
      </c>
      <c r="AV16" s="1">
        <v>11.25</v>
      </c>
    </row>
    <row r="17" spans="1:48" x14ac:dyDescent="0.25">
      <c r="E17" s="1"/>
      <c r="F17" s="4">
        <v>45398</v>
      </c>
      <c r="G17" s="1">
        <v>2424.6</v>
      </c>
      <c r="H17" s="1">
        <v>0</v>
      </c>
      <c r="I17" s="1">
        <f t="shared" si="0"/>
        <v>1239.5000000000002</v>
      </c>
      <c r="M17" s="1"/>
      <c r="O17" s="3"/>
      <c r="P17" s="5"/>
      <c r="Q17" s="3">
        <v>45398</v>
      </c>
      <c r="R17" s="5">
        <v>500</v>
      </c>
      <c r="S17" s="1">
        <v>0</v>
      </c>
      <c r="T17" s="1">
        <f t="shared" si="1"/>
        <v>500</v>
      </c>
      <c r="W17" s="3"/>
      <c r="X17" s="7"/>
      <c r="Y17" s="1"/>
      <c r="AC17" s="3">
        <v>45398</v>
      </c>
      <c r="AD17" s="1">
        <v>0</v>
      </c>
      <c r="AE17" s="2">
        <f t="shared" si="2"/>
        <v>219.35</v>
      </c>
      <c r="AH17" s="3">
        <v>45398</v>
      </c>
      <c r="AI17" s="1">
        <v>0</v>
      </c>
      <c r="AJ17" s="1"/>
      <c r="AK17" s="2">
        <f>AJ2/16</f>
        <v>101.86125000000001</v>
      </c>
      <c r="AM17" s="1"/>
      <c r="AP17" s="7"/>
      <c r="AR17" s="9">
        <v>45404</v>
      </c>
      <c r="AS17" t="s">
        <v>40</v>
      </c>
      <c r="AT17" s="1">
        <v>50</v>
      </c>
    </row>
    <row r="18" spans="1:48" x14ac:dyDescent="0.25">
      <c r="E18" s="1"/>
      <c r="F18" s="4">
        <v>45399</v>
      </c>
      <c r="G18" s="1">
        <v>2424.6</v>
      </c>
      <c r="H18" s="1">
        <v>0</v>
      </c>
      <c r="I18" s="1">
        <f t="shared" si="0"/>
        <v>1239.5000000000002</v>
      </c>
      <c r="M18" s="1"/>
      <c r="O18" s="3"/>
      <c r="P18" s="5"/>
      <c r="Q18" s="3">
        <v>45399</v>
      </c>
      <c r="R18" s="5">
        <v>500</v>
      </c>
      <c r="S18" s="1">
        <v>0</v>
      </c>
      <c r="T18" s="1">
        <f t="shared" si="1"/>
        <v>500</v>
      </c>
      <c r="W18" s="3"/>
      <c r="X18" s="7"/>
      <c r="Y18" s="1"/>
      <c r="AC18" s="3">
        <v>45399</v>
      </c>
      <c r="AD18" s="1">
        <v>0</v>
      </c>
      <c r="AE18" s="2">
        <f t="shared" si="2"/>
        <v>219.35</v>
      </c>
      <c r="AH18" s="3">
        <v>45399</v>
      </c>
      <c r="AI18" s="1">
        <v>0</v>
      </c>
      <c r="AJ18" s="1"/>
      <c r="AK18" s="2">
        <f>AJ2/17</f>
        <v>95.869411764705887</v>
      </c>
      <c r="AM18" s="1"/>
      <c r="AP18" s="7"/>
      <c r="AR18" s="9">
        <v>45405</v>
      </c>
      <c r="AS18" t="s">
        <v>34</v>
      </c>
      <c r="AT18" s="1">
        <v>11.25</v>
      </c>
      <c r="AV18" s="1">
        <v>11.25</v>
      </c>
    </row>
    <row r="19" spans="1:48" x14ac:dyDescent="0.25">
      <c r="A19" s="1"/>
      <c r="B19" s="1"/>
      <c r="E19" s="1"/>
      <c r="F19" s="4">
        <v>45400</v>
      </c>
      <c r="G19" s="1">
        <v>2424.6</v>
      </c>
      <c r="H19" s="1">
        <v>0</v>
      </c>
      <c r="I19" s="1">
        <f t="shared" si="0"/>
        <v>1239.5000000000002</v>
      </c>
      <c r="M19" s="1"/>
      <c r="O19" s="3"/>
      <c r="P19" s="5"/>
      <c r="Q19" s="3">
        <v>45400</v>
      </c>
      <c r="R19" s="5">
        <v>500</v>
      </c>
      <c r="S19" s="1">
        <v>0</v>
      </c>
      <c r="T19" s="1">
        <f t="shared" si="1"/>
        <v>500</v>
      </c>
      <c r="W19" s="3"/>
      <c r="X19" s="7"/>
      <c r="Y19" s="1"/>
      <c r="AC19" s="3">
        <v>45400</v>
      </c>
      <c r="AD19" s="1">
        <v>0</v>
      </c>
      <c r="AE19" s="2">
        <f t="shared" si="2"/>
        <v>219.35</v>
      </c>
      <c r="AH19" s="3">
        <v>45400</v>
      </c>
      <c r="AI19" s="1">
        <v>0</v>
      </c>
      <c r="AJ19" s="1"/>
      <c r="AK19" s="2">
        <f>AJ2/18</f>
        <v>90.543333333333351</v>
      </c>
      <c r="AM19" s="1"/>
      <c r="AP19" s="7"/>
      <c r="AR19" s="9">
        <v>45406</v>
      </c>
      <c r="AS19" t="s">
        <v>34</v>
      </c>
      <c r="AT19" s="1">
        <v>11.25</v>
      </c>
      <c r="AV19" s="1">
        <v>11.25</v>
      </c>
    </row>
    <row r="20" spans="1:48" x14ac:dyDescent="0.25">
      <c r="A20" s="1"/>
      <c r="B20" s="1"/>
      <c r="E20" s="1"/>
      <c r="F20" s="4">
        <v>45401</v>
      </c>
      <c r="G20" s="1">
        <v>2424.6</v>
      </c>
      <c r="H20" s="1">
        <v>30</v>
      </c>
      <c r="I20" s="1">
        <f t="shared" si="0"/>
        <v>1209.5000000000002</v>
      </c>
      <c r="M20" s="1"/>
      <c r="O20" s="3"/>
      <c r="P20" s="5"/>
      <c r="Q20" s="3">
        <v>45401</v>
      </c>
      <c r="R20" s="5">
        <v>500</v>
      </c>
      <c r="S20" s="1">
        <v>0</v>
      </c>
      <c r="T20" s="1">
        <f t="shared" si="1"/>
        <v>500</v>
      </c>
      <c r="W20" s="8"/>
      <c r="X20" s="7"/>
      <c r="Y20" s="1"/>
      <c r="AC20" s="3">
        <v>45401</v>
      </c>
      <c r="AD20" s="1">
        <v>0</v>
      </c>
      <c r="AE20" s="2">
        <f t="shared" si="2"/>
        <v>219.35</v>
      </c>
      <c r="AH20" s="3">
        <v>45401</v>
      </c>
      <c r="AI20" s="1">
        <v>30</v>
      </c>
      <c r="AJ20" s="1"/>
      <c r="AK20" s="2">
        <f>AJ2/19</f>
        <v>85.777894736842114</v>
      </c>
      <c r="AM20" s="1"/>
      <c r="AP20" s="7"/>
      <c r="AR20" s="9">
        <v>45408</v>
      </c>
      <c r="AS20" t="s">
        <v>34</v>
      </c>
      <c r="AT20" s="1">
        <v>11.25</v>
      </c>
      <c r="AV20" s="1">
        <v>11.25</v>
      </c>
    </row>
    <row r="21" spans="1:48" x14ac:dyDescent="0.25">
      <c r="A21" s="1"/>
      <c r="B21" s="1"/>
      <c r="E21" s="1"/>
      <c r="F21" s="4">
        <v>45402</v>
      </c>
      <c r="G21" s="1">
        <v>2424.6</v>
      </c>
      <c r="H21" s="1">
        <v>32.479999999999997</v>
      </c>
      <c r="I21" s="1">
        <f t="shared" si="0"/>
        <v>1177.0200000000002</v>
      </c>
      <c r="M21" s="1"/>
      <c r="O21" s="3"/>
      <c r="P21" s="5"/>
      <c r="Q21" s="3">
        <v>45402</v>
      </c>
      <c r="R21" s="5">
        <v>500</v>
      </c>
      <c r="S21" s="1">
        <v>0</v>
      </c>
      <c r="T21" s="1">
        <f t="shared" si="1"/>
        <v>500</v>
      </c>
      <c r="W21" s="8"/>
      <c r="X21" s="7"/>
      <c r="Y21" s="1"/>
      <c r="AC21" s="3">
        <v>45402</v>
      </c>
      <c r="AD21" s="1">
        <v>0</v>
      </c>
      <c r="AE21" s="2">
        <f t="shared" si="2"/>
        <v>219.35</v>
      </c>
      <c r="AH21" s="3">
        <v>45402</v>
      </c>
      <c r="AI21" s="1">
        <v>32.479999999999997</v>
      </c>
      <c r="AJ21" s="1"/>
      <c r="AK21" s="2">
        <f>AJ2/20</f>
        <v>81.489000000000004</v>
      </c>
      <c r="AM21" s="1"/>
      <c r="AP21" s="7"/>
      <c r="AR21" s="9">
        <v>45409</v>
      </c>
      <c r="AS21" t="s">
        <v>27</v>
      </c>
      <c r="AT21" s="1">
        <v>35</v>
      </c>
    </row>
    <row r="22" spans="1:48" x14ac:dyDescent="0.25">
      <c r="A22" s="1"/>
      <c r="B22" s="1"/>
      <c r="E22" s="1"/>
      <c r="F22" s="4">
        <v>45403</v>
      </c>
      <c r="G22" s="1">
        <v>2424.6</v>
      </c>
      <c r="H22" s="1">
        <v>108.49</v>
      </c>
      <c r="I22" s="1">
        <f t="shared" si="0"/>
        <v>1068.5300000000002</v>
      </c>
      <c r="M22" s="1"/>
      <c r="O22" s="3"/>
      <c r="P22" s="5"/>
      <c r="Q22" s="3">
        <v>45403</v>
      </c>
      <c r="R22" s="5">
        <v>500</v>
      </c>
      <c r="S22" s="1">
        <v>0</v>
      </c>
      <c r="T22" s="1">
        <f t="shared" si="1"/>
        <v>500</v>
      </c>
      <c r="W22" s="8"/>
      <c r="X22" s="7"/>
      <c r="Y22" s="1"/>
      <c r="AC22" s="3">
        <v>45403</v>
      </c>
      <c r="AD22" s="1">
        <v>0</v>
      </c>
      <c r="AE22" s="2">
        <f t="shared" si="2"/>
        <v>219.35</v>
      </c>
      <c r="AH22" s="3">
        <v>45403</v>
      </c>
      <c r="AI22" s="1">
        <v>108.49</v>
      </c>
      <c r="AJ22" s="1"/>
      <c r="AK22" s="2">
        <f>AJ2/21</f>
        <v>77.608571428571437</v>
      </c>
      <c r="AM22" s="1"/>
      <c r="AP22" s="7"/>
      <c r="AR22" s="9">
        <v>45409</v>
      </c>
      <c r="AS22" t="s">
        <v>85</v>
      </c>
      <c r="AT22" s="1">
        <v>30</v>
      </c>
    </row>
    <row r="23" spans="1:48" x14ac:dyDescent="0.25">
      <c r="A23" s="1"/>
      <c r="B23" s="1"/>
      <c r="E23" s="1"/>
      <c r="F23" s="4">
        <v>45404</v>
      </c>
      <c r="G23" s="1">
        <v>2424.6</v>
      </c>
      <c r="H23" s="1">
        <v>0</v>
      </c>
      <c r="I23" s="1">
        <f t="shared" si="0"/>
        <v>1068.5300000000002</v>
      </c>
      <c r="M23" s="1"/>
      <c r="O23" s="3"/>
      <c r="P23" s="5"/>
      <c r="Q23" s="3">
        <v>45404</v>
      </c>
      <c r="R23" s="5">
        <v>500</v>
      </c>
      <c r="S23" s="1"/>
      <c r="T23" s="1">
        <f t="shared" si="1"/>
        <v>500</v>
      </c>
      <c r="W23" s="8"/>
      <c r="X23" s="7"/>
      <c r="Y23" s="1"/>
      <c r="AC23" s="3">
        <v>45404</v>
      </c>
      <c r="AD23" s="1">
        <v>39.659999999999997</v>
      </c>
      <c r="AE23" s="2">
        <f t="shared" si="2"/>
        <v>259.01</v>
      </c>
      <c r="AH23" s="3">
        <v>45404</v>
      </c>
      <c r="AI23" s="1">
        <v>0</v>
      </c>
      <c r="AJ23" s="1"/>
      <c r="AK23" s="2">
        <f>AJ2/22</f>
        <v>74.080909090909103</v>
      </c>
      <c r="AM23" s="1"/>
      <c r="AP23" s="7"/>
      <c r="AR23" s="9">
        <v>45409</v>
      </c>
      <c r="AS23" t="s">
        <v>33</v>
      </c>
      <c r="AT23" s="1">
        <v>13.75</v>
      </c>
      <c r="AV23" s="1">
        <v>11.25</v>
      </c>
    </row>
    <row r="24" spans="1:48" x14ac:dyDescent="0.25">
      <c r="A24" s="1"/>
      <c r="B24" s="1"/>
      <c r="E24" s="1"/>
      <c r="F24" s="4">
        <v>45405</v>
      </c>
      <c r="G24" s="1">
        <v>2424.6</v>
      </c>
      <c r="H24" s="1">
        <v>73.400000000000006</v>
      </c>
      <c r="I24" s="1">
        <f t="shared" si="0"/>
        <v>995.13000000000022</v>
      </c>
      <c r="M24" s="1"/>
      <c r="O24" s="3"/>
      <c r="P24" s="5"/>
      <c r="Q24" s="3">
        <v>45405</v>
      </c>
      <c r="R24" s="5">
        <v>500</v>
      </c>
      <c r="S24" s="1"/>
      <c r="T24" s="1">
        <f t="shared" si="1"/>
        <v>500</v>
      </c>
      <c r="W24" s="8"/>
      <c r="X24" s="7"/>
      <c r="Y24" s="1"/>
      <c r="AC24" s="3">
        <v>45405</v>
      </c>
      <c r="AD24" s="1">
        <v>0</v>
      </c>
      <c r="AE24" s="2">
        <f t="shared" si="2"/>
        <v>259.01</v>
      </c>
      <c r="AH24" s="3">
        <v>45405</v>
      </c>
      <c r="AI24" s="1">
        <v>73.400000000000006</v>
      </c>
      <c r="AJ24" s="1"/>
      <c r="AK24" s="2">
        <f>AJ2/23</f>
        <v>70.860000000000014</v>
      </c>
      <c r="AM24" s="1"/>
      <c r="AP24" s="7"/>
      <c r="AR24" s="9">
        <v>45410</v>
      </c>
      <c r="AS24" t="s">
        <v>34</v>
      </c>
      <c r="AT24" s="1">
        <v>11.25</v>
      </c>
      <c r="AV24" s="1">
        <v>11.25</v>
      </c>
    </row>
    <row r="25" spans="1:48" x14ac:dyDescent="0.25">
      <c r="A25" s="1"/>
      <c r="B25" s="1"/>
      <c r="E25" s="1"/>
      <c r="F25" s="4">
        <v>45406</v>
      </c>
      <c r="G25" s="1">
        <v>2424.6</v>
      </c>
      <c r="H25" s="1">
        <v>87.85</v>
      </c>
      <c r="I25" s="1">
        <f t="shared" si="0"/>
        <v>907.2800000000002</v>
      </c>
      <c r="M25" s="1"/>
      <c r="O25" s="3"/>
      <c r="P25" s="5"/>
      <c r="Q25" s="3">
        <v>45406</v>
      </c>
      <c r="R25" s="5">
        <v>500</v>
      </c>
      <c r="S25" s="1"/>
      <c r="T25" s="1">
        <f t="shared" si="1"/>
        <v>500</v>
      </c>
      <c r="W25" s="8"/>
      <c r="X25" s="7"/>
      <c r="Y25" s="1"/>
      <c r="AC25" s="3">
        <v>45406</v>
      </c>
      <c r="AD25" s="1">
        <v>0</v>
      </c>
      <c r="AE25" s="2">
        <f t="shared" si="2"/>
        <v>259.01</v>
      </c>
      <c r="AH25" s="3">
        <v>45406</v>
      </c>
      <c r="AI25" s="1">
        <v>87.85</v>
      </c>
      <c r="AJ25" s="1"/>
      <c r="AK25" s="2">
        <f>AJ2/24</f>
        <v>67.907500000000013</v>
      </c>
      <c r="AM25" s="1"/>
      <c r="AP25" s="7"/>
      <c r="AR25" s="9">
        <v>45411</v>
      </c>
      <c r="AS25" t="s">
        <v>86</v>
      </c>
      <c r="AT25" s="1">
        <v>8</v>
      </c>
    </row>
    <row r="26" spans="1:48" x14ac:dyDescent="0.25">
      <c r="A26" s="1"/>
      <c r="B26" s="1"/>
      <c r="E26" s="1"/>
      <c r="F26" s="4">
        <v>45407</v>
      </c>
      <c r="G26" s="1">
        <v>2424.6</v>
      </c>
      <c r="H26" s="1">
        <v>75.39</v>
      </c>
      <c r="I26" s="1">
        <f t="shared" si="0"/>
        <v>831.89000000000021</v>
      </c>
      <c r="M26" s="1"/>
      <c r="O26" s="3"/>
      <c r="P26" s="5"/>
      <c r="Q26" s="3">
        <v>45407</v>
      </c>
      <c r="R26" s="5">
        <v>500</v>
      </c>
      <c r="S26" s="1"/>
      <c r="T26" s="1">
        <f t="shared" si="1"/>
        <v>500</v>
      </c>
      <c r="W26" s="8"/>
      <c r="X26" s="7"/>
      <c r="Y26" s="1"/>
      <c r="AC26" s="3">
        <v>45407</v>
      </c>
      <c r="AD26" s="1">
        <v>43.87</v>
      </c>
      <c r="AE26" s="2">
        <f t="shared" si="2"/>
        <v>302.88</v>
      </c>
      <c r="AH26" s="3">
        <v>45407</v>
      </c>
      <c r="AI26" s="1">
        <v>75.39</v>
      </c>
      <c r="AJ26" s="1"/>
      <c r="AK26" s="2">
        <f>AJ2/25</f>
        <v>65.191200000000009</v>
      </c>
      <c r="AM26" s="1"/>
      <c r="AP26" s="7"/>
      <c r="AR26" s="9">
        <v>45412</v>
      </c>
      <c r="AS26" t="s">
        <v>34</v>
      </c>
      <c r="AT26" s="1">
        <v>11.25</v>
      </c>
      <c r="AV26" s="1">
        <v>11.25</v>
      </c>
    </row>
    <row r="27" spans="1:48" x14ac:dyDescent="0.25">
      <c r="A27" s="1"/>
      <c r="B27" s="1"/>
      <c r="E27" s="1"/>
      <c r="F27" s="4">
        <v>45408</v>
      </c>
      <c r="G27" s="1">
        <v>2424.6</v>
      </c>
      <c r="H27" s="1">
        <v>103.39</v>
      </c>
      <c r="I27" s="1">
        <f t="shared" si="0"/>
        <v>728.50000000000023</v>
      </c>
      <c r="M27" s="1"/>
      <c r="O27" s="3"/>
      <c r="P27" s="5"/>
      <c r="Q27" s="3">
        <v>45408</v>
      </c>
      <c r="R27" s="5">
        <v>500</v>
      </c>
      <c r="S27" s="1"/>
      <c r="T27" s="1">
        <f t="shared" si="1"/>
        <v>500</v>
      </c>
      <c r="W27" s="8"/>
      <c r="X27" s="7"/>
      <c r="Y27" s="1"/>
      <c r="AC27" s="3">
        <v>45408</v>
      </c>
      <c r="AD27" s="1">
        <v>0</v>
      </c>
      <c r="AE27" s="2">
        <f t="shared" si="2"/>
        <v>302.88</v>
      </c>
      <c r="AH27" s="3">
        <v>45408</v>
      </c>
      <c r="AI27" s="1">
        <v>103.39</v>
      </c>
      <c r="AJ27" s="1"/>
      <c r="AK27" s="2">
        <f>AJ2/26</f>
        <v>62.683846153846162</v>
      </c>
      <c r="AM27" s="1"/>
      <c r="AP27" s="7"/>
      <c r="AR27" s="9">
        <v>45412</v>
      </c>
      <c r="AS27" t="s">
        <v>56</v>
      </c>
      <c r="AT27" s="1">
        <v>55.9</v>
      </c>
    </row>
    <row r="28" spans="1:48" x14ac:dyDescent="0.25">
      <c r="A28" s="1"/>
      <c r="B28" s="1"/>
      <c r="E28" s="1"/>
      <c r="F28" s="4">
        <v>45409</v>
      </c>
      <c r="G28" s="1">
        <v>2424.6</v>
      </c>
      <c r="H28" s="1">
        <v>101.36</v>
      </c>
      <c r="I28" s="1">
        <f t="shared" si="0"/>
        <v>627.14000000000021</v>
      </c>
      <c r="M28" s="1"/>
      <c r="O28" s="3"/>
      <c r="P28" s="5"/>
      <c r="Q28" s="3">
        <v>45409</v>
      </c>
      <c r="R28" s="5">
        <v>500</v>
      </c>
      <c r="S28" s="1"/>
      <c r="T28" s="1">
        <f t="shared" si="1"/>
        <v>500</v>
      </c>
      <c r="W28" s="8"/>
      <c r="X28" s="7"/>
      <c r="Y28" s="1"/>
      <c r="AC28" s="3">
        <v>45409</v>
      </c>
      <c r="AD28" s="1">
        <v>31.67</v>
      </c>
      <c r="AE28" s="2">
        <f t="shared" si="2"/>
        <v>334.55</v>
      </c>
      <c r="AH28" s="3">
        <v>45409</v>
      </c>
      <c r="AI28" s="1">
        <v>101.36</v>
      </c>
      <c r="AJ28" s="1"/>
      <c r="AK28" s="2">
        <f>AJ2/27</f>
        <v>60.362222222222229</v>
      </c>
      <c r="AM28" s="1"/>
      <c r="AP28" s="7"/>
      <c r="AR28" s="9"/>
      <c r="AT28" s="1"/>
    </row>
    <row r="29" spans="1:48" x14ac:dyDescent="0.25">
      <c r="A29" s="1"/>
      <c r="B29" s="1"/>
      <c r="E29" s="1"/>
      <c r="F29" s="4">
        <v>45410</v>
      </c>
      <c r="G29" s="1">
        <v>2424.6</v>
      </c>
      <c r="H29" s="1">
        <v>0</v>
      </c>
      <c r="I29" s="1">
        <f t="shared" si="0"/>
        <v>627.14000000000021</v>
      </c>
      <c r="M29" s="1"/>
      <c r="O29" s="3"/>
      <c r="P29" s="5"/>
      <c r="Q29" s="3">
        <v>45410</v>
      </c>
      <c r="R29" s="5">
        <v>500</v>
      </c>
      <c r="S29" s="1"/>
      <c r="T29" s="1">
        <f t="shared" si="1"/>
        <v>500</v>
      </c>
      <c r="W29" s="3"/>
      <c r="X29" s="7"/>
      <c r="Y29" s="1"/>
      <c r="AC29" s="3">
        <v>45410</v>
      </c>
      <c r="AD29" s="1">
        <v>0</v>
      </c>
      <c r="AE29" s="2">
        <f t="shared" si="2"/>
        <v>334.55</v>
      </c>
      <c r="AH29" s="3">
        <v>45410</v>
      </c>
      <c r="AI29" s="1">
        <v>0</v>
      </c>
      <c r="AJ29" s="1"/>
      <c r="AK29" s="2">
        <f>AJ2/28</f>
        <v>58.206428571428582</v>
      </c>
      <c r="AM29" s="1"/>
      <c r="AP29" s="7"/>
      <c r="AR29" s="9"/>
      <c r="AT29" s="1"/>
    </row>
    <row r="30" spans="1:48" x14ac:dyDescent="0.25">
      <c r="A30" s="1"/>
      <c r="B30" s="1"/>
      <c r="E30" s="1"/>
      <c r="F30" s="4">
        <v>45411</v>
      </c>
      <c r="G30" s="1">
        <v>2424.6</v>
      </c>
      <c r="H30" s="1">
        <v>75.47</v>
      </c>
      <c r="I30" s="1">
        <f t="shared" si="0"/>
        <v>551.67000000000019</v>
      </c>
      <c r="M30" s="1"/>
      <c r="O30" s="3"/>
      <c r="P30" s="5"/>
      <c r="Q30" s="3">
        <v>45411</v>
      </c>
      <c r="R30" s="5">
        <v>500</v>
      </c>
      <c r="S30" s="1"/>
      <c r="T30" s="1">
        <f t="shared" si="1"/>
        <v>500</v>
      </c>
      <c r="W30" s="3"/>
      <c r="X30" s="7"/>
      <c r="Y30" s="1"/>
      <c r="AC30" s="3">
        <v>45411</v>
      </c>
      <c r="AD30" s="1">
        <v>0</v>
      </c>
      <c r="AE30" s="2">
        <f t="shared" si="2"/>
        <v>334.55</v>
      </c>
      <c r="AH30" s="3">
        <v>45411</v>
      </c>
      <c r="AI30" s="1">
        <v>75.47</v>
      </c>
      <c r="AJ30" s="1"/>
      <c r="AK30" s="2">
        <f>AJ2/29</f>
        <v>56.199310344827595</v>
      </c>
      <c r="AM30" s="1"/>
      <c r="AP30" s="7"/>
      <c r="AR30" s="9"/>
      <c r="AT30" s="1"/>
    </row>
    <row r="31" spans="1:48" x14ac:dyDescent="0.25">
      <c r="A31" s="1"/>
      <c r="B31" s="1"/>
      <c r="E31" s="1"/>
      <c r="F31" s="4">
        <v>45412</v>
      </c>
      <c r="G31" s="1">
        <v>2424.6</v>
      </c>
      <c r="H31" s="1">
        <v>90.97</v>
      </c>
      <c r="I31" s="1">
        <f t="shared" si="0"/>
        <v>460.70000000000016</v>
      </c>
      <c r="M31" s="1"/>
      <c r="O31" s="3"/>
      <c r="P31" s="5"/>
      <c r="Q31" s="3">
        <v>45412</v>
      </c>
      <c r="R31" s="5">
        <v>500</v>
      </c>
      <c r="S31" s="1"/>
      <c r="T31" s="1">
        <f t="shared" si="1"/>
        <v>500</v>
      </c>
      <c r="W31" s="3"/>
      <c r="X31" s="7"/>
      <c r="Y31" s="1"/>
      <c r="AC31" s="3">
        <v>45412</v>
      </c>
      <c r="AD31" s="1">
        <v>30</v>
      </c>
      <c r="AE31" s="2">
        <f t="shared" si="2"/>
        <v>364.55</v>
      </c>
      <c r="AH31" s="3">
        <v>45412</v>
      </c>
      <c r="AI31" s="1">
        <v>90.97</v>
      </c>
      <c r="AJ31" s="1"/>
      <c r="AK31" s="2">
        <f>AJ2/30</f>
        <v>54.326000000000008</v>
      </c>
      <c r="AM31" s="1"/>
      <c r="AP31" s="7"/>
      <c r="AR31" s="9"/>
      <c r="AT31" s="1"/>
    </row>
    <row r="32" spans="1:48" x14ac:dyDescent="0.25">
      <c r="A32" s="1"/>
      <c r="B32" s="1"/>
      <c r="E32" s="1"/>
      <c r="F32" s="6"/>
      <c r="G32" s="1"/>
      <c r="H32" s="1"/>
      <c r="I32" s="1"/>
      <c r="M32" s="1"/>
      <c r="O32" s="3"/>
      <c r="P32" s="5"/>
      <c r="Q32" s="3"/>
      <c r="R32" s="5"/>
      <c r="S32" s="1"/>
      <c r="T32" s="1"/>
      <c r="W32" s="3"/>
      <c r="X32" s="7"/>
      <c r="Y32" s="1"/>
      <c r="AC32" s="3"/>
      <c r="AD32" s="1"/>
      <c r="AH32" s="3"/>
      <c r="AI32" s="1"/>
      <c r="AJ32" s="1"/>
      <c r="AM32" s="1"/>
      <c r="AP32" s="7"/>
      <c r="AR32" s="9"/>
      <c r="AT32" s="1"/>
    </row>
    <row r="33" spans="1:46" x14ac:dyDescent="0.25">
      <c r="A33" s="1"/>
      <c r="B33" s="1"/>
      <c r="E33" s="1"/>
      <c r="F33" s="6"/>
      <c r="G33" s="1"/>
      <c r="H33" s="1"/>
      <c r="I33" s="1"/>
      <c r="M33" s="1"/>
      <c r="O33" s="3"/>
      <c r="P33" s="5"/>
      <c r="R33" s="5"/>
      <c r="S33" s="1"/>
      <c r="T33" s="1"/>
      <c r="W33" s="3"/>
      <c r="X33" s="7"/>
      <c r="Y33" s="1"/>
      <c r="AD33" s="1"/>
      <c r="AH33" s="3"/>
      <c r="AI33" s="1"/>
      <c r="AJ33" s="1"/>
      <c r="AM33" s="1"/>
      <c r="AP33" s="7"/>
      <c r="AR33" s="9"/>
      <c r="AT33" s="1"/>
    </row>
    <row r="34" spans="1:46" x14ac:dyDescent="0.25">
      <c r="A34" s="1"/>
      <c r="B34" s="1"/>
      <c r="E34" s="1"/>
      <c r="F34" s="6"/>
      <c r="G34" s="1"/>
      <c r="H34" s="1"/>
      <c r="I34" s="1"/>
      <c r="M34" s="1"/>
      <c r="O34" s="3"/>
      <c r="P34" s="5"/>
      <c r="R34" s="5"/>
      <c r="S34" s="1"/>
      <c r="T34" s="1"/>
      <c r="W34" s="3"/>
      <c r="X34" s="7"/>
      <c r="Y34" s="1"/>
      <c r="AD34" s="1"/>
      <c r="AH34" s="3"/>
      <c r="AI34" s="1"/>
      <c r="AJ34" s="1"/>
      <c r="AM34" s="1"/>
      <c r="AP34" s="7"/>
      <c r="AR34" s="9"/>
      <c r="AT34" s="1"/>
    </row>
    <row r="35" spans="1:46" x14ac:dyDescent="0.25">
      <c r="A35" s="1"/>
      <c r="B35" s="1"/>
      <c r="E35" s="1"/>
      <c r="F35" s="6"/>
      <c r="G35" s="1"/>
      <c r="H35" s="1"/>
      <c r="I35" s="1"/>
      <c r="M35" s="1"/>
      <c r="O35" s="3"/>
      <c r="P35" s="5"/>
      <c r="R35" s="5"/>
      <c r="S35" s="1"/>
      <c r="T35" s="1"/>
      <c r="W35" s="3"/>
      <c r="X35" s="7"/>
      <c r="Y35" s="1"/>
      <c r="AD35" s="1"/>
      <c r="AH35" s="3"/>
      <c r="AI35" s="1"/>
      <c r="AJ35" s="1"/>
      <c r="AM35" s="1"/>
      <c r="AP35" s="7"/>
      <c r="AR35" s="9"/>
      <c r="AT3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6DC6-EA35-4509-B223-8BD98B817DFC}">
  <dimension ref="A1:BM42"/>
  <sheetViews>
    <sheetView workbookViewId="0">
      <selection activeCell="BI1" sqref="BI1:BK10"/>
    </sheetView>
  </sheetViews>
  <sheetFormatPr defaultRowHeight="15" x14ac:dyDescent="0.25"/>
  <cols>
    <col min="1" max="1" width="20.28515625" bestFit="1" customWidth="1"/>
    <col min="2" max="3" width="12.140625" bestFit="1" customWidth="1"/>
    <col min="6" max="6" width="10.7109375" bestFit="1" customWidth="1"/>
    <col min="7" max="7" width="12.140625" bestFit="1" customWidth="1"/>
    <col min="8" max="8" width="10.5703125" bestFit="1" customWidth="1"/>
    <col min="9" max="9" width="18.42578125" bestFit="1" customWidth="1"/>
    <col min="10" max="10" width="16.28515625" bestFit="1" customWidth="1"/>
    <col min="11" max="11" width="10" bestFit="1" customWidth="1"/>
    <col min="12" max="12" width="20.28515625" bestFit="1" customWidth="1"/>
    <col min="13" max="13" width="12.140625" bestFit="1" customWidth="1"/>
    <col min="14" max="14" width="13.28515625" bestFit="1" customWidth="1"/>
    <col min="17" max="17" width="10.7109375" bestFit="1" customWidth="1"/>
    <col min="18" max="18" width="26" bestFit="1" customWidth="1"/>
    <col min="19" max="19" width="11.85546875" bestFit="1" customWidth="1"/>
    <col min="20" max="20" width="18" bestFit="1" customWidth="1"/>
    <col min="21" max="21" width="8" bestFit="1" customWidth="1"/>
    <col min="23" max="23" width="10.7109375" bestFit="1" customWidth="1"/>
    <col min="24" max="24" width="15.5703125" bestFit="1" customWidth="1"/>
    <col min="25" max="25" width="10.5703125" bestFit="1" customWidth="1"/>
    <col min="26" max="26" width="12.140625" bestFit="1" customWidth="1"/>
    <col min="29" max="29" width="10.7109375" bestFit="1" customWidth="1"/>
    <col min="30" max="30" width="15" bestFit="1" customWidth="1"/>
    <col min="31" max="31" width="10.5703125" bestFit="1" customWidth="1"/>
    <col min="34" max="34" width="10.7109375" bestFit="1" customWidth="1"/>
    <col min="35" max="37" width="12.140625" bestFit="1" customWidth="1"/>
    <col min="41" max="41" width="10.7109375" bestFit="1" customWidth="1"/>
    <col min="42" max="42" width="15.140625" bestFit="1" customWidth="1"/>
    <col min="44" max="44" width="10.7109375" bestFit="1" customWidth="1"/>
    <col min="45" max="45" width="20.5703125" bestFit="1" customWidth="1"/>
    <col min="46" max="47" width="10.5703125" bestFit="1" customWidth="1"/>
    <col min="48" max="48" width="9.5703125" bestFit="1" customWidth="1"/>
    <col min="49" max="49" width="17.7109375" bestFit="1" customWidth="1"/>
    <col min="53" max="53" width="20.85546875" bestFit="1" customWidth="1"/>
    <col min="54" max="54" width="12.140625" bestFit="1" customWidth="1"/>
    <col min="55" max="55" width="28.140625" bestFit="1" customWidth="1"/>
    <col min="57" max="57" width="20.85546875" bestFit="1" customWidth="1"/>
    <col min="58" max="58" width="12.140625" bestFit="1" customWidth="1"/>
    <col min="59" max="59" width="28.140625" bestFit="1" customWidth="1"/>
    <col min="61" max="61" width="20.85546875" bestFit="1" customWidth="1"/>
    <col min="62" max="62" width="12.140625" bestFit="1" customWidth="1"/>
    <col min="63" max="63" width="28.140625" bestFit="1" customWidth="1"/>
    <col min="64" max="64" width="10.140625" bestFit="1" customWidth="1"/>
  </cols>
  <sheetData>
    <row r="1" spans="1:65" x14ac:dyDescent="0.25">
      <c r="A1" s="22" t="s">
        <v>93</v>
      </c>
      <c r="B1" s="22" t="s">
        <v>91</v>
      </c>
      <c r="C1" s="10" t="s">
        <v>12</v>
      </c>
      <c r="E1" s="1"/>
      <c r="F1" s="17" t="s">
        <v>4</v>
      </c>
      <c r="G1" s="16" t="s">
        <v>7</v>
      </c>
      <c r="H1" s="16" t="s">
        <v>5</v>
      </c>
      <c r="I1" s="16" t="s">
        <v>6</v>
      </c>
      <c r="J1" s="16" t="s">
        <v>20</v>
      </c>
      <c r="K1" s="18"/>
      <c r="L1" s="16" t="s">
        <v>7</v>
      </c>
      <c r="M1" s="16" t="s">
        <v>10</v>
      </c>
      <c r="N1" s="16" t="s">
        <v>12</v>
      </c>
      <c r="O1" s="19"/>
      <c r="P1" s="16"/>
      <c r="Q1" s="20" t="s">
        <v>4</v>
      </c>
      <c r="R1" s="16" t="s">
        <v>13</v>
      </c>
      <c r="S1" s="16" t="s">
        <v>14</v>
      </c>
      <c r="T1" s="16" t="s">
        <v>15</v>
      </c>
      <c r="U1" s="16" t="s">
        <v>12</v>
      </c>
      <c r="V1" s="18"/>
      <c r="W1" s="20" t="s">
        <v>4</v>
      </c>
      <c r="X1" s="16" t="s">
        <v>17</v>
      </c>
      <c r="Y1" s="16" t="s">
        <v>10</v>
      </c>
      <c r="Z1" s="16" t="s">
        <v>18</v>
      </c>
      <c r="AA1" s="18"/>
      <c r="AB1" s="18"/>
      <c r="AC1" s="16" t="s">
        <v>4</v>
      </c>
      <c r="AD1" s="16" t="s">
        <v>19</v>
      </c>
      <c r="AE1" s="16" t="s">
        <v>12</v>
      </c>
      <c r="AF1" s="18"/>
      <c r="AG1" s="18"/>
      <c r="AH1" s="20" t="s">
        <v>4</v>
      </c>
      <c r="AI1" s="16" t="s">
        <v>5</v>
      </c>
      <c r="AJ1" s="16" t="s">
        <v>12</v>
      </c>
      <c r="AK1" s="16" t="s">
        <v>22</v>
      </c>
      <c r="AL1" s="18"/>
      <c r="AM1" s="21"/>
      <c r="AN1" s="18"/>
      <c r="AO1" s="20" t="s">
        <v>4</v>
      </c>
      <c r="AP1" s="16" t="s">
        <v>21</v>
      </c>
      <c r="AQ1" s="18"/>
      <c r="AR1" s="20" t="s">
        <v>4</v>
      </c>
      <c r="AS1" s="10" t="s">
        <v>23</v>
      </c>
      <c r="AT1" s="16" t="s">
        <v>10</v>
      </c>
      <c r="AU1" s="10" t="s">
        <v>12</v>
      </c>
      <c r="AV1" s="21"/>
      <c r="AW1" s="21" t="s">
        <v>44</v>
      </c>
      <c r="AX1" s="18"/>
      <c r="AY1" s="18"/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  <c r="BI1" s="10" t="s">
        <v>89</v>
      </c>
      <c r="BJ1" s="16" t="s">
        <v>91</v>
      </c>
      <c r="BK1" s="10" t="s">
        <v>92</v>
      </c>
    </row>
    <row r="2" spans="1:65" x14ac:dyDescent="0.25">
      <c r="A2" s="13" t="s">
        <v>75</v>
      </c>
      <c r="B2" s="13">
        <v>33.9</v>
      </c>
      <c r="C2" s="2">
        <f>SUM(B1:B50)</f>
        <v>2095.9</v>
      </c>
      <c r="E2" s="1"/>
      <c r="F2" s="4">
        <v>45413</v>
      </c>
      <c r="G2" s="1">
        <f>C2</f>
        <v>2095.9</v>
      </c>
      <c r="H2" s="1">
        <v>83.76</v>
      </c>
      <c r="I2" s="1">
        <f>G2-H2</f>
        <v>2012.14</v>
      </c>
      <c r="J2" s="2">
        <f>SUM(H2:H32)</f>
        <v>1874.7100000000003</v>
      </c>
      <c r="L2" t="s">
        <v>63</v>
      </c>
      <c r="M2" s="1">
        <f>653-326.5</f>
        <v>326.5</v>
      </c>
      <c r="N2" s="2">
        <f>SUM(M2:M75)</f>
        <v>9877</v>
      </c>
      <c r="O2" s="3"/>
      <c r="P2" s="5"/>
      <c r="Q2" s="3">
        <v>45413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45420</v>
      </c>
      <c r="X2" s="13" t="s">
        <v>75</v>
      </c>
      <c r="Y2" s="13">
        <v>33.9</v>
      </c>
      <c r="Z2" s="2">
        <f>SUM(Y2:Y30)</f>
        <v>1836.1100000000001</v>
      </c>
      <c r="AC2" s="3">
        <v>45413</v>
      </c>
      <c r="AD2" s="1">
        <v>30</v>
      </c>
      <c r="AE2" s="2">
        <f>AD2</f>
        <v>30</v>
      </c>
      <c r="AH2" s="3">
        <v>45413</v>
      </c>
      <c r="AI2" s="1">
        <v>83.76</v>
      </c>
      <c r="AJ2" s="1">
        <f>SUM(AI2:AI32)</f>
        <v>1874.7100000000003</v>
      </c>
      <c r="AK2" s="2">
        <f>AJ2*1</f>
        <v>1874.7100000000003</v>
      </c>
      <c r="AM2" s="1"/>
      <c r="AO2" s="3"/>
      <c r="AP2" s="7"/>
      <c r="AR2" s="9">
        <v>45413</v>
      </c>
      <c r="AS2" t="s">
        <v>34</v>
      </c>
      <c r="AT2" s="1">
        <v>11.25</v>
      </c>
      <c r="AU2" s="2">
        <f>SUM(AT2:AT82)</f>
        <v>446.41999999999996</v>
      </c>
      <c r="AV2" s="1"/>
      <c r="AW2" s="1">
        <f>SUM(AV1:AV36)</f>
        <v>0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I2" s="10" t="s">
        <v>90</v>
      </c>
      <c r="BJ2" s="1">
        <v>1874.71</v>
      </c>
      <c r="BK2" s="2">
        <f>BJ2/21</f>
        <v>89.271904761904764</v>
      </c>
    </row>
    <row r="3" spans="1:65" x14ac:dyDescent="0.25">
      <c r="A3" s="12" t="s">
        <v>41</v>
      </c>
      <c r="B3" s="12">
        <v>321</v>
      </c>
      <c r="E3" s="1"/>
      <c r="F3" s="4">
        <v>45414</v>
      </c>
      <c r="G3" s="1">
        <f>G2</f>
        <v>2095.9</v>
      </c>
      <c r="H3" s="1">
        <v>52.23</v>
      </c>
      <c r="I3" s="1">
        <f>I2-H3</f>
        <v>1959.91</v>
      </c>
      <c r="L3" t="s">
        <v>11</v>
      </c>
      <c r="M3" s="1">
        <v>7000</v>
      </c>
      <c r="O3" s="3"/>
      <c r="P3" s="5"/>
      <c r="Q3" s="3">
        <v>45414</v>
      </c>
      <c r="R3" s="5">
        <v>500</v>
      </c>
      <c r="S3" s="1">
        <v>0</v>
      </c>
      <c r="T3" s="1">
        <f>T2-S3</f>
        <v>500</v>
      </c>
      <c r="W3" s="3">
        <v>45420</v>
      </c>
      <c r="X3" s="12" t="s">
        <v>41</v>
      </c>
      <c r="Y3" s="12">
        <v>321</v>
      </c>
      <c r="AC3" s="3">
        <v>45414</v>
      </c>
      <c r="AD3" s="1">
        <v>0</v>
      </c>
      <c r="AE3" s="2">
        <f>AD3+AE2</f>
        <v>30</v>
      </c>
      <c r="AH3" s="3">
        <v>45414</v>
      </c>
      <c r="AI3" s="1">
        <v>52.23</v>
      </c>
      <c r="AJ3" s="1"/>
      <c r="AK3" s="2">
        <f>AJ2/2</f>
        <v>937.35500000000013</v>
      </c>
      <c r="AM3" s="1"/>
      <c r="AO3" s="3"/>
      <c r="AP3" s="5"/>
      <c r="AR3" s="9">
        <v>45415</v>
      </c>
      <c r="AS3" t="s">
        <v>94</v>
      </c>
      <c r="AT3" s="1">
        <v>16.25</v>
      </c>
      <c r="AV3" s="1"/>
      <c r="AW3" s="1"/>
      <c r="BA3" t="s">
        <v>58</v>
      </c>
      <c r="BB3" s="1">
        <v>198.64</v>
      </c>
      <c r="BE3" s="10" t="s">
        <v>48</v>
      </c>
      <c r="BF3" s="1">
        <v>0</v>
      </c>
      <c r="BI3" s="10" t="s">
        <v>48</v>
      </c>
      <c r="BJ3" s="1">
        <v>42</v>
      </c>
    </row>
    <row r="4" spans="1:65" x14ac:dyDescent="0.25">
      <c r="A4" s="12" t="s">
        <v>63</v>
      </c>
      <c r="B4" s="12">
        <v>326.5</v>
      </c>
      <c r="E4" s="1"/>
      <c r="F4" s="4">
        <v>45415</v>
      </c>
      <c r="G4" s="1">
        <f t="shared" ref="G4:G32" si="0">G3</f>
        <v>2095.9</v>
      </c>
      <c r="H4" s="1">
        <v>132.97999999999999</v>
      </c>
      <c r="I4" s="1">
        <f t="shared" ref="I4:I32" si="1">I3-H4</f>
        <v>1826.93</v>
      </c>
      <c r="L4" t="s">
        <v>41</v>
      </c>
      <c r="M4" s="1">
        <f>964.5-321</f>
        <v>643.5</v>
      </c>
      <c r="O4" s="3"/>
      <c r="P4" s="5"/>
      <c r="Q4" s="3">
        <v>45415</v>
      </c>
      <c r="R4" s="5">
        <v>500</v>
      </c>
      <c r="S4" s="1">
        <v>0</v>
      </c>
      <c r="T4" s="1">
        <f t="shared" ref="T4:T32" si="2">T3-S4</f>
        <v>500</v>
      </c>
      <c r="W4" s="3">
        <v>45421</v>
      </c>
      <c r="X4" s="12" t="s">
        <v>63</v>
      </c>
      <c r="Y4" s="12">
        <v>326.5</v>
      </c>
      <c r="AC4" s="3">
        <v>45415</v>
      </c>
      <c r="AD4" s="1">
        <v>32.549999999999997</v>
      </c>
      <c r="AE4" s="2">
        <f t="shared" ref="AE4:AE32" si="3">AD4+AE3</f>
        <v>62.55</v>
      </c>
      <c r="AH4" s="3">
        <v>45415</v>
      </c>
      <c r="AI4" s="1">
        <v>132.97999999999999</v>
      </c>
      <c r="AJ4" s="1"/>
      <c r="AK4" s="2">
        <f>AJ2/3</f>
        <v>624.90333333333342</v>
      </c>
      <c r="AM4" s="1"/>
      <c r="AO4" s="3"/>
      <c r="AP4" s="7"/>
      <c r="AR4" s="9">
        <v>45416</v>
      </c>
      <c r="AS4" t="s">
        <v>95</v>
      </c>
      <c r="AT4" s="1">
        <v>150</v>
      </c>
      <c r="AV4" s="1"/>
      <c r="AW4" s="1"/>
      <c r="BA4" t="s">
        <v>51</v>
      </c>
      <c r="BB4" s="1">
        <v>178.12</v>
      </c>
      <c r="BE4" s="10" t="s">
        <v>49</v>
      </c>
      <c r="BF4" s="1">
        <v>230.54</v>
      </c>
      <c r="BI4" s="10" t="s">
        <v>49</v>
      </c>
      <c r="BJ4" s="1">
        <v>97.26</v>
      </c>
    </row>
    <row r="5" spans="1:65" x14ac:dyDescent="0.25">
      <c r="A5" s="12" t="s">
        <v>66</v>
      </c>
      <c r="B5" s="12">
        <v>150</v>
      </c>
      <c r="E5" s="1"/>
      <c r="F5" s="4">
        <v>45416</v>
      </c>
      <c r="G5" s="1">
        <f t="shared" si="0"/>
        <v>2095.9</v>
      </c>
      <c r="H5" s="1">
        <v>142.41999999999999</v>
      </c>
      <c r="I5" s="1">
        <f t="shared" si="1"/>
        <v>1684.51</v>
      </c>
      <c r="L5" t="s">
        <v>82</v>
      </c>
      <c r="M5" s="1">
        <v>1281</v>
      </c>
      <c r="O5" s="3"/>
      <c r="P5" s="5"/>
      <c r="Q5" s="3">
        <v>45416</v>
      </c>
      <c r="R5" s="5">
        <v>500</v>
      </c>
      <c r="S5" s="1">
        <v>0</v>
      </c>
      <c r="T5" s="1">
        <f t="shared" si="2"/>
        <v>500</v>
      </c>
      <c r="W5" s="3">
        <v>45422</v>
      </c>
      <c r="X5" s="12" t="s">
        <v>66</v>
      </c>
      <c r="Y5" s="12">
        <v>150</v>
      </c>
      <c r="AC5" s="3">
        <v>45416</v>
      </c>
      <c r="AD5" s="1">
        <v>39</v>
      </c>
      <c r="AE5" s="2">
        <f t="shared" si="3"/>
        <v>101.55</v>
      </c>
      <c r="AH5" s="3">
        <v>45416</v>
      </c>
      <c r="AI5" s="1">
        <v>142.41999999999999</v>
      </c>
      <c r="AJ5" s="1"/>
      <c r="AK5" s="2">
        <f>AJ2/4</f>
        <v>468.67750000000007</v>
      </c>
      <c r="AM5" s="1"/>
      <c r="AO5" s="3"/>
      <c r="AP5" s="7"/>
      <c r="AR5" s="9">
        <v>45416</v>
      </c>
      <c r="AS5" t="s">
        <v>34</v>
      </c>
      <c r="AT5" s="1">
        <v>11.25</v>
      </c>
      <c r="AV5" s="1"/>
      <c r="AW5" s="1"/>
      <c r="BA5" t="s">
        <v>52</v>
      </c>
      <c r="BB5" s="11">
        <f>180+160.3</f>
        <v>340.3</v>
      </c>
      <c r="BE5" s="10" t="s">
        <v>50</v>
      </c>
      <c r="BF5" s="1">
        <v>302.47000000000003</v>
      </c>
      <c r="BI5" s="10" t="s">
        <v>50</v>
      </c>
      <c r="BJ5" s="1">
        <v>454.08</v>
      </c>
    </row>
    <row r="6" spans="1:65" x14ac:dyDescent="0.25">
      <c r="A6" s="12" t="s">
        <v>56</v>
      </c>
      <c r="B6" s="12">
        <v>55.9</v>
      </c>
      <c r="E6" s="1"/>
      <c r="F6" s="4">
        <v>45417</v>
      </c>
      <c r="G6" s="1">
        <f t="shared" si="0"/>
        <v>2095.9</v>
      </c>
      <c r="H6" s="1">
        <v>0</v>
      </c>
      <c r="I6" s="1">
        <f t="shared" si="1"/>
        <v>1684.51</v>
      </c>
      <c r="L6" t="s">
        <v>87</v>
      </c>
      <c r="M6" s="1">
        <v>277</v>
      </c>
      <c r="O6" s="3"/>
      <c r="P6" s="5"/>
      <c r="Q6" s="3">
        <v>45417</v>
      </c>
      <c r="R6" s="5">
        <v>500</v>
      </c>
      <c r="S6" s="1">
        <v>0</v>
      </c>
      <c r="T6" s="1">
        <f t="shared" si="2"/>
        <v>500</v>
      </c>
      <c r="W6" s="3">
        <v>45443</v>
      </c>
      <c r="X6" s="12" t="s">
        <v>56</v>
      </c>
      <c r="Y6" s="12">
        <v>55.9</v>
      </c>
      <c r="AC6" s="3">
        <v>45417</v>
      </c>
      <c r="AD6" s="1">
        <v>0</v>
      </c>
      <c r="AE6" s="2">
        <f t="shared" si="3"/>
        <v>101.55</v>
      </c>
      <c r="AH6" s="3">
        <v>45417</v>
      </c>
      <c r="AI6" s="1">
        <v>0</v>
      </c>
      <c r="AJ6" s="1"/>
      <c r="AK6" s="2">
        <f>AJ2/5</f>
        <v>374.94200000000006</v>
      </c>
      <c r="AM6" s="1"/>
      <c r="AO6" s="3"/>
      <c r="AP6" s="7"/>
      <c r="AR6" s="9">
        <v>45441</v>
      </c>
      <c r="AS6" t="s">
        <v>34</v>
      </c>
      <c r="AT6" s="1">
        <v>11.25</v>
      </c>
      <c r="AV6" s="1"/>
      <c r="AW6" s="1"/>
      <c r="BA6" t="s">
        <v>59</v>
      </c>
      <c r="BB6" s="11">
        <v>863.42</v>
      </c>
      <c r="BE6" s="10" t="s">
        <v>51</v>
      </c>
      <c r="BF6" s="1">
        <v>0</v>
      </c>
      <c r="BI6" s="10" t="s">
        <v>51</v>
      </c>
      <c r="BJ6" s="1">
        <v>0</v>
      </c>
    </row>
    <row r="7" spans="1:65" x14ac:dyDescent="0.25">
      <c r="A7" s="12" t="s">
        <v>34</v>
      </c>
      <c r="B7" s="12">
        <v>147.5</v>
      </c>
      <c r="E7" s="1"/>
      <c r="F7" s="4">
        <v>45418</v>
      </c>
      <c r="G7" s="1">
        <f t="shared" si="0"/>
        <v>2095.9</v>
      </c>
      <c r="H7" s="1">
        <v>105.06</v>
      </c>
      <c r="I7" s="1">
        <f t="shared" si="1"/>
        <v>1579.45</v>
      </c>
      <c r="L7" t="s">
        <v>96</v>
      </c>
      <c r="M7" s="1">
        <v>349</v>
      </c>
      <c r="O7" s="3"/>
      <c r="P7" s="5"/>
      <c r="Q7" s="3">
        <v>45418</v>
      </c>
      <c r="R7" s="5">
        <v>500</v>
      </c>
      <c r="S7" s="1">
        <v>0</v>
      </c>
      <c r="T7" s="1">
        <f t="shared" si="2"/>
        <v>500</v>
      </c>
      <c r="W7" s="3">
        <v>45443</v>
      </c>
      <c r="X7" s="12" t="s">
        <v>34</v>
      </c>
      <c r="Y7" s="12">
        <v>147.5</v>
      </c>
      <c r="AC7" s="3">
        <v>45418</v>
      </c>
      <c r="AD7" s="1">
        <v>0</v>
      </c>
      <c r="AE7" s="2">
        <f t="shared" si="3"/>
        <v>101.55</v>
      </c>
      <c r="AH7" s="3">
        <v>45418</v>
      </c>
      <c r="AI7" s="1">
        <v>105.06</v>
      </c>
      <c r="AJ7" s="1"/>
      <c r="AK7" s="2">
        <f>AJ2/6</f>
        <v>312.45166666666671</v>
      </c>
      <c r="AM7" s="1"/>
      <c r="AO7" s="3"/>
      <c r="AP7" s="7"/>
      <c r="AR7" s="9">
        <v>45440</v>
      </c>
      <c r="AS7" t="s">
        <v>19</v>
      </c>
      <c r="AT7" s="1">
        <v>30</v>
      </c>
      <c r="AV7" s="1"/>
      <c r="AW7" s="1"/>
      <c r="BA7" t="s">
        <v>60</v>
      </c>
      <c r="BB7" s="11">
        <v>157.5</v>
      </c>
      <c r="BE7" s="10" t="s">
        <v>44</v>
      </c>
      <c r="BF7" s="1">
        <v>157.5</v>
      </c>
      <c r="BI7" s="10" t="s">
        <v>44</v>
      </c>
      <c r="BJ7" s="1">
        <v>157.5</v>
      </c>
    </row>
    <row r="8" spans="1:65" x14ac:dyDescent="0.25">
      <c r="A8" s="12" t="s">
        <v>19</v>
      </c>
      <c r="B8" s="12">
        <v>354.89</v>
      </c>
      <c r="E8" s="1"/>
      <c r="F8" s="4">
        <v>45419</v>
      </c>
      <c r="G8" s="1">
        <f t="shared" si="0"/>
        <v>2095.9</v>
      </c>
      <c r="H8" s="1">
        <v>101.14</v>
      </c>
      <c r="I8" s="1">
        <f t="shared" si="1"/>
        <v>1478.31</v>
      </c>
      <c r="M8" s="1"/>
      <c r="O8" s="3"/>
      <c r="P8" s="5"/>
      <c r="Q8" s="3">
        <v>45419</v>
      </c>
      <c r="R8" s="5">
        <v>500</v>
      </c>
      <c r="S8" s="1">
        <v>0</v>
      </c>
      <c r="T8" s="1">
        <f t="shared" si="2"/>
        <v>500</v>
      </c>
      <c r="W8" s="3">
        <v>45443</v>
      </c>
      <c r="X8" s="12" t="s">
        <v>19</v>
      </c>
      <c r="Y8" s="12">
        <v>354.89</v>
      </c>
      <c r="AC8" s="3">
        <v>45419</v>
      </c>
      <c r="AD8" s="1">
        <v>36.76</v>
      </c>
      <c r="AE8" s="2">
        <f t="shared" si="3"/>
        <v>138.31</v>
      </c>
      <c r="AH8" s="3">
        <v>45419</v>
      </c>
      <c r="AI8" s="1">
        <v>101.14</v>
      </c>
      <c r="AJ8" s="1"/>
      <c r="AK8" s="2">
        <f>AJ2/7</f>
        <v>267.81571428571431</v>
      </c>
      <c r="AM8" s="1"/>
      <c r="AO8" s="3"/>
      <c r="AP8" s="7"/>
      <c r="AR8" s="9">
        <v>45440</v>
      </c>
      <c r="AS8" t="s">
        <v>34</v>
      </c>
      <c r="AT8" s="1">
        <v>11.25</v>
      </c>
      <c r="AV8" s="1"/>
      <c r="AW8" s="1"/>
      <c r="BA8" t="s">
        <v>54</v>
      </c>
      <c r="BB8" s="11">
        <v>204.23</v>
      </c>
      <c r="BE8" s="10" t="s">
        <v>52</v>
      </c>
      <c r="BF8" s="1">
        <v>1394.68</v>
      </c>
      <c r="BI8" s="10" t="s">
        <v>52</v>
      </c>
      <c r="BJ8" s="1">
        <v>1836.12</v>
      </c>
    </row>
    <row r="9" spans="1:65" x14ac:dyDescent="0.25">
      <c r="A9" s="12" t="s">
        <v>65</v>
      </c>
      <c r="B9" s="12">
        <v>446.42</v>
      </c>
      <c r="E9" s="1"/>
      <c r="F9" s="4">
        <v>45420</v>
      </c>
      <c r="G9" s="1">
        <f t="shared" si="0"/>
        <v>2095.9</v>
      </c>
      <c r="H9" s="1">
        <v>109.81</v>
      </c>
      <c r="I9" s="1">
        <f t="shared" si="1"/>
        <v>1368.5</v>
      </c>
      <c r="M9" s="1"/>
      <c r="O9" s="3"/>
      <c r="P9" s="5"/>
      <c r="Q9" s="3">
        <v>45420</v>
      </c>
      <c r="R9" s="5">
        <v>500</v>
      </c>
      <c r="S9" s="1">
        <v>0</v>
      </c>
      <c r="T9" s="1">
        <f t="shared" si="2"/>
        <v>500</v>
      </c>
      <c r="W9" s="3">
        <v>45443</v>
      </c>
      <c r="X9" s="12" t="s">
        <v>65</v>
      </c>
      <c r="Y9" s="12">
        <v>446.42</v>
      </c>
      <c r="AC9" s="3">
        <v>45420</v>
      </c>
      <c r="AD9" s="1">
        <v>0</v>
      </c>
      <c r="AE9" s="2">
        <f t="shared" si="3"/>
        <v>138.31</v>
      </c>
      <c r="AH9" s="3">
        <v>45420</v>
      </c>
      <c r="AI9" s="1">
        <f>59.81+50</f>
        <v>109.81</v>
      </c>
      <c r="AJ9" s="1"/>
      <c r="AK9" s="2">
        <f>AJ2/8</f>
        <v>234.33875000000003</v>
      </c>
      <c r="AM9" s="1"/>
      <c r="AO9" s="3"/>
      <c r="AP9" s="7"/>
      <c r="AR9" s="9">
        <v>45439</v>
      </c>
      <c r="AS9" t="s">
        <v>110</v>
      </c>
      <c r="AT9" s="1">
        <v>116.27</v>
      </c>
      <c r="AV9" s="1"/>
      <c r="AW9" s="1"/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I9" s="10" t="s">
        <v>53</v>
      </c>
      <c r="BJ9" s="12">
        <v>446.42</v>
      </c>
    </row>
    <row r="10" spans="1:65" x14ac:dyDescent="0.25">
      <c r="A10" s="15" t="s">
        <v>1</v>
      </c>
      <c r="B10" s="15">
        <v>160.79</v>
      </c>
      <c r="E10" s="1"/>
      <c r="F10" s="4">
        <v>45421</v>
      </c>
      <c r="G10" s="1">
        <f t="shared" si="0"/>
        <v>2095.9</v>
      </c>
      <c r="H10" s="1">
        <v>107.15</v>
      </c>
      <c r="I10" s="1">
        <f t="shared" si="1"/>
        <v>1261.3499999999999</v>
      </c>
      <c r="M10" s="1"/>
      <c r="O10" s="3"/>
      <c r="P10" s="5"/>
      <c r="Q10" s="3">
        <v>45421</v>
      </c>
      <c r="R10" s="5">
        <v>500</v>
      </c>
      <c r="S10" s="1">
        <v>0</v>
      </c>
      <c r="T10" s="1">
        <f t="shared" si="2"/>
        <v>500</v>
      </c>
      <c r="W10" s="3"/>
      <c r="X10" s="7"/>
      <c r="Y10" s="1"/>
      <c r="AC10" s="3">
        <v>45421</v>
      </c>
      <c r="AD10" s="1">
        <v>31.12</v>
      </c>
      <c r="AE10" s="2">
        <f t="shared" si="3"/>
        <v>169.43</v>
      </c>
      <c r="AH10" s="3">
        <v>45421</v>
      </c>
      <c r="AI10" s="1">
        <v>107.15</v>
      </c>
      <c r="AJ10" s="1"/>
      <c r="AK10" s="2">
        <f>AJ2/9</f>
        <v>208.30111111111114</v>
      </c>
      <c r="AM10" s="1"/>
      <c r="AO10" s="3"/>
      <c r="AP10" s="7"/>
      <c r="AR10" s="9">
        <v>45437</v>
      </c>
      <c r="AS10" t="s">
        <v>111</v>
      </c>
      <c r="AT10" s="1">
        <v>15.5</v>
      </c>
      <c r="AV10" s="1"/>
      <c r="AW10" s="1"/>
      <c r="BA10" s="10"/>
      <c r="BB10" s="1"/>
      <c r="BE10" s="10" t="s">
        <v>54</v>
      </c>
      <c r="BF10" s="1">
        <v>364.55</v>
      </c>
      <c r="BI10" s="10" t="s">
        <v>54</v>
      </c>
      <c r="BJ10" s="12">
        <v>354.89</v>
      </c>
    </row>
    <row r="11" spans="1:65" x14ac:dyDescent="0.25">
      <c r="A11" s="14" t="s">
        <v>81</v>
      </c>
      <c r="B11" s="14">
        <v>99</v>
      </c>
      <c r="E11" s="1"/>
      <c r="F11" s="4">
        <v>45422</v>
      </c>
      <c r="G11" s="1">
        <f t="shared" si="0"/>
        <v>2095.9</v>
      </c>
      <c r="H11" s="1">
        <v>82.92</v>
      </c>
      <c r="I11" s="1">
        <f t="shared" si="1"/>
        <v>1178.4299999999998</v>
      </c>
      <c r="M11" s="1"/>
      <c r="O11" s="3"/>
      <c r="P11" s="5"/>
      <c r="Q11" s="3">
        <v>45422</v>
      </c>
      <c r="R11" s="5">
        <v>500</v>
      </c>
      <c r="S11" s="1">
        <v>0</v>
      </c>
      <c r="T11" s="1">
        <f t="shared" si="2"/>
        <v>500</v>
      </c>
      <c r="W11" s="3"/>
      <c r="X11" s="7"/>
      <c r="Y11" s="1"/>
      <c r="AC11" s="3">
        <v>45422</v>
      </c>
      <c r="AD11" s="1">
        <v>0</v>
      </c>
      <c r="AE11" s="2">
        <f t="shared" si="3"/>
        <v>169.43</v>
      </c>
      <c r="AH11" s="3">
        <v>45422</v>
      </c>
      <c r="AI11" s="1">
        <v>82.92</v>
      </c>
      <c r="AJ11" s="1"/>
      <c r="AK11" s="2">
        <f>AJ2/10</f>
        <v>187.47100000000003</v>
      </c>
      <c r="AM11" s="1"/>
      <c r="AO11" s="3"/>
      <c r="AP11" s="7"/>
      <c r="AR11" s="9">
        <v>45435</v>
      </c>
      <c r="AS11" t="s">
        <v>19</v>
      </c>
      <c r="AT11" s="1">
        <v>30</v>
      </c>
      <c r="AV11" s="1"/>
      <c r="AW11" s="1"/>
      <c r="BA11" s="10"/>
      <c r="BB11" s="1"/>
    </row>
    <row r="12" spans="1:65" x14ac:dyDescent="0.25">
      <c r="E12" s="1"/>
      <c r="F12" s="4">
        <v>45423</v>
      </c>
      <c r="G12" s="1">
        <f t="shared" si="0"/>
        <v>2095.9</v>
      </c>
      <c r="H12" s="1">
        <v>0</v>
      </c>
      <c r="I12" s="1">
        <f t="shared" si="1"/>
        <v>1178.4299999999998</v>
      </c>
      <c r="M12" s="1"/>
      <c r="O12" s="3"/>
      <c r="P12" s="5"/>
      <c r="Q12" s="3">
        <v>45423</v>
      </c>
      <c r="R12" s="5">
        <v>500</v>
      </c>
      <c r="S12" s="1">
        <v>0</v>
      </c>
      <c r="T12" s="1">
        <f t="shared" si="2"/>
        <v>500</v>
      </c>
      <c r="W12" s="3"/>
      <c r="X12" s="7"/>
      <c r="Y12" s="1"/>
      <c r="AC12" s="3">
        <v>45423</v>
      </c>
      <c r="AD12" s="1">
        <v>0</v>
      </c>
      <c r="AE12" s="2">
        <f t="shared" si="3"/>
        <v>169.43</v>
      </c>
      <c r="AH12" s="3">
        <v>45423</v>
      </c>
      <c r="AI12" s="1">
        <v>0</v>
      </c>
      <c r="AJ12" s="1"/>
      <c r="AK12" s="2">
        <f>AJ2/11</f>
        <v>170.42818181818186</v>
      </c>
      <c r="AM12" s="1"/>
      <c r="AO12" s="3"/>
      <c r="AP12" s="7"/>
      <c r="AR12" s="9">
        <v>45434</v>
      </c>
      <c r="AS12" t="s">
        <v>112</v>
      </c>
      <c r="AT12" s="1">
        <v>9.5</v>
      </c>
      <c r="AV12" s="1"/>
      <c r="AW12" s="1"/>
      <c r="BA12" s="10"/>
      <c r="BB12" s="1"/>
    </row>
    <row r="13" spans="1:65" x14ac:dyDescent="0.25">
      <c r="E13" s="1"/>
      <c r="F13" s="4">
        <v>45424</v>
      </c>
      <c r="G13" s="1">
        <f t="shared" si="0"/>
        <v>2095.9</v>
      </c>
      <c r="H13" s="1">
        <v>5</v>
      </c>
      <c r="I13" s="1">
        <f t="shared" si="1"/>
        <v>1173.4299999999998</v>
      </c>
      <c r="M13" s="1"/>
      <c r="O13" s="3"/>
      <c r="P13" s="5"/>
      <c r="Q13" s="3">
        <v>45424</v>
      </c>
      <c r="R13" s="5">
        <v>500</v>
      </c>
      <c r="S13" s="1">
        <v>0</v>
      </c>
      <c r="T13" s="1">
        <f t="shared" si="2"/>
        <v>500</v>
      </c>
      <c r="W13" s="3"/>
      <c r="X13" s="7"/>
      <c r="Y13" s="1"/>
      <c r="AC13" s="3">
        <v>45424</v>
      </c>
      <c r="AD13" s="1">
        <v>0</v>
      </c>
      <c r="AE13" s="2">
        <f t="shared" si="3"/>
        <v>169.43</v>
      </c>
      <c r="AH13" s="3">
        <v>45424</v>
      </c>
      <c r="AI13" s="1">
        <v>5</v>
      </c>
      <c r="AJ13" s="1"/>
      <c r="AK13" s="2">
        <f>AJ2/12</f>
        <v>156.22583333333336</v>
      </c>
      <c r="AM13" s="1"/>
      <c r="AO13" s="3"/>
      <c r="AP13" s="7"/>
      <c r="AR13" s="9">
        <v>45420</v>
      </c>
      <c r="AS13" t="s">
        <v>74</v>
      </c>
      <c r="AT13" s="1">
        <v>33.9</v>
      </c>
      <c r="AV13" s="1"/>
      <c r="AW13" s="1"/>
      <c r="BA13" s="10">
        <f>577.83-600</f>
        <v>-22.169999999999959</v>
      </c>
      <c r="BB13" s="1"/>
    </row>
    <row r="14" spans="1:65" x14ac:dyDescent="0.25">
      <c r="E14" s="1"/>
      <c r="F14" s="4">
        <v>45425</v>
      </c>
      <c r="G14" s="1">
        <f t="shared" si="0"/>
        <v>2095.9</v>
      </c>
      <c r="H14" s="1">
        <v>0</v>
      </c>
      <c r="I14" s="1">
        <f t="shared" si="1"/>
        <v>1173.4299999999998</v>
      </c>
      <c r="M14" s="1"/>
      <c r="O14" s="3"/>
      <c r="P14" s="5"/>
      <c r="Q14" s="3">
        <v>45425</v>
      </c>
      <c r="R14" s="5">
        <v>500</v>
      </c>
      <c r="S14" s="1">
        <v>0</v>
      </c>
      <c r="T14" s="1">
        <f t="shared" si="2"/>
        <v>500</v>
      </c>
      <c r="W14" s="3"/>
      <c r="X14" s="7"/>
      <c r="Y14" s="1"/>
      <c r="AC14" s="3">
        <v>45425</v>
      </c>
      <c r="AD14" s="1">
        <v>0</v>
      </c>
      <c r="AE14" s="2">
        <f t="shared" si="3"/>
        <v>169.43</v>
      </c>
      <c r="AH14" s="3">
        <v>45425</v>
      </c>
      <c r="AI14" s="1">
        <v>0</v>
      </c>
      <c r="AJ14" s="1"/>
      <c r="AK14" s="2">
        <f>AJ2/13</f>
        <v>144.20846153846156</v>
      </c>
      <c r="AM14" s="1"/>
      <c r="AO14" s="3"/>
      <c r="AP14" s="7"/>
      <c r="AR14" s="9">
        <v>45425</v>
      </c>
      <c r="AT14" s="1"/>
      <c r="AV14" s="1"/>
      <c r="AW14" s="1"/>
      <c r="BA14" s="10">
        <f>22.17+600-206.2-109.81-107.15-82.92</f>
        <v>116.08999999999996</v>
      </c>
      <c r="BB14" s="1"/>
    </row>
    <row r="15" spans="1:65" x14ac:dyDescent="0.25">
      <c r="E15" s="1"/>
      <c r="F15" s="4">
        <v>45426</v>
      </c>
      <c r="G15" s="1">
        <f t="shared" si="0"/>
        <v>2095.9</v>
      </c>
      <c r="H15" s="1">
        <v>5</v>
      </c>
      <c r="I15" s="1">
        <f t="shared" si="1"/>
        <v>1168.4299999999998</v>
      </c>
      <c r="M15" s="1"/>
      <c r="O15" s="3"/>
      <c r="P15" s="5"/>
      <c r="Q15" s="3">
        <v>45426</v>
      </c>
      <c r="R15" s="5">
        <v>500</v>
      </c>
      <c r="S15" s="1">
        <v>0</v>
      </c>
      <c r="T15" s="1">
        <f t="shared" si="2"/>
        <v>500</v>
      </c>
      <c r="W15" s="3"/>
      <c r="X15" s="7"/>
      <c r="Y15" s="1"/>
      <c r="AC15" s="3">
        <v>45426</v>
      </c>
      <c r="AD15" s="1">
        <v>0</v>
      </c>
      <c r="AE15" s="2">
        <f t="shared" si="3"/>
        <v>169.43</v>
      </c>
      <c r="AH15" s="3">
        <v>45426</v>
      </c>
      <c r="AI15" s="1">
        <v>5</v>
      </c>
      <c r="AJ15" s="1"/>
      <c r="AK15" s="2">
        <f>AJ2/14</f>
        <v>133.90785714285715</v>
      </c>
      <c r="AM15" s="1"/>
      <c r="AO15" s="3"/>
      <c r="AP15" s="7"/>
      <c r="AR15" s="9">
        <v>45426</v>
      </c>
      <c r="AT15" s="1"/>
      <c r="AV15" s="1"/>
      <c r="AW15" s="1"/>
      <c r="BA15" s="10"/>
      <c r="BB15" s="1"/>
    </row>
    <row r="16" spans="1:65" x14ac:dyDescent="0.25">
      <c r="E16" s="1"/>
      <c r="F16" s="4">
        <v>45427</v>
      </c>
      <c r="G16" s="1">
        <f t="shared" si="0"/>
        <v>2095.9</v>
      </c>
      <c r="H16" s="1">
        <v>27.73</v>
      </c>
      <c r="I16" s="1">
        <f t="shared" si="1"/>
        <v>1140.6999999999998</v>
      </c>
      <c r="M16" s="1"/>
      <c r="O16" s="3"/>
      <c r="P16" s="5"/>
      <c r="Q16" s="3">
        <v>45427</v>
      </c>
      <c r="R16" s="5">
        <v>500</v>
      </c>
      <c r="S16" s="1">
        <v>0</v>
      </c>
      <c r="T16" s="1">
        <f t="shared" si="2"/>
        <v>500</v>
      </c>
      <c r="W16" s="3"/>
      <c r="X16" s="7"/>
      <c r="Y16" s="1"/>
      <c r="AC16" s="3">
        <v>45427</v>
      </c>
      <c r="AD16" s="1">
        <v>47.15</v>
      </c>
      <c r="AE16" s="2">
        <f t="shared" si="3"/>
        <v>216.58</v>
      </c>
      <c r="AH16" s="3">
        <v>45427</v>
      </c>
      <c r="AI16" s="1">
        <v>27.73</v>
      </c>
      <c r="AJ16" s="1"/>
      <c r="AK16" s="2">
        <f>AJ2/15</f>
        <v>124.98066666666668</v>
      </c>
      <c r="AM16" s="1"/>
      <c r="AO16" s="3"/>
      <c r="AP16" s="7"/>
      <c r="AR16" s="9">
        <v>45427</v>
      </c>
      <c r="AT16" s="1"/>
      <c r="AV16" s="1"/>
      <c r="AW16" s="1"/>
      <c r="BA16" s="10"/>
      <c r="BB16" s="1"/>
      <c r="BL16" t="s">
        <v>106</v>
      </c>
      <c r="BM16">
        <v>0</v>
      </c>
    </row>
    <row r="17" spans="1:65" x14ac:dyDescent="0.25">
      <c r="E17" s="1"/>
      <c r="F17" s="4">
        <v>45428</v>
      </c>
      <c r="G17" s="1">
        <f t="shared" si="0"/>
        <v>2095.9</v>
      </c>
      <c r="H17" s="1">
        <v>4</v>
      </c>
      <c r="I17" s="1">
        <f t="shared" si="1"/>
        <v>1136.6999999999998</v>
      </c>
      <c r="M17" s="1"/>
      <c r="O17" s="3"/>
      <c r="P17" s="5"/>
      <c r="Q17" s="3">
        <v>45428</v>
      </c>
      <c r="R17" s="5">
        <v>500</v>
      </c>
      <c r="S17" s="1">
        <v>0</v>
      </c>
      <c r="T17" s="1">
        <f t="shared" si="2"/>
        <v>500</v>
      </c>
      <c r="W17" s="3"/>
      <c r="X17" s="7"/>
      <c r="Y17" s="1"/>
      <c r="AC17" s="3">
        <v>45428</v>
      </c>
      <c r="AD17" s="1">
        <v>0</v>
      </c>
      <c r="AE17" s="2">
        <f t="shared" si="3"/>
        <v>216.58</v>
      </c>
      <c r="AH17" s="3">
        <v>45428</v>
      </c>
      <c r="AI17" s="1">
        <v>4</v>
      </c>
      <c r="AJ17" s="1"/>
      <c r="AK17" s="2">
        <f>AJ2/16</f>
        <v>117.16937500000002</v>
      </c>
      <c r="AM17" s="1"/>
      <c r="AO17" s="3"/>
      <c r="AP17" s="7"/>
      <c r="AR17" s="9">
        <v>45428</v>
      </c>
      <c r="AT17" s="1"/>
      <c r="AV17" s="1"/>
      <c r="AW17" s="1"/>
      <c r="BA17" s="10"/>
      <c r="BB17" s="1"/>
      <c r="BL17" t="s">
        <v>107</v>
      </c>
      <c r="BM17">
        <v>0</v>
      </c>
    </row>
    <row r="18" spans="1:65" x14ac:dyDescent="0.25">
      <c r="E18" s="1"/>
      <c r="F18" s="4">
        <v>45429</v>
      </c>
      <c r="G18" s="1">
        <f t="shared" si="0"/>
        <v>2095.9</v>
      </c>
      <c r="H18" s="1">
        <v>75.23</v>
      </c>
      <c r="I18" s="1">
        <f t="shared" si="1"/>
        <v>1061.4699999999998</v>
      </c>
      <c r="M18" s="1"/>
      <c r="O18" s="3"/>
      <c r="P18" s="5"/>
      <c r="Q18" s="3">
        <v>45429</v>
      </c>
      <c r="R18" s="5">
        <v>500</v>
      </c>
      <c r="S18" s="1">
        <v>0</v>
      </c>
      <c r="T18" s="1">
        <f t="shared" si="2"/>
        <v>500</v>
      </c>
      <c r="W18" s="3"/>
      <c r="X18" s="7"/>
      <c r="Y18" s="1"/>
      <c r="AC18" s="3">
        <v>45429</v>
      </c>
      <c r="AD18" s="1">
        <v>0</v>
      </c>
      <c r="AE18" s="2">
        <f t="shared" si="3"/>
        <v>216.58</v>
      </c>
      <c r="AH18" s="3">
        <v>45429</v>
      </c>
      <c r="AI18" s="1">
        <v>75.23</v>
      </c>
      <c r="AJ18" s="1"/>
      <c r="AK18" s="2">
        <f>AJ2/17</f>
        <v>110.27705882352943</v>
      </c>
      <c r="AM18" s="1"/>
      <c r="AO18" s="3"/>
      <c r="AP18" s="7"/>
      <c r="AR18" s="9">
        <v>45429</v>
      </c>
      <c r="AT18" s="1"/>
      <c r="AV18" s="1"/>
      <c r="AW18" s="1"/>
      <c r="BA18" s="10"/>
      <c r="BB18" s="1"/>
      <c r="BL18" t="s">
        <v>108</v>
      </c>
      <c r="BM18">
        <v>0</v>
      </c>
    </row>
    <row r="19" spans="1:65" x14ac:dyDescent="0.25">
      <c r="E19" s="1"/>
      <c r="F19" s="4">
        <v>45430</v>
      </c>
      <c r="G19" s="1">
        <f t="shared" si="0"/>
        <v>2095.9</v>
      </c>
      <c r="H19" s="1">
        <v>105.9</v>
      </c>
      <c r="I19" s="1">
        <f t="shared" si="1"/>
        <v>955.56999999999982</v>
      </c>
      <c r="M19" s="1"/>
      <c r="O19" s="3"/>
      <c r="P19" s="5"/>
      <c r="Q19" s="3">
        <v>45430</v>
      </c>
      <c r="R19" s="5">
        <v>500</v>
      </c>
      <c r="S19" s="1">
        <v>0</v>
      </c>
      <c r="T19" s="1">
        <f t="shared" si="2"/>
        <v>500</v>
      </c>
      <c r="W19" s="3"/>
      <c r="X19" s="7"/>
      <c r="Y19" s="1"/>
      <c r="AC19" s="3">
        <v>45430</v>
      </c>
      <c r="AD19" s="1">
        <v>0</v>
      </c>
      <c r="AE19" s="2">
        <f t="shared" si="3"/>
        <v>216.58</v>
      </c>
      <c r="AH19" s="3">
        <v>45430</v>
      </c>
      <c r="AI19" s="1">
        <v>105.9</v>
      </c>
      <c r="AJ19" s="1"/>
      <c r="AK19" s="2">
        <f>AJ2/18</f>
        <v>104.15055555555557</v>
      </c>
      <c r="AM19" s="1"/>
      <c r="AO19" s="3"/>
      <c r="AP19" s="7"/>
      <c r="AR19" s="9">
        <v>45430</v>
      </c>
      <c r="AT19" s="1"/>
      <c r="AV19" s="1"/>
      <c r="AW19" s="1"/>
      <c r="BA19" s="10"/>
      <c r="BB19" s="1"/>
      <c r="BL19" t="s">
        <v>97</v>
      </c>
      <c r="BM19">
        <v>1.9</v>
      </c>
    </row>
    <row r="20" spans="1:65" x14ac:dyDescent="0.25">
      <c r="E20" s="1"/>
      <c r="F20" s="4">
        <v>45431</v>
      </c>
      <c r="G20" s="1">
        <f t="shared" si="0"/>
        <v>2095.9</v>
      </c>
      <c r="H20" s="1">
        <v>0</v>
      </c>
      <c r="I20" s="1">
        <f t="shared" si="1"/>
        <v>955.56999999999982</v>
      </c>
      <c r="M20" s="1"/>
      <c r="O20" s="3"/>
      <c r="P20" s="5"/>
      <c r="Q20" s="3">
        <v>45431</v>
      </c>
      <c r="R20" s="5">
        <v>500</v>
      </c>
      <c r="S20" s="1">
        <v>0</v>
      </c>
      <c r="T20" s="1">
        <f t="shared" si="2"/>
        <v>500</v>
      </c>
      <c r="W20" s="8"/>
      <c r="X20" s="7"/>
      <c r="Y20" s="1"/>
      <c r="AC20" s="3">
        <v>45431</v>
      </c>
      <c r="AD20" s="1">
        <v>0</v>
      </c>
      <c r="AE20" s="2">
        <f t="shared" si="3"/>
        <v>216.58</v>
      </c>
      <c r="AH20" s="3">
        <v>45431</v>
      </c>
      <c r="AI20" s="1">
        <v>0</v>
      </c>
      <c r="AJ20" s="1"/>
      <c r="AK20" s="2">
        <f>AJ2/19</f>
        <v>98.668947368421072</v>
      </c>
      <c r="AM20" s="1"/>
      <c r="AO20" s="3"/>
      <c r="AP20" s="7"/>
      <c r="AR20" s="9">
        <v>45431</v>
      </c>
      <c r="AT20" s="1"/>
      <c r="AV20" s="1"/>
      <c r="AW20" s="1"/>
      <c r="BA20" s="10"/>
      <c r="BB20" s="1"/>
      <c r="BL20" t="s">
        <v>98</v>
      </c>
      <c r="BM20">
        <v>2.9</v>
      </c>
    </row>
    <row r="21" spans="1:65" x14ac:dyDescent="0.25">
      <c r="E21" s="1"/>
      <c r="F21" s="4">
        <v>45432</v>
      </c>
      <c r="G21" s="1">
        <f t="shared" si="0"/>
        <v>2095.9</v>
      </c>
      <c r="H21" s="1">
        <v>80.2</v>
      </c>
      <c r="I21" s="1">
        <f t="shared" si="1"/>
        <v>875.36999999999978</v>
      </c>
      <c r="M21" s="1"/>
      <c r="O21" s="3"/>
      <c r="P21" s="5"/>
      <c r="Q21" s="3">
        <v>45432</v>
      </c>
      <c r="R21" s="5">
        <v>500</v>
      </c>
      <c r="S21" s="1">
        <v>0</v>
      </c>
      <c r="T21" s="1">
        <f t="shared" si="2"/>
        <v>500</v>
      </c>
      <c r="W21" s="8"/>
      <c r="X21" s="7"/>
      <c r="Y21" s="1"/>
      <c r="AC21" s="3">
        <v>45432</v>
      </c>
      <c r="AD21" s="1">
        <v>40.700000000000003</v>
      </c>
      <c r="AE21" s="2">
        <f t="shared" si="3"/>
        <v>257.28000000000003</v>
      </c>
      <c r="AH21" s="3">
        <v>45432</v>
      </c>
      <c r="AI21" s="1">
        <v>80.2</v>
      </c>
      <c r="AJ21" s="1"/>
      <c r="AK21" s="2">
        <f>AJ2/20</f>
        <v>93.735500000000016</v>
      </c>
      <c r="AM21" s="1"/>
      <c r="AO21" s="3"/>
      <c r="AP21" s="7"/>
      <c r="AR21" s="9">
        <v>45432</v>
      </c>
      <c r="AT21" s="1"/>
      <c r="AV21" s="1"/>
      <c r="AW21" s="1"/>
      <c r="BA21" s="10"/>
      <c r="BB21" s="1"/>
      <c r="BL21" t="s">
        <v>99</v>
      </c>
      <c r="BM21">
        <v>4.4000000000000004</v>
      </c>
    </row>
    <row r="22" spans="1:65" x14ac:dyDescent="0.25">
      <c r="E22" s="1"/>
      <c r="F22" s="4">
        <v>45433</v>
      </c>
      <c r="G22" s="1">
        <f t="shared" si="0"/>
        <v>2095.9</v>
      </c>
      <c r="H22" s="1">
        <v>0</v>
      </c>
      <c r="I22" s="1">
        <f t="shared" si="1"/>
        <v>875.36999999999978</v>
      </c>
      <c r="M22" s="1"/>
      <c r="O22" s="3"/>
      <c r="P22" s="5"/>
      <c r="Q22" s="3">
        <v>45433</v>
      </c>
      <c r="R22" s="5">
        <v>500</v>
      </c>
      <c r="S22" s="1">
        <v>0</v>
      </c>
      <c r="T22" s="1">
        <f t="shared" si="2"/>
        <v>500</v>
      </c>
      <c r="W22" s="8"/>
      <c r="X22" s="7"/>
      <c r="Y22" s="1"/>
      <c r="AC22" s="3">
        <v>45433</v>
      </c>
      <c r="AD22" s="1">
        <v>0</v>
      </c>
      <c r="AE22" s="2">
        <f t="shared" si="3"/>
        <v>257.28000000000003</v>
      </c>
      <c r="AH22" s="3">
        <v>45433</v>
      </c>
      <c r="AI22" s="1">
        <v>0</v>
      </c>
      <c r="AJ22" s="1"/>
      <c r="AK22" s="2">
        <f>AJ2/21</f>
        <v>89.271904761904779</v>
      </c>
      <c r="AM22" s="1"/>
      <c r="AO22" s="3"/>
      <c r="AP22" s="7"/>
      <c r="AR22" s="9">
        <v>45433</v>
      </c>
      <c r="AT22" s="1"/>
      <c r="AV22" s="1"/>
      <c r="AW22" s="1"/>
      <c r="BA22" s="10"/>
      <c r="BB22" s="1"/>
      <c r="BL22" t="s">
        <v>100</v>
      </c>
      <c r="BM22">
        <f>4.4+1.5</f>
        <v>5.9</v>
      </c>
    </row>
    <row r="23" spans="1:65" x14ac:dyDescent="0.25">
      <c r="E23" s="1"/>
      <c r="F23" s="4">
        <v>45434</v>
      </c>
      <c r="G23" s="1">
        <f t="shared" si="0"/>
        <v>2095.9</v>
      </c>
      <c r="H23" s="1">
        <v>47.11</v>
      </c>
      <c r="I23" s="1">
        <f t="shared" si="1"/>
        <v>828.25999999999976</v>
      </c>
      <c r="M23" s="1"/>
      <c r="O23" s="3"/>
      <c r="P23" s="5"/>
      <c r="Q23" s="3">
        <v>45434</v>
      </c>
      <c r="R23" s="5">
        <v>500</v>
      </c>
      <c r="S23" s="1">
        <v>0</v>
      </c>
      <c r="T23" s="1">
        <f t="shared" si="2"/>
        <v>500</v>
      </c>
      <c r="W23" s="8"/>
      <c r="X23" s="7"/>
      <c r="Y23" s="1"/>
      <c r="AC23" s="3">
        <v>45434</v>
      </c>
      <c r="AD23" s="1">
        <v>0</v>
      </c>
      <c r="AE23" s="2">
        <f t="shared" si="3"/>
        <v>257.28000000000003</v>
      </c>
      <c r="AH23" s="3">
        <v>45434</v>
      </c>
      <c r="AI23" s="1">
        <v>47.11</v>
      </c>
      <c r="AJ23" s="1"/>
      <c r="AK23" s="2">
        <f>AJ2/22</f>
        <v>85.214090909090928</v>
      </c>
      <c r="AM23" s="1"/>
      <c r="AO23" s="3"/>
      <c r="AP23" s="7"/>
      <c r="AR23" s="9">
        <v>45434</v>
      </c>
      <c r="AT23" s="1"/>
      <c r="AV23" s="1"/>
      <c r="AW23" s="1"/>
      <c r="BA23" s="10"/>
      <c r="BB23" s="1"/>
      <c r="BL23" t="s">
        <v>101</v>
      </c>
      <c r="BM23">
        <f>5.9+1.5</f>
        <v>7.4</v>
      </c>
    </row>
    <row r="24" spans="1:65" x14ac:dyDescent="0.25">
      <c r="E24" s="1"/>
      <c r="F24" s="4">
        <v>45435</v>
      </c>
      <c r="G24" s="1">
        <f t="shared" si="0"/>
        <v>2095.9</v>
      </c>
      <c r="H24" s="1">
        <v>86</v>
      </c>
      <c r="I24" s="1">
        <f t="shared" si="1"/>
        <v>742.25999999999976</v>
      </c>
      <c r="M24" s="1"/>
      <c r="O24" s="3"/>
      <c r="P24" s="5"/>
      <c r="Q24" s="3">
        <v>45435</v>
      </c>
      <c r="R24" s="5">
        <v>500</v>
      </c>
      <c r="S24" s="1">
        <v>0</v>
      </c>
      <c r="T24" s="1">
        <f t="shared" si="2"/>
        <v>500</v>
      </c>
      <c r="W24" s="8"/>
      <c r="X24" s="7"/>
      <c r="Y24" s="1"/>
      <c r="AC24" s="3">
        <v>45435</v>
      </c>
      <c r="AD24" s="1">
        <v>33.53</v>
      </c>
      <c r="AE24" s="2">
        <f t="shared" si="3"/>
        <v>290.81000000000006</v>
      </c>
      <c r="AH24" s="3">
        <v>45435</v>
      </c>
      <c r="AI24" s="1">
        <v>86</v>
      </c>
      <c r="AJ24" s="1"/>
      <c r="AK24" s="2">
        <f>AJ2/23</f>
        <v>81.50913043478262</v>
      </c>
      <c r="AM24" s="1"/>
      <c r="AO24" s="3"/>
      <c r="AP24" s="7"/>
      <c r="AR24" s="9">
        <v>45435</v>
      </c>
      <c r="AT24" s="1"/>
      <c r="AV24" s="1"/>
      <c r="AW24" s="1"/>
      <c r="BA24" s="10"/>
      <c r="BB24" s="1"/>
      <c r="BL24" t="s">
        <v>102</v>
      </c>
      <c r="BM24">
        <f>7.4+1.5</f>
        <v>8.9</v>
      </c>
    </row>
    <row r="25" spans="1:65" x14ac:dyDescent="0.25">
      <c r="E25" s="1"/>
      <c r="F25" s="4">
        <v>45436</v>
      </c>
      <c r="G25" s="1">
        <f t="shared" si="0"/>
        <v>2095.9</v>
      </c>
      <c r="H25" s="1">
        <v>89.68</v>
      </c>
      <c r="I25" s="1">
        <f t="shared" si="1"/>
        <v>652.5799999999997</v>
      </c>
      <c r="M25" s="1"/>
      <c r="O25" s="3"/>
      <c r="P25" s="5"/>
      <c r="Q25" s="3">
        <v>45436</v>
      </c>
      <c r="R25" s="5">
        <v>500</v>
      </c>
      <c r="S25" s="1">
        <v>0</v>
      </c>
      <c r="T25" s="1">
        <f t="shared" si="2"/>
        <v>500</v>
      </c>
      <c r="W25" s="8"/>
      <c r="X25" s="7"/>
      <c r="Y25" s="1"/>
      <c r="AC25" s="3">
        <v>45436</v>
      </c>
      <c r="AD25" s="1">
        <v>0</v>
      </c>
      <c r="AE25" s="2">
        <f t="shared" si="3"/>
        <v>290.81000000000006</v>
      </c>
      <c r="AH25" s="3">
        <v>45436</v>
      </c>
      <c r="AI25" s="1">
        <v>89.68</v>
      </c>
      <c r="AJ25" s="1"/>
      <c r="AK25" s="2">
        <f>AJ2/24</f>
        <v>78.112916666666678</v>
      </c>
      <c r="AM25" s="1"/>
      <c r="AO25" s="3"/>
      <c r="AP25" s="7"/>
      <c r="AR25" s="9">
        <v>45436</v>
      </c>
      <c r="AT25" s="1"/>
      <c r="AV25" s="1"/>
      <c r="AW25" s="1"/>
      <c r="BA25" s="10"/>
      <c r="BB25" s="1"/>
      <c r="BL25" t="s">
        <v>103</v>
      </c>
      <c r="BM25">
        <f>8.9+1.5</f>
        <v>10.4</v>
      </c>
    </row>
    <row r="26" spans="1:65" x14ac:dyDescent="0.25">
      <c r="E26" s="1"/>
      <c r="F26" s="4">
        <v>45437</v>
      </c>
      <c r="G26" s="1">
        <f t="shared" si="0"/>
        <v>2095.9</v>
      </c>
      <c r="H26" s="1">
        <v>106.15</v>
      </c>
      <c r="I26" s="1">
        <f t="shared" si="1"/>
        <v>546.42999999999972</v>
      </c>
      <c r="M26" s="1"/>
      <c r="O26" s="3"/>
      <c r="P26" s="5"/>
      <c r="Q26" s="3">
        <v>45437</v>
      </c>
      <c r="R26" s="5">
        <v>500</v>
      </c>
      <c r="S26" s="1">
        <v>0</v>
      </c>
      <c r="T26" s="1">
        <f t="shared" si="2"/>
        <v>500</v>
      </c>
      <c r="W26" s="8"/>
      <c r="X26" s="7"/>
      <c r="Y26" s="1"/>
      <c r="AC26" s="3">
        <v>45437</v>
      </c>
      <c r="AD26" s="1">
        <v>0</v>
      </c>
      <c r="AE26" s="2">
        <f t="shared" si="3"/>
        <v>290.81000000000006</v>
      </c>
      <c r="AH26" s="3">
        <v>45437</v>
      </c>
      <c r="AI26" s="1">
        <v>106.15</v>
      </c>
      <c r="AJ26" s="1"/>
      <c r="AK26" s="2">
        <f>AJ2/25</f>
        <v>74.988400000000013</v>
      </c>
      <c r="AM26" s="1"/>
      <c r="AO26" s="3"/>
      <c r="AP26" s="7"/>
      <c r="AR26" s="9">
        <v>45437</v>
      </c>
      <c r="AT26" s="1"/>
      <c r="AV26" s="1"/>
      <c r="AW26" s="1"/>
      <c r="BA26" s="10"/>
      <c r="BB26" s="1"/>
      <c r="BL26" t="s">
        <v>104</v>
      </c>
      <c r="BM26">
        <f>10.4+0.1+1.5</f>
        <v>12</v>
      </c>
    </row>
    <row r="27" spans="1:65" x14ac:dyDescent="0.25">
      <c r="E27" s="1"/>
      <c r="F27" s="4">
        <v>45438</v>
      </c>
      <c r="G27" s="1">
        <f t="shared" si="0"/>
        <v>2095.9</v>
      </c>
      <c r="H27" s="1">
        <v>0</v>
      </c>
      <c r="I27" s="1">
        <f t="shared" si="1"/>
        <v>546.42999999999972</v>
      </c>
      <c r="M27" s="1"/>
      <c r="O27" s="3"/>
      <c r="P27" s="5"/>
      <c r="Q27" s="3">
        <v>45438</v>
      </c>
      <c r="R27" s="5">
        <v>500</v>
      </c>
      <c r="S27" s="1">
        <v>0</v>
      </c>
      <c r="T27" s="1">
        <f t="shared" si="2"/>
        <v>500</v>
      </c>
      <c r="W27" s="8"/>
      <c r="X27" s="7"/>
      <c r="Y27" s="1"/>
      <c r="AC27" s="3">
        <v>45438</v>
      </c>
      <c r="AD27" s="1">
        <v>0</v>
      </c>
      <c r="AE27" s="2">
        <f t="shared" si="3"/>
        <v>290.81000000000006</v>
      </c>
      <c r="AH27" s="3">
        <v>45438</v>
      </c>
      <c r="AI27" s="1">
        <v>0</v>
      </c>
      <c r="AJ27" s="1"/>
      <c r="AK27" s="2">
        <f>AJ2/26</f>
        <v>72.104230769230782</v>
      </c>
      <c r="AM27" s="1"/>
      <c r="AO27" s="3"/>
      <c r="AP27" s="7"/>
      <c r="AR27" s="9">
        <v>45438</v>
      </c>
      <c r="AT27" s="1"/>
      <c r="AV27" s="1"/>
      <c r="AW27" s="1"/>
      <c r="BA27" s="10"/>
      <c r="BB27" s="1"/>
      <c r="BL27" t="s">
        <v>105</v>
      </c>
      <c r="BM27">
        <f>12+1.6</f>
        <v>13.6</v>
      </c>
    </row>
    <row r="28" spans="1:65" x14ac:dyDescent="0.25">
      <c r="E28" s="1"/>
      <c r="F28" s="4">
        <v>45439</v>
      </c>
      <c r="G28" s="1">
        <f t="shared" si="0"/>
        <v>2095.9</v>
      </c>
      <c r="H28" s="1">
        <v>0</v>
      </c>
      <c r="I28" s="1">
        <f t="shared" si="1"/>
        <v>546.42999999999972</v>
      </c>
      <c r="M28" s="1"/>
      <c r="O28" s="3"/>
      <c r="P28" s="5"/>
      <c r="Q28" s="3">
        <v>45439</v>
      </c>
      <c r="R28" s="5">
        <v>500</v>
      </c>
      <c r="S28" s="1">
        <v>0</v>
      </c>
      <c r="T28" s="1">
        <f t="shared" si="2"/>
        <v>500</v>
      </c>
      <c r="W28" s="8"/>
      <c r="X28" s="7"/>
      <c r="Y28" s="1"/>
      <c r="AC28" s="3">
        <v>45439</v>
      </c>
      <c r="AD28" s="1">
        <v>0</v>
      </c>
      <c r="AE28" s="2">
        <f t="shared" si="3"/>
        <v>290.81000000000006</v>
      </c>
      <c r="AH28" s="3">
        <v>45439</v>
      </c>
      <c r="AI28" s="1">
        <v>0</v>
      </c>
      <c r="AJ28" s="1"/>
      <c r="AK28" s="2">
        <f>AJ2/27</f>
        <v>69.433703703703713</v>
      </c>
      <c r="AM28" s="1"/>
      <c r="AO28" s="3"/>
      <c r="AP28" s="7"/>
      <c r="AR28" s="9">
        <v>45439</v>
      </c>
      <c r="AT28" s="1"/>
      <c r="AV28" s="1"/>
      <c r="AW28" s="1"/>
      <c r="BA28" s="10"/>
      <c r="BB28" s="1"/>
      <c r="BL28" t="s">
        <v>106</v>
      </c>
    </row>
    <row r="29" spans="1:65" x14ac:dyDescent="0.25">
      <c r="A29" s="1"/>
      <c r="B29" s="1"/>
      <c r="E29" s="1"/>
      <c r="F29" s="4">
        <v>45440</v>
      </c>
      <c r="G29" s="1">
        <f t="shared" si="0"/>
        <v>2095.9</v>
      </c>
      <c r="H29" s="1">
        <v>71.62</v>
      </c>
      <c r="I29" s="1">
        <f t="shared" si="1"/>
        <v>474.80999999999972</v>
      </c>
      <c r="M29" s="1"/>
      <c r="O29" s="3"/>
      <c r="P29" s="5"/>
      <c r="Q29" s="3">
        <v>45440</v>
      </c>
      <c r="R29" s="5">
        <v>500</v>
      </c>
      <c r="S29" s="1">
        <v>0</v>
      </c>
      <c r="T29" s="1">
        <f t="shared" si="2"/>
        <v>500</v>
      </c>
      <c r="W29" s="3"/>
      <c r="X29" s="7"/>
      <c r="Y29" s="1"/>
      <c r="AC29" s="3">
        <v>45440</v>
      </c>
      <c r="AD29" s="1">
        <v>0</v>
      </c>
      <c r="AE29" s="2">
        <f t="shared" si="3"/>
        <v>290.81000000000006</v>
      </c>
      <c r="AH29" s="3">
        <v>45440</v>
      </c>
      <c r="AI29" s="1">
        <v>71.62</v>
      </c>
      <c r="AJ29" s="1"/>
      <c r="AK29" s="2">
        <f>AJ2/28</f>
        <v>66.953928571428577</v>
      </c>
      <c r="AM29" s="1"/>
      <c r="AO29" s="3"/>
      <c r="AP29" s="7"/>
      <c r="AR29" s="9">
        <v>45440</v>
      </c>
      <c r="AT29" s="1"/>
      <c r="AV29" s="1"/>
      <c r="AW29" s="1"/>
      <c r="BA29" s="10"/>
      <c r="BB29" s="1"/>
      <c r="BL29" t="s">
        <v>107</v>
      </c>
    </row>
    <row r="30" spans="1:65" x14ac:dyDescent="0.25">
      <c r="A30" s="1"/>
      <c r="B30" s="1"/>
      <c r="E30" s="1"/>
      <c r="F30" s="4">
        <v>45441</v>
      </c>
      <c r="G30" s="1">
        <f t="shared" si="0"/>
        <v>2095.9</v>
      </c>
      <c r="H30" s="1">
        <v>67.16</v>
      </c>
      <c r="I30" s="1">
        <f t="shared" si="1"/>
        <v>407.64999999999975</v>
      </c>
      <c r="M30" s="1"/>
      <c r="O30" s="3"/>
      <c r="P30" s="5"/>
      <c r="Q30" s="3">
        <v>45441</v>
      </c>
      <c r="R30" s="5">
        <v>500</v>
      </c>
      <c r="S30" s="1">
        <v>0</v>
      </c>
      <c r="T30" s="1">
        <f t="shared" si="2"/>
        <v>500</v>
      </c>
      <c r="W30" s="3"/>
      <c r="X30" s="7"/>
      <c r="Y30" s="1"/>
      <c r="AC30" s="3">
        <v>45441</v>
      </c>
      <c r="AD30" s="1">
        <v>30</v>
      </c>
      <c r="AE30" s="2">
        <f t="shared" si="3"/>
        <v>320.81000000000006</v>
      </c>
      <c r="AH30" s="3">
        <v>45441</v>
      </c>
      <c r="AI30" s="1">
        <v>67.16</v>
      </c>
      <c r="AJ30" s="1"/>
      <c r="AK30" s="2">
        <f>AJ2/29</f>
        <v>64.645172413793119</v>
      </c>
      <c r="AM30" s="1"/>
      <c r="AO30" s="3"/>
      <c r="AP30" s="7"/>
      <c r="AR30" s="9">
        <v>45441</v>
      </c>
      <c r="AT30" s="1"/>
      <c r="AV30" s="1"/>
      <c r="AW30" s="1"/>
      <c r="BA30" s="10"/>
      <c r="BB30" s="1"/>
      <c r="BL30" t="s">
        <v>108</v>
      </c>
    </row>
    <row r="31" spans="1:65" x14ac:dyDescent="0.25">
      <c r="A31" s="1"/>
      <c r="B31" s="1"/>
      <c r="E31" s="1"/>
      <c r="F31" s="4">
        <v>45442</v>
      </c>
      <c r="G31" s="1">
        <f t="shared" si="0"/>
        <v>2095.9</v>
      </c>
      <c r="H31" s="1">
        <v>70</v>
      </c>
      <c r="I31" s="1">
        <f t="shared" si="1"/>
        <v>337.64999999999975</v>
      </c>
      <c r="M31" s="1"/>
      <c r="O31" s="3"/>
      <c r="P31" s="5"/>
      <c r="Q31" s="3">
        <v>45442</v>
      </c>
      <c r="R31" s="5">
        <v>500</v>
      </c>
      <c r="S31" s="1">
        <v>0</v>
      </c>
      <c r="T31" s="1">
        <f t="shared" si="2"/>
        <v>500</v>
      </c>
      <c r="W31" s="3"/>
      <c r="X31" s="7"/>
      <c r="Y31" s="1"/>
      <c r="AC31" s="3">
        <v>45442</v>
      </c>
      <c r="AD31" s="1">
        <v>0</v>
      </c>
      <c r="AE31" s="2">
        <f t="shared" si="3"/>
        <v>320.81000000000006</v>
      </c>
      <c r="AH31" s="3">
        <v>45442</v>
      </c>
      <c r="AI31" s="1">
        <v>70</v>
      </c>
      <c r="AJ31" s="1"/>
      <c r="AK31" s="2">
        <f>AJ2/30</f>
        <v>62.490333333333339</v>
      </c>
      <c r="AM31" s="1"/>
      <c r="AO31" s="3"/>
      <c r="AP31" s="7"/>
      <c r="AR31" s="9">
        <v>45442</v>
      </c>
      <c r="AT31" s="1"/>
      <c r="AV31" s="1"/>
      <c r="AW31" s="1"/>
      <c r="BA31" s="10"/>
      <c r="BB31" s="1"/>
      <c r="BL31" t="s">
        <v>97</v>
      </c>
    </row>
    <row r="32" spans="1:65" x14ac:dyDescent="0.25">
      <c r="A32" s="1"/>
      <c r="B32" s="1"/>
      <c r="E32" s="1"/>
      <c r="F32" s="6">
        <v>45443</v>
      </c>
      <c r="G32" s="1">
        <f t="shared" si="0"/>
        <v>2095.9</v>
      </c>
      <c r="H32" s="1">
        <v>116.46</v>
      </c>
      <c r="I32" s="1">
        <f t="shared" si="1"/>
        <v>221.18999999999977</v>
      </c>
      <c r="M32" s="1"/>
      <c r="O32" s="3"/>
      <c r="P32" s="5"/>
      <c r="Q32" s="3">
        <v>45443</v>
      </c>
      <c r="R32" s="5">
        <v>500</v>
      </c>
      <c r="S32" s="1">
        <v>0</v>
      </c>
      <c r="T32" s="1">
        <f t="shared" si="2"/>
        <v>500</v>
      </c>
      <c r="W32" s="3"/>
      <c r="X32" s="7"/>
      <c r="Y32" s="1"/>
      <c r="AC32" s="3">
        <v>45443</v>
      </c>
      <c r="AD32" s="1">
        <v>34.08</v>
      </c>
      <c r="AE32" s="2">
        <f t="shared" si="3"/>
        <v>354.89000000000004</v>
      </c>
      <c r="AH32" s="3">
        <v>45443</v>
      </c>
      <c r="AI32" s="1">
        <v>116.46</v>
      </c>
      <c r="AJ32" s="1"/>
      <c r="AK32" s="2">
        <f>AJ2/31</f>
        <v>60.474516129032267</v>
      </c>
      <c r="AM32" s="1"/>
      <c r="AO32" s="3"/>
      <c r="AP32" s="7"/>
      <c r="AR32" s="9">
        <v>45443</v>
      </c>
      <c r="AT32" s="1"/>
      <c r="AV32" s="1"/>
      <c r="AW32" s="1"/>
      <c r="BA32" s="10"/>
      <c r="BB32" s="1"/>
      <c r="BL32" t="s">
        <v>98</v>
      </c>
    </row>
    <row r="33" spans="1:54" x14ac:dyDescent="0.25">
      <c r="A33" s="1"/>
      <c r="B33" s="1"/>
      <c r="E33" s="1"/>
      <c r="F33" s="6"/>
      <c r="G33" s="1"/>
      <c r="H33" s="1"/>
      <c r="I33" s="1"/>
      <c r="M33" s="1"/>
      <c r="O33" s="3"/>
      <c r="P33" s="5"/>
      <c r="R33" s="5"/>
      <c r="S33" s="1"/>
      <c r="T33" s="1"/>
      <c r="W33" s="3"/>
      <c r="X33" s="7"/>
      <c r="Y33" s="1"/>
      <c r="AD33" s="1"/>
      <c r="AH33" s="3"/>
      <c r="AI33" s="1"/>
      <c r="AJ33" s="1"/>
      <c r="AM33" s="1"/>
      <c r="AO33" s="3"/>
      <c r="AP33" s="7"/>
      <c r="AR33" s="9"/>
      <c r="AT33" s="1"/>
      <c r="AV33" s="1"/>
      <c r="AW33" s="1"/>
      <c r="BA33" s="10"/>
      <c r="BB33" s="1"/>
    </row>
    <row r="34" spans="1:54" x14ac:dyDescent="0.25">
      <c r="A34" s="1"/>
      <c r="B34" s="1"/>
      <c r="E34" s="1"/>
      <c r="F34" s="6"/>
      <c r="G34" s="1"/>
      <c r="H34" s="1"/>
      <c r="I34" s="1"/>
      <c r="M34" s="1"/>
      <c r="O34" s="3"/>
      <c r="P34" s="5"/>
      <c r="R34" s="5"/>
      <c r="S34" s="1"/>
      <c r="T34" s="1"/>
      <c r="W34" s="3"/>
      <c r="X34" s="7"/>
      <c r="Y34" s="1"/>
      <c r="AD34" s="1"/>
      <c r="AH34" s="3"/>
      <c r="AI34" s="1"/>
      <c r="AJ34" s="1"/>
      <c r="AM34" s="1"/>
      <c r="AO34" s="3"/>
      <c r="AP34" s="7"/>
      <c r="AR34" s="9"/>
      <c r="AT34" s="1"/>
      <c r="AV34" s="1"/>
      <c r="AW34" s="1"/>
      <c r="BA34" s="10"/>
      <c r="BB34" s="1"/>
    </row>
    <row r="42" spans="1:54" x14ac:dyDescent="0.25">
      <c r="AI42" s="1">
        <f>1758.25/20</f>
        <v>87.912499999999994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AC4F-DC87-444E-9077-D084C706F5F4}">
  <dimension ref="A1:BO34"/>
  <sheetViews>
    <sheetView topLeftCell="M1" workbookViewId="0">
      <selection activeCell="Y5" sqref="Y5"/>
    </sheetView>
  </sheetViews>
  <sheetFormatPr defaultRowHeight="15" x14ac:dyDescent="0.25"/>
  <cols>
    <col min="1" max="1" width="20.28515625" bestFit="1" customWidth="1"/>
    <col min="2" max="3" width="12.140625" bestFit="1" customWidth="1"/>
    <col min="6" max="6" width="10.7109375" bestFit="1" customWidth="1"/>
    <col min="7" max="7" width="12.140625" bestFit="1" customWidth="1"/>
    <col min="8" max="8" width="10.5703125" bestFit="1" customWidth="1"/>
    <col min="9" max="9" width="18.42578125" bestFit="1" customWidth="1"/>
    <col min="10" max="10" width="16.42578125" bestFit="1" customWidth="1"/>
    <col min="12" max="12" width="25.5703125" bestFit="1" customWidth="1"/>
    <col min="13" max="13" width="12.140625" style="1" bestFit="1" customWidth="1"/>
    <col min="14" max="14" width="12.140625" bestFit="1" customWidth="1"/>
    <col min="17" max="17" width="10.7109375" bestFit="1" customWidth="1"/>
    <col min="18" max="18" width="26.28515625" bestFit="1" customWidth="1"/>
    <col min="19" max="19" width="11.85546875" bestFit="1" customWidth="1"/>
    <col min="20" max="20" width="18" bestFit="1" customWidth="1"/>
    <col min="23" max="23" width="10.7109375" bestFit="1" customWidth="1"/>
    <col min="24" max="24" width="19.85546875" bestFit="1" customWidth="1"/>
    <col min="25" max="26" width="12.140625" bestFit="1" customWidth="1"/>
    <col min="29" max="29" width="10.7109375" bestFit="1" customWidth="1"/>
    <col min="30" max="30" width="15.28515625" bestFit="1" customWidth="1"/>
    <col min="31" max="31" width="10.5703125" bestFit="1" customWidth="1"/>
    <col min="34" max="34" width="10.7109375" bestFit="1" customWidth="1"/>
    <col min="35" max="35" width="10.5703125" bestFit="1" customWidth="1"/>
    <col min="36" max="37" width="12.140625" bestFit="1" customWidth="1"/>
    <col min="42" max="42" width="12.42578125" bestFit="1" customWidth="1"/>
    <col min="44" max="44" width="10.7109375" bestFit="1" customWidth="1"/>
    <col min="45" max="45" width="21.85546875" bestFit="1" customWidth="1"/>
    <col min="46" max="47" width="10.5703125" bestFit="1" customWidth="1"/>
    <col min="48" max="48" width="9.5703125" bestFit="1" customWidth="1"/>
    <col min="49" max="49" width="17.85546875" bestFit="1" customWidth="1"/>
    <col min="53" max="53" width="25.7109375" bestFit="1" customWidth="1"/>
    <col min="54" max="54" width="12.140625" bestFit="1" customWidth="1"/>
    <col min="55" max="55" width="28.140625" bestFit="1" customWidth="1"/>
    <col min="57" max="57" width="20.85546875" bestFit="1" customWidth="1"/>
    <col min="58" max="58" width="12.140625" bestFit="1" customWidth="1"/>
    <col min="59" max="59" width="28.140625" bestFit="1" customWidth="1"/>
    <col min="61" max="61" width="20.85546875" bestFit="1" customWidth="1"/>
    <col min="62" max="62" width="12.140625" bestFit="1" customWidth="1"/>
    <col min="63" max="63" width="28.140625" bestFit="1" customWidth="1"/>
    <col min="65" max="65" width="20.85546875" bestFit="1" customWidth="1"/>
    <col min="66" max="66" width="12.140625" bestFit="1" customWidth="1"/>
    <col min="67" max="67" width="28.140625" bestFit="1" customWidth="1"/>
  </cols>
  <sheetData>
    <row r="1" spans="1:67" x14ac:dyDescent="0.25">
      <c r="A1" s="22" t="s">
        <v>93</v>
      </c>
      <c r="B1" s="22" t="s">
        <v>91</v>
      </c>
      <c r="C1" s="10" t="s">
        <v>12</v>
      </c>
      <c r="E1" s="1"/>
      <c r="F1" s="17" t="s">
        <v>4</v>
      </c>
      <c r="G1" s="16" t="s">
        <v>7</v>
      </c>
      <c r="H1" s="16" t="s">
        <v>5</v>
      </c>
      <c r="I1" s="16" t="s">
        <v>6</v>
      </c>
      <c r="J1" s="16" t="s">
        <v>20</v>
      </c>
      <c r="K1" s="18"/>
      <c r="L1" s="16" t="s">
        <v>7</v>
      </c>
      <c r="M1" s="16" t="s">
        <v>10</v>
      </c>
      <c r="N1" s="16" t="s">
        <v>12</v>
      </c>
      <c r="O1" s="19"/>
      <c r="P1" s="16"/>
      <c r="Q1" s="20" t="s">
        <v>4</v>
      </c>
      <c r="R1" s="16" t="s">
        <v>13</v>
      </c>
      <c r="S1" s="16" t="s">
        <v>14</v>
      </c>
      <c r="T1" s="16" t="s">
        <v>15</v>
      </c>
      <c r="U1" s="16" t="s">
        <v>12</v>
      </c>
      <c r="V1" s="18"/>
      <c r="W1" s="20" t="s">
        <v>4</v>
      </c>
      <c r="X1" s="16" t="s">
        <v>17</v>
      </c>
      <c r="Y1" s="16" t="s">
        <v>10</v>
      </c>
      <c r="Z1" s="16" t="s">
        <v>18</v>
      </c>
      <c r="AA1" s="18"/>
      <c r="AB1" s="18"/>
      <c r="AC1" s="16" t="s">
        <v>4</v>
      </c>
      <c r="AD1" s="16" t="s">
        <v>19</v>
      </c>
      <c r="AE1" s="16" t="s">
        <v>12</v>
      </c>
      <c r="AF1" s="18"/>
      <c r="AG1" s="18"/>
      <c r="AH1" s="20" t="s">
        <v>4</v>
      </c>
      <c r="AI1" s="16" t="s">
        <v>5</v>
      </c>
      <c r="AJ1" s="16" t="s">
        <v>12</v>
      </c>
      <c r="AK1" s="16" t="s">
        <v>22</v>
      </c>
      <c r="AL1" s="18"/>
      <c r="AM1" s="21"/>
      <c r="AN1" s="18"/>
      <c r="AO1" s="20" t="s">
        <v>4</v>
      </c>
      <c r="AP1" s="16" t="s">
        <v>21</v>
      </c>
      <c r="AQ1" s="18"/>
      <c r="AR1" s="20" t="s">
        <v>4</v>
      </c>
      <c r="AS1" s="10" t="s">
        <v>23</v>
      </c>
      <c r="AT1" s="16" t="s">
        <v>10</v>
      </c>
      <c r="AU1" s="10" t="s">
        <v>12</v>
      </c>
      <c r="AV1" s="21"/>
      <c r="AW1" s="21" t="s">
        <v>44</v>
      </c>
      <c r="AX1" s="18"/>
      <c r="AY1" s="18"/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  <c r="BI1" s="10" t="s">
        <v>113</v>
      </c>
      <c r="BJ1" s="16" t="s">
        <v>91</v>
      </c>
      <c r="BK1" s="10" t="s">
        <v>92</v>
      </c>
      <c r="BM1" s="10" t="s">
        <v>113</v>
      </c>
      <c r="BN1" s="16" t="s">
        <v>91</v>
      </c>
      <c r="BO1" s="10" t="s">
        <v>92</v>
      </c>
    </row>
    <row r="2" spans="1:67" x14ac:dyDescent="0.25">
      <c r="A2" s="12" t="s">
        <v>63</v>
      </c>
      <c r="B2" s="12">
        <v>326.5</v>
      </c>
      <c r="C2" s="2">
        <f>SUM(B1:B50)</f>
        <v>4603.84</v>
      </c>
      <c r="E2" s="1"/>
      <c r="F2" s="4">
        <v>45444</v>
      </c>
      <c r="G2" s="1">
        <f>C2</f>
        <v>4603.84</v>
      </c>
      <c r="H2" s="1">
        <v>0</v>
      </c>
      <c r="I2" s="1">
        <f>G2-H2</f>
        <v>4603.84</v>
      </c>
      <c r="J2" s="2">
        <f>SUM(H2:H31)</f>
        <v>909.72</v>
      </c>
      <c r="L2" t="s">
        <v>41</v>
      </c>
      <c r="M2" s="1">
        <f>643.5-321</f>
        <v>322.5</v>
      </c>
      <c r="N2" s="2">
        <f>SUM(M2:M75)</f>
        <v>8538.4700000000012</v>
      </c>
      <c r="O2" s="3"/>
      <c r="P2" s="5"/>
      <c r="Q2" s="3">
        <v>45444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45447</v>
      </c>
      <c r="X2" s="12" t="s">
        <v>63</v>
      </c>
      <c r="Y2" s="12">
        <v>326.5</v>
      </c>
      <c r="Z2" s="2">
        <f>SUM(Y2:Y30)</f>
        <v>3001.9900000000002</v>
      </c>
      <c r="AC2" s="3">
        <v>45444</v>
      </c>
      <c r="AD2" s="1"/>
      <c r="AE2" s="2">
        <f>AD2</f>
        <v>0</v>
      </c>
      <c r="AH2" s="3">
        <v>45444</v>
      </c>
      <c r="AI2" s="1">
        <v>0</v>
      </c>
      <c r="AJ2" s="1">
        <f>SUM(AI2:AI31)</f>
        <v>909.72</v>
      </c>
      <c r="AK2" s="2">
        <f>AJ2*1</f>
        <v>909.72</v>
      </c>
      <c r="AM2" s="1"/>
      <c r="AO2" s="3"/>
      <c r="AP2" s="7"/>
      <c r="AR2" s="9">
        <v>45444</v>
      </c>
      <c r="AS2" t="s">
        <v>86</v>
      </c>
      <c r="AT2" s="1">
        <v>8</v>
      </c>
      <c r="AU2" s="2">
        <f>SUM(AT2:AT82)</f>
        <v>633.47</v>
      </c>
      <c r="AV2" s="1"/>
      <c r="AW2" s="1">
        <f>SUM(AV1:AV36)</f>
        <v>56.25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I2" s="10" t="s">
        <v>90</v>
      </c>
      <c r="BJ2" s="1">
        <v>1874.71</v>
      </c>
      <c r="BK2" s="2">
        <f>BJ2/21</f>
        <v>89.271904761904764</v>
      </c>
      <c r="BM2" s="10" t="s">
        <v>90</v>
      </c>
      <c r="BN2" s="1">
        <v>909.71</v>
      </c>
      <c r="BO2" s="2">
        <f>BN2/14</f>
        <v>64.979285714285723</v>
      </c>
    </row>
    <row r="3" spans="1:67" x14ac:dyDescent="0.25">
      <c r="A3" s="12" t="s">
        <v>83</v>
      </c>
      <c r="B3" s="12">
        <v>128.1</v>
      </c>
      <c r="E3" s="1"/>
      <c r="F3" s="4">
        <v>45445</v>
      </c>
      <c r="G3" s="1">
        <f>G2</f>
        <v>4603.84</v>
      </c>
      <c r="H3" s="1">
        <v>20</v>
      </c>
      <c r="I3" s="1">
        <f>I2-H3</f>
        <v>4583.84</v>
      </c>
      <c r="L3" t="s">
        <v>82</v>
      </c>
      <c r="M3" s="1">
        <v>1355.17</v>
      </c>
      <c r="O3" s="3"/>
      <c r="P3" s="5"/>
      <c r="Q3" s="3">
        <v>45445</v>
      </c>
      <c r="R3" s="5">
        <v>500</v>
      </c>
      <c r="S3" s="1">
        <v>0</v>
      </c>
      <c r="T3" s="1">
        <f>T2-S3</f>
        <v>500</v>
      </c>
      <c r="W3" s="3">
        <v>45447</v>
      </c>
      <c r="X3" s="12" t="s">
        <v>83</v>
      </c>
      <c r="Y3" s="12">
        <v>128.1</v>
      </c>
      <c r="AC3" s="3">
        <v>45445</v>
      </c>
      <c r="AD3" s="1"/>
      <c r="AE3" s="2">
        <f>AD3+AE2</f>
        <v>0</v>
      </c>
      <c r="AH3" s="3">
        <v>45445</v>
      </c>
      <c r="AI3" s="1">
        <v>20</v>
      </c>
      <c r="AJ3" s="1"/>
      <c r="AK3" s="2">
        <f>AJ2/2</f>
        <v>454.86</v>
      </c>
      <c r="AM3" s="1"/>
      <c r="AO3" s="3"/>
      <c r="AP3" s="5"/>
      <c r="AR3" s="9">
        <v>45445</v>
      </c>
      <c r="AS3" t="s">
        <v>34</v>
      </c>
      <c r="AT3" s="1">
        <v>11.25</v>
      </c>
      <c r="AV3" s="1">
        <v>11.25</v>
      </c>
      <c r="AW3" s="1"/>
      <c r="BA3" t="s">
        <v>58</v>
      </c>
      <c r="BB3" s="1">
        <v>198.64</v>
      </c>
      <c r="BE3" s="10" t="s">
        <v>48</v>
      </c>
      <c r="BF3" s="1">
        <v>0</v>
      </c>
      <c r="BI3" s="10" t="s">
        <v>48</v>
      </c>
      <c r="BJ3" s="1">
        <v>42</v>
      </c>
      <c r="BM3" s="10" t="s">
        <v>48</v>
      </c>
      <c r="BN3" s="1">
        <v>24</v>
      </c>
    </row>
    <row r="4" spans="1:67" x14ac:dyDescent="0.25">
      <c r="A4" s="23" t="s">
        <v>109</v>
      </c>
      <c r="B4" s="12">
        <v>721.22</v>
      </c>
      <c r="E4" s="1"/>
      <c r="F4" s="4">
        <v>45446</v>
      </c>
      <c r="G4" s="1">
        <f t="shared" ref="G4:G31" si="0">G3</f>
        <v>4603.84</v>
      </c>
      <c r="H4" s="1">
        <v>7</v>
      </c>
      <c r="I4" s="1">
        <f t="shared" ref="I4:I31" si="1">I3-H4</f>
        <v>4576.84</v>
      </c>
      <c r="L4" t="s">
        <v>109</v>
      </c>
      <c r="M4" s="1">
        <v>721.22</v>
      </c>
      <c r="O4" s="3"/>
      <c r="P4" s="5"/>
      <c r="Q4" s="3">
        <v>45446</v>
      </c>
      <c r="R4" s="5">
        <v>500</v>
      </c>
      <c r="S4" s="1">
        <v>0</v>
      </c>
      <c r="T4" s="1">
        <f t="shared" ref="T4:T31" si="2">T3-S4</f>
        <v>500</v>
      </c>
      <c r="W4" s="3">
        <v>45447</v>
      </c>
      <c r="X4" s="23" t="s">
        <v>109</v>
      </c>
      <c r="Y4" s="12">
        <v>721.22</v>
      </c>
      <c r="AC4" s="3">
        <v>45446</v>
      </c>
      <c r="AD4" s="1"/>
      <c r="AE4" s="2">
        <f t="shared" ref="AE4:AE31" si="3">AD4+AE3</f>
        <v>0</v>
      </c>
      <c r="AH4" s="3">
        <v>45446</v>
      </c>
      <c r="AI4" s="1">
        <v>7</v>
      </c>
      <c r="AJ4" s="1"/>
      <c r="AK4" s="2">
        <f>AJ2/3</f>
        <v>303.24</v>
      </c>
      <c r="AM4" s="1"/>
      <c r="AO4" s="3"/>
      <c r="AP4" s="7"/>
      <c r="AR4" s="9">
        <v>45445</v>
      </c>
      <c r="AS4" t="s">
        <v>125</v>
      </c>
      <c r="AT4" s="1">
        <v>12</v>
      </c>
      <c r="AV4" s="1"/>
      <c r="AW4" s="1"/>
      <c r="BA4" t="s">
        <v>51</v>
      </c>
      <c r="BB4" s="1">
        <v>178.12</v>
      </c>
      <c r="BE4" s="10" t="s">
        <v>49</v>
      </c>
      <c r="BF4" s="1">
        <v>230.54</v>
      </c>
      <c r="BI4" s="10" t="s">
        <v>49</v>
      </c>
      <c r="BJ4" s="1">
        <v>97.26</v>
      </c>
      <c r="BM4" s="10" t="s">
        <v>49</v>
      </c>
      <c r="BN4" s="1">
        <v>10</v>
      </c>
    </row>
    <row r="5" spans="1:67" x14ac:dyDescent="0.25">
      <c r="A5" s="12" t="s">
        <v>41</v>
      </c>
      <c r="B5" s="12">
        <v>321</v>
      </c>
      <c r="E5" s="1"/>
      <c r="F5" s="4">
        <v>45447</v>
      </c>
      <c r="G5" s="1">
        <f t="shared" si="0"/>
        <v>4603.84</v>
      </c>
      <c r="H5" s="1">
        <v>43</v>
      </c>
      <c r="I5" s="1">
        <f t="shared" si="1"/>
        <v>4533.84</v>
      </c>
      <c r="L5" t="s">
        <v>82</v>
      </c>
      <c r="M5" s="1">
        <f>1281-128.1</f>
        <v>1152.9000000000001</v>
      </c>
      <c r="O5" s="3"/>
      <c r="P5" s="5"/>
      <c r="Q5" s="3">
        <v>45447</v>
      </c>
      <c r="R5" s="5">
        <v>500</v>
      </c>
      <c r="S5" s="1">
        <v>0</v>
      </c>
      <c r="T5" s="1">
        <f t="shared" si="2"/>
        <v>500</v>
      </c>
      <c r="W5" s="3">
        <v>45447</v>
      </c>
      <c r="X5" s="12" t="s">
        <v>41</v>
      </c>
      <c r="Y5" s="12">
        <v>321</v>
      </c>
      <c r="AC5" s="3">
        <v>45447</v>
      </c>
      <c r="AD5" s="1"/>
      <c r="AE5" s="2">
        <f t="shared" si="3"/>
        <v>0</v>
      </c>
      <c r="AH5" s="3">
        <v>45447</v>
      </c>
      <c r="AI5" s="1">
        <v>43</v>
      </c>
      <c r="AJ5" s="1"/>
      <c r="AK5" s="2">
        <f>AJ2/4</f>
        <v>227.43</v>
      </c>
      <c r="AM5" s="1"/>
      <c r="AO5" s="3"/>
      <c r="AP5" s="7"/>
      <c r="AR5" s="9">
        <v>45446</v>
      </c>
      <c r="AS5" t="s">
        <v>126</v>
      </c>
      <c r="AT5" s="1">
        <v>18.350000000000001</v>
      </c>
      <c r="AV5" s="1"/>
      <c r="AW5" s="1"/>
      <c r="BA5" t="s">
        <v>52</v>
      </c>
      <c r="BB5" s="11">
        <f>180+160.3</f>
        <v>340.3</v>
      </c>
      <c r="BE5" s="10" t="s">
        <v>50</v>
      </c>
      <c r="BF5" s="1">
        <v>302.47000000000003</v>
      </c>
      <c r="BI5" s="10" t="s">
        <v>50</v>
      </c>
      <c r="BJ5" s="1">
        <v>454.08</v>
      </c>
      <c r="BM5" s="10" t="s">
        <v>50</v>
      </c>
      <c r="BN5" s="1">
        <v>606.53</v>
      </c>
    </row>
    <row r="6" spans="1:67" x14ac:dyDescent="0.25">
      <c r="A6" s="12" t="s">
        <v>66</v>
      </c>
      <c r="B6" s="12">
        <v>150</v>
      </c>
      <c r="E6" s="1"/>
      <c r="F6" s="4">
        <v>45448</v>
      </c>
      <c r="G6" s="1">
        <f t="shared" si="0"/>
        <v>4603.84</v>
      </c>
      <c r="H6" s="1">
        <v>39.78</v>
      </c>
      <c r="I6" s="1">
        <f t="shared" si="1"/>
        <v>4494.0600000000004</v>
      </c>
      <c r="L6" t="s">
        <v>114</v>
      </c>
      <c r="M6" s="1">
        <v>2893.68</v>
      </c>
      <c r="O6" s="3"/>
      <c r="P6" s="5"/>
      <c r="Q6" s="3">
        <v>45448</v>
      </c>
      <c r="R6" s="5">
        <v>500</v>
      </c>
      <c r="S6" s="1">
        <v>0</v>
      </c>
      <c r="T6" s="1">
        <f t="shared" si="2"/>
        <v>500</v>
      </c>
      <c r="W6" s="3">
        <v>45447</v>
      </c>
      <c r="X6" s="12" t="s">
        <v>66</v>
      </c>
      <c r="Y6" s="12">
        <v>150</v>
      </c>
      <c r="AC6" s="3">
        <v>45448</v>
      </c>
      <c r="AD6" s="1"/>
      <c r="AE6" s="2">
        <f t="shared" si="3"/>
        <v>0</v>
      </c>
      <c r="AH6" s="3">
        <v>45448</v>
      </c>
      <c r="AI6" s="1">
        <v>39.78</v>
      </c>
      <c r="AJ6" s="1"/>
      <c r="AK6" s="2">
        <f>AJ2/5</f>
        <v>181.94400000000002</v>
      </c>
      <c r="AM6" s="1"/>
      <c r="AO6" s="3"/>
      <c r="AP6" s="7"/>
      <c r="AR6" s="9">
        <v>45448</v>
      </c>
      <c r="AS6" t="s">
        <v>74</v>
      </c>
      <c r="AT6" s="1">
        <v>33.9</v>
      </c>
      <c r="AV6" s="1"/>
      <c r="AW6" s="1"/>
      <c r="BA6" t="s">
        <v>59</v>
      </c>
      <c r="BB6" s="11">
        <v>863.42</v>
      </c>
      <c r="BE6" s="10" t="s">
        <v>51</v>
      </c>
      <c r="BF6" s="1">
        <v>0</v>
      </c>
      <c r="BI6" s="10" t="s">
        <v>51</v>
      </c>
      <c r="BJ6" s="1">
        <v>0</v>
      </c>
      <c r="BM6" s="10" t="s">
        <v>51</v>
      </c>
      <c r="BN6" s="1">
        <v>0</v>
      </c>
    </row>
    <row r="7" spans="1:67" x14ac:dyDescent="0.25">
      <c r="A7" s="12" t="s">
        <v>83</v>
      </c>
      <c r="B7" s="12">
        <v>1355.17</v>
      </c>
      <c r="E7" s="1"/>
      <c r="F7" s="4">
        <v>45449</v>
      </c>
      <c r="G7" s="1">
        <f t="shared" si="0"/>
        <v>4603.84</v>
      </c>
      <c r="H7" s="1">
        <v>0</v>
      </c>
      <c r="I7" s="1">
        <f t="shared" si="1"/>
        <v>4494.0600000000004</v>
      </c>
      <c r="L7" t="s">
        <v>116</v>
      </c>
      <c r="M7" s="1">
        <v>490</v>
      </c>
      <c r="O7" s="3"/>
      <c r="P7" s="5"/>
      <c r="Q7" s="3">
        <v>45449</v>
      </c>
      <c r="R7" s="5">
        <v>500</v>
      </c>
      <c r="S7" s="1">
        <v>0</v>
      </c>
      <c r="T7" s="1">
        <f t="shared" si="2"/>
        <v>500</v>
      </c>
      <c r="W7" s="3">
        <v>45447</v>
      </c>
      <c r="X7" s="12" t="s">
        <v>83</v>
      </c>
      <c r="Y7" s="12">
        <v>1355.17</v>
      </c>
      <c r="AC7" s="3">
        <v>45449</v>
      </c>
      <c r="AD7" s="1"/>
      <c r="AE7" s="2">
        <f t="shared" si="3"/>
        <v>0</v>
      </c>
      <c r="AH7" s="3">
        <v>45449</v>
      </c>
      <c r="AI7" s="1">
        <v>0</v>
      </c>
      <c r="AJ7" s="1"/>
      <c r="AK7" s="2">
        <f>AJ2/6</f>
        <v>151.62</v>
      </c>
      <c r="AM7" s="1"/>
      <c r="AO7" s="3"/>
      <c r="AP7" s="7"/>
      <c r="AR7" s="9">
        <v>45448</v>
      </c>
      <c r="AS7" t="s">
        <v>40</v>
      </c>
      <c r="AT7" s="1">
        <v>30</v>
      </c>
      <c r="AV7" s="1"/>
      <c r="AW7" s="1"/>
      <c r="BA7" t="s">
        <v>60</v>
      </c>
      <c r="BB7" s="11">
        <v>157.5</v>
      </c>
      <c r="BE7" s="10" t="s">
        <v>44</v>
      </c>
      <c r="BF7" s="1">
        <v>157.5</v>
      </c>
      <c r="BI7" s="10" t="s">
        <v>44</v>
      </c>
      <c r="BJ7" s="1">
        <v>157.5</v>
      </c>
      <c r="BM7" s="10" t="s">
        <v>44</v>
      </c>
      <c r="BN7" s="1">
        <v>56.25</v>
      </c>
    </row>
    <row r="8" spans="1:67" x14ac:dyDescent="0.25">
      <c r="A8" s="12" t="s">
        <v>75</v>
      </c>
      <c r="B8" s="12">
        <v>33.9</v>
      </c>
      <c r="E8" s="1"/>
      <c r="F8" s="4">
        <v>45450</v>
      </c>
      <c r="G8" s="1">
        <f t="shared" si="0"/>
        <v>4603.84</v>
      </c>
      <c r="H8" s="1">
        <v>0</v>
      </c>
      <c r="I8" s="1">
        <f t="shared" si="1"/>
        <v>4494.0600000000004</v>
      </c>
      <c r="L8" t="s">
        <v>117</v>
      </c>
      <c r="M8" s="1">
        <v>43</v>
      </c>
      <c r="O8" s="3"/>
      <c r="P8" s="5"/>
      <c r="Q8" s="3">
        <v>45450</v>
      </c>
      <c r="R8" s="5">
        <v>500</v>
      </c>
      <c r="S8" s="1">
        <v>0</v>
      </c>
      <c r="T8" s="1">
        <f t="shared" si="2"/>
        <v>500</v>
      </c>
      <c r="W8" s="3"/>
      <c r="X8" s="7"/>
      <c r="Y8" s="1"/>
      <c r="AC8" s="3">
        <v>45450</v>
      </c>
      <c r="AD8" s="1"/>
      <c r="AE8" s="2">
        <f t="shared" si="3"/>
        <v>0</v>
      </c>
      <c r="AH8" s="3">
        <v>45450</v>
      </c>
      <c r="AI8" s="1">
        <v>0</v>
      </c>
      <c r="AJ8" s="1"/>
      <c r="AK8" s="2">
        <f>AJ2/7</f>
        <v>129.96</v>
      </c>
      <c r="AM8" s="1"/>
      <c r="AO8" s="3"/>
      <c r="AP8" s="7"/>
      <c r="AR8" s="9">
        <v>45448</v>
      </c>
      <c r="AS8" t="s">
        <v>127</v>
      </c>
      <c r="AT8" s="1">
        <v>103.22</v>
      </c>
      <c r="AV8" s="1"/>
      <c r="AW8" s="1"/>
      <c r="BA8" t="s">
        <v>54</v>
      </c>
      <c r="BB8" s="11">
        <v>204.23</v>
      </c>
      <c r="BE8" s="10" t="s">
        <v>52</v>
      </c>
      <c r="BF8" s="1">
        <v>1394.68</v>
      </c>
      <c r="BI8" s="10" t="s">
        <v>52</v>
      </c>
      <c r="BJ8" s="1">
        <v>1836.12</v>
      </c>
      <c r="BM8" s="10" t="s">
        <v>52</v>
      </c>
      <c r="BN8" s="1">
        <v>1836.12</v>
      </c>
    </row>
    <row r="9" spans="1:67" x14ac:dyDescent="0.25">
      <c r="A9" s="14" t="s">
        <v>34</v>
      </c>
      <c r="B9" s="14">
        <v>147.5</v>
      </c>
      <c r="E9" s="1"/>
      <c r="F9" s="4">
        <v>45451</v>
      </c>
      <c r="G9" s="1">
        <f t="shared" si="0"/>
        <v>4603.84</v>
      </c>
      <c r="H9" s="1">
        <v>0</v>
      </c>
      <c r="I9" s="1">
        <f t="shared" si="1"/>
        <v>4494.0600000000004</v>
      </c>
      <c r="L9" t="s">
        <v>118</v>
      </c>
      <c r="M9" s="1">
        <v>600</v>
      </c>
      <c r="O9" s="3"/>
      <c r="P9" s="5"/>
      <c r="Q9" s="3">
        <v>45451</v>
      </c>
      <c r="R9" s="5">
        <v>500</v>
      </c>
      <c r="S9" s="1">
        <v>0</v>
      </c>
      <c r="T9" s="1">
        <f t="shared" si="2"/>
        <v>500</v>
      </c>
      <c r="W9" s="3"/>
      <c r="X9" s="7"/>
      <c r="Y9" s="1"/>
      <c r="AC9" s="3">
        <v>45451</v>
      </c>
      <c r="AD9" s="1"/>
      <c r="AE9" s="2">
        <f t="shared" si="3"/>
        <v>0</v>
      </c>
      <c r="AH9" s="3">
        <v>45451</v>
      </c>
      <c r="AI9" s="1">
        <v>0</v>
      </c>
      <c r="AJ9" s="1"/>
      <c r="AK9" s="2">
        <f>AJ2/8</f>
        <v>113.715</v>
      </c>
      <c r="AM9" s="1"/>
      <c r="AO9" s="3"/>
      <c r="AP9" s="7"/>
      <c r="AR9" s="9">
        <v>45449</v>
      </c>
      <c r="AS9" t="s">
        <v>128</v>
      </c>
      <c r="AT9" s="1">
        <v>94.5</v>
      </c>
      <c r="AV9" s="1"/>
      <c r="AW9" s="1"/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I9" s="10" t="s">
        <v>53</v>
      </c>
      <c r="BJ9" s="12">
        <v>446.42</v>
      </c>
      <c r="BM9" s="10" t="s">
        <v>53</v>
      </c>
      <c r="BN9" s="12">
        <v>633.47</v>
      </c>
    </row>
    <row r="10" spans="1:67" x14ac:dyDescent="0.25">
      <c r="A10" s="14" t="s">
        <v>19</v>
      </c>
      <c r="B10" s="1">
        <v>364.55</v>
      </c>
      <c r="E10" s="1"/>
      <c r="F10" s="4">
        <v>45452</v>
      </c>
      <c r="G10" s="1">
        <f t="shared" si="0"/>
        <v>4603.84</v>
      </c>
      <c r="H10" s="1">
        <v>0</v>
      </c>
      <c r="I10" s="1">
        <f t="shared" si="1"/>
        <v>4494.0600000000004</v>
      </c>
      <c r="L10" t="s">
        <v>119</v>
      </c>
      <c r="M10" s="1">
        <v>60</v>
      </c>
      <c r="O10" s="3"/>
      <c r="P10" s="5"/>
      <c r="Q10" s="3">
        <v>45452</v>
      </c>
      <c r="R10" s="5">
        <v>500</v>
      </c>
      <c r="S10" s="1">
        <v>0</v>
      </c>
      <c r="T10" s="1">
        <f t="shared" si="2"/>
        <v>500</v>
      </c>
      <c r="W10" s="3"/>
      <c r="X10" s="7"/>
      <c r="Y10" s="1"/>
      <c r="AC10" s="3">
        <v>45452</v>
      </c>
      <c r="AD10" s="1"/>
      <c r="AE10" s="2">
        <f t="shared" si="3"/>
        <v>0</v>
      </c>
      <c r="AH10" s="3">
        <v>45452</v>
      </c>
      <c r="AI10" s="1">
        <v>0</v>
      </c>
      <c r="AJ10" s="1"/>
      <c r="AK10" s="2">
        <f>AJ2/9</f>
        <v>101.08</v>
      </c>
      <c r="AM10" s="1"/>
      <c r="AO10" s="3"/>
      <c r="AP10" s="7"/>
      <c r="AR10" s="9">
        <v>45451</v>
      </c>
      <c r="AS10" t="s">
        <v>34</v>
      </c>
      <c r="AT10" s="1">
        <v>11.75</v>
      </c>
      <c r="AV10" s="1">
        <v>11.25</v>
      </c>
      <c r="AW10" s="1"/>
      <c r="BA10" s="10"/>
      <c r="BB10" s="1"/>
      <c r="BE10" s="10" t="s">
        <v>54</v>
      </c>
      <c r="BF10" s="1">
        <v>364.55</v>
      </c>
      <c r="BI10" s="10" t="s">
        <v>54</v>
      </c>
      <c r="BJ10" s="12">
        <v>354.89</v>
      </c>
      <c r="BM10" s="10" t="s">
        <v>54</v>
      </c>
      <c r="BN10" s="12">
        <v>152</v>
      </c>
    </row>
    <row r="11" spans="1:67" x14ac:dyDescent="0.25">
      <c r="A11" s="14" t="s">
        <v>67</v>
      </c>
      <c r="B11" s="14">
        <v>200</v>
      </c>
      <c r="E11" s="1"/>
      <c r="F11" s="4">
        <v>45453</v>
      </c>
      <c r="G11" s="1">
        <f t="shared" si="0"/>
        <v>4603.84</v>
      </c>
      <c r="H11" s="1">
        <v>0</v>
      </c>
      <c r="I11" s="1">
        <f t="shared" si="1"/>
        <v>4494.0600000000004</v>
      </c>
      <c r="L11" t="s">
        <v>120</v>
      </c>
      <c r="M11" s="1">
        <v>150</v>
      </c>
      <c r="O11" s="3"/>
      <c r="P11" s="5"/>
      <c r="Q11" s="3">
        <v>45453</v>
      </c>
      <c r="R11" s="5">
        <v>500</v>
      </c>
      <c r="S11" s="1">
        <v>0</v>
      </c>
      <c r="T11" s="1">
        <f t="shared" si="2"/>
        <v>500</v>
      </c>
      <c r="W11" s="3"/>
      <c r="X11" s="7"/>
      <c r="Y11" s="1"/>
      <c r="AC11" s="3">
        <v>45453</v>
      </c>
      <c r="AD11" s="1"/>
      <c r="AE11" s="2">
        <f t="shared" si="3"/>
        <v>0</v>
      </c>
      <c r="AH11" s="3">
        <v>45453</v>
      </c>
      <c r="AI11" s="1">
        <v>0</v>
      </c>
      <c r="AJ11" s="1"/>
      <c r="AK11" s="2">
        <f>AJ2/10</f>
        <v>90.972000000000008</v>
      </c>
      <c r="AM11" s="1"/>
      <c r="AO11" s="3"/>
      <c r="AP11" s="7"/>
      <c r="AR11" s="9">
        <v>45454</v>
      </c>
      <c r="AS11" t="s">
        <v>128</v>
      </c>
      <c r="AT11" s="1">
        <v>10</v>
      </c>
      <c r="AV11" s="1"/>
      <c r="AW11" s="1"/>
      <c r="BA11" s="10"/>
      <c r="BB11" s="1"/>
    </row>
    <row r="12" spans="1:67" x14ac:dyDescent="0.25">
      <c r="A12" s="14" t="s">
        <v>65</v>
      </c>
      <c r="B12" s="14">
        <v>800</v>
      </c>
      <c r="E12" s="1"/>
      <c r="F12" s="4">
        <v>45454</v>
      </c>
      <c r="G12" s="1">
        <f t="shared" si="0"/>
        <v>4603.84</v>
      </c>
      <c r="H12" s="1">
        <v>0</v>
      </c>
      <c r="I12" s="1">
        <f t="shared" si="1"/>
        <v>4494.0600000000004</v>
      </c>
      <c r="L12" t="s">
        <v>121</v>
      </c>
      <c r="M12" s="1">
        <v>750</v>
      </c>
      <c r="O12" s="3"/>
      <c r="P12" s="5"/>
      <c r="Q12" s="3">
        <v>45454</v>
      </c>
      <c r="R12" s="5">
        <v>500</v>
      </c>
      <c r="S12" s="1">
        <v>0</v>
      </c>
      <c r="T12" s="1">
        <f t="shared" si="2"/>
        <v>500</v>
      </c>
      <c r="W12" s="3"/>
      <c r="X12" s="7"/>
      <c r="Y12" s="1"/>
      <c r="AC12" s="3">
        <v>45454</v>
      </c>
      <c r="AD12" s="1"/>
      <c r="AE12" s="2">
        <f t="shared" si="3"/>
        <v>0</v>
      </c>
      <c r="AH12" s="3">
        <v>45454</v>
      </c>
      <c r="AI12" s="1">
        <v>0</v>
      </c>
      <c r="AJ12" s="1"/>
      <c r="AK12" s="2">
        <f>AJ2/11</f>
        <v>82.701818181818183</v>
      </c>
      <c r="AM12" s="1"/>
      <c r="AO12" s="3"/>
      <c r="AP12" s="7"/>
      <c r="AR12" s="9">
        <v>45457</v>
      </c>
      <c r="AS12" t="s">
        <v>129</v>
      </c>
      <c r="AT12" s="1">
        <v>100</v>
      </c>
      <c r="AV12" s="1"/>
      <c r="AW12" s="1"/>
      <c r="BA12" s="10"/>
      <c r="BB12" s="1"/>
    </row>
    <row r="13" spans="1:67" x14ac:dyDescent="0.25">
      <c r="A13" s="14" t="s">
        <v>56</v>
      </c>
      <c r="B13" s="14">
        <v>55.9</v>
      </c>
      <c r="E13" s="1"/>
      <c r="F13" s="4">
        <v>45455</v>
      </c>
      <c r="G13" s="1">
        <f t="shared" si="0"/>
        <v>4603.84</v>
      </c>
      <c r="H13" s="1">
        <v>0</v>
      </c>
      <c r="I13" s="1">
        <f t="shared" si="1"/>
        <v>4494.0600000000004</v>
      </c>
      <c r="O13" s="3"/>
      <c r="P13" s="5"/>
      <c r="Q13" s="3">
        <v>45455</v>
      </c>
      <c r="R13" s="5">
        <v>500</v>
      </c>
      <c r="S13" s="1">
        <v>0</v>
      </c>
      <c r="T13" s="1">
        <f t="shared" si="2"/>
        <v>500</v>
      </c>
      <c r="W13" s="3"/>
      <c r="X13" s="7"/>
      <c r="Y13" s="1"/>
      <c r="AC13" s="3">
        <v>45455</v>
      </c>
      <c r="AD13" s="1"/>
      <c r="AE13" s="2">
        <f t="shared" si="3"/>
        <v>0</v>
      </c>
      <c r="AH13" s="3">
        <v>45455</v>
      </c>
      <c r="AI13" s="1">
        <v>0</v>
      </c>
      <c r="AJ13" s="1"/>
      <c r="AK13" s="2">
        <f>AJ2/12</f>
        <v>75.81</v>
      </c>
      <c r="AM13" s="1"/>
      <c r="AO13" s="3"/>
      <c r="AP13" s="7"/>
      <c r="AR13" s="9">
        <v>45465</v>
      </c>
      <c r="AS13" t="s">
        <v>127</v>
      </c>
      <c r="AT13" s="1">
        <v>46.72</v>
      </c>
      <c r="AV13" s="1"/>
      <c r="AW13" s="1"/>
      <c r="BA13" s="10"/>
      <c r="BB13" s="1"/>
    </row>
    <row r="14" spans="1:67" x14ac:dyDescent="0.25">
      <c r="A14" s="14"/>
      <c r="B14" s="14"/>
      <c r="E14" s="1"/>
      <c r="F14" s="4">
        <v>45456</v>
      </c>
      <c r="G14" s="1">
        <f t="shared" si="0"/>
        <v>4603.84</v>
      </c>
      <c r="H14" s="1">
        <v>0</v>
      </c>
      <c r="I14" s="1">
        <f t="shared" si="1"/>
        <v>4494.0600000000004</v>
      </c>
      <c r="O14" s="3"/>
      <c r="P14" s="5"/>
      <c r="Q14" s="3">
        <v>45456</v>
      </c>
      <c r="R14" s="5">
        <v>500</v>
      </c>
      <c r="S14" s="1">
        <v>0</v>
      </c>
      <c r="T14" s="1">
        <f t="shared" si="2"/>
        <v>500</v>
      </c>
      <c r="W14" s="3"/>
      <c r="X14" s="7"/>
      <c r="Y14" s="1"/>
      <c r="AC14" s="3">
        <v>45456</v>
      </c>
      <c r="AD14" s="1"/>
      <c r="AE14" s="2">
        <f t="shared" si="3"/>
        <v>0</v>
      </c>
      <c r="AH14" s="3">
        <v>45456</v>
      </c>
      <c r="AI14" s="1">
        <v>0</v>
      </c>
      <c r="AJ14" s="1"/>
      <c r="AK14" s="2">
        <f>AJ2/13</f>
        <v>69.978461538461545</v>
      </c>
      <c r="AM14" s="1"/>
      <c r="AO14" s="3"/>
      <c r="AP14" s="7"/>
      <c r="AR14" s="9">
        <v>45467</v>
      </c>
      <c r="AS14" t="s">
        <v>34</v>
      </c>
      <c r="AT14" s="1">
        <v>11.25</v>
      </c>
      <c r="AV14" s="1">
        <v>11.25</v>
      </c>
      <c r="AW14" s="1"/>
      <c r="BA14" s="10"/>
      <c r="BB14" s="1"/>
    </row>
    <row r="15" spans="1:67" x14ac:dyDescent="0.25">
      <c r="E15" s="1"/>
      <c r="F15" s="4">
        <v>45457</v>
      </c>
      <c r="G15" s="1">
        <f t="shared" si="0"/>
        <v>4603.84</v>
      </c>
      <c r="H15" s="1">
        <v>0</v>
      </c>
      <c r="I15" s="1">
        <f t="shared" si="1"/>
        <v>4494.0600000000004</v>
      </c>
      <c r="O15" s="3"/>
      <c r="P15" s="5"/>
      <c r="Q15" s="3">
        <v>45457</v>
      </c>
      <c r="R15" s="5">
        <v>500</v>
      </c>
      <c r="S15" s="1">
        <v>0</v>
      </c>
      <c r="T15" s="1">
        <f t="shared" si="2"/>
        <v>500</v>
      </c>
      <c r="W15" s="3"/>
      <c r="X15" s="7"/>
      <c r="Y15" s="1"/>
      <c r="AC15" s="3">
        <v>45457</v>
      </c>
      <c r="AD15" s="1"/>
      <c r="AE15" s="2">
        <f t="shared" si="3"/>
        <v>0</v>
      </c>
      <c r="AH15" s="3">
        <v>45457</v>
      </c>
      <c r="AI15" s="1">
        <v>0</v>
      </c>
      <c r="AJ15" s="1"/>
      <c r="AK15" s="2">
        <f>AJ2/14</f>
        <v>64.98</v>
      </c>
      <c r="AM15" s="1"/>
      <c r="AO15" s="3"/>
      <c r="AP15" s="7"/>
      <c r="AR15" s="9">
        <v>45470</v>
      </c>
      <c r="AS15" t="s">
        <v>127</v>
      </c>
      <c r="AT15" s="1">
        <v>28.9</v>
      </c>
      <c r="AV15" s="1"/>
      <c r="AW15" s="1"/>
      <c r="BA15" s="10"/>
      <c r="BB15" s="1"/>
    </row>
    <row r="16" spans="1:67" x14ac:dyDescent="0.25">
      <c r="E16" s="1"/>
      <c r="F16" s="4">
        <v>45458</v>
      </c>
      <c r="G16" s="1">
        <f t="shared" si="0"/>
        <v>4603.84</v>
      </c>
      <c r="H16" s="1">
        <v>0</v>
      </c>
      <c r="I16" s="1">
        <f t="shared" si="1"/>
        <v>4494.0600000000004</v>
      </c>
      <c r="O16" s="3"/>
      <c r="P16" s="5"/>
      <c r="Q16" s="3">
        <v>45458</v>
      </c>
      <c r="R16" s="5">
        <v>500</v>
      </c>
      <c r="S16" s="1">
        <v>0</v>
      </c>
      <c r="T16" s="1">
        <f t="shared" si="2"/>
        <v>500</v>
      </c>
      <c r="W16" s="3"/>
      <c r="X16" s="7"/>
      <c r="Y16" s="1"/>
      <c r="AC16" s="3">
        <v>45458</v>
      </c>
      <c r="AD16" s="1"/>
      <c r="AE16" s="2">
        <f t="shared" si="3"/>
        <v>0</v>
      </c>
      <c r="AH16" s="3">
        <v>45458</v>
      </c>
      <c r="AI16" s="1">
        <v>0</v>
      </c>
      <c r="AJ16" s="1"/>
      <c r="AK16" s="2">
        <f>AJ2/15</f>
        <v>60.648000000000003</v>
      </c>
      <c r="AM16" s="1"/>
      <c r="AO16" s="3"/>
      <c r="AP16" s="7"/>
      <c r="AR16" s="9">
        <v>45471</v>
      </c>
      <c r="AS16" t="s">
        <v>34</v>
      </c>
      <c r="AT16" s="1">
        <v>11.25</v>
      </c>
      <c r="AV16" s="1">
        <v>11.25</v>
      </c>
      <c r="AW16" s="1"/>
      <c r="BA16" s="10"/>
      <c r="BB16" s="1"/>
    </row>
    <row r="17" spans="1:54" x14ac:dyDescent="0.25">
      <c r="E17" s="1"/>
      <c r="F17" s="4">
        <v>45459</v>
      </c>
      <c r="G17" s="1">
        <f t="shared" si="0"/>
        <v>4603.84</v>
      </c>
      <c r="H17" s="1">
        <v>0</v>
      </c>
      <c r="I17" s="1">
        <f t="shared" si="1"/>
        <v>4494.0600000000004</v>
      </c>
      <c r="O17" s="3"/>
      <c r="P17" s="5"/>
      <c r="Q17" s="3">
        <v>45459</v>
      </c>
      <c r="R17" s="5">
        <v>500</v>
      </c>
      <c r="S17" s="1">
        <v>0</v>
      </c>
      <c r="T17" s="1">
        <f t="shared" si="2"/>
        <v>500</v>
      </c>
      <c r="W17" s="3"/>
      <c r="X17" s="7"/>
      <c r="Y17" s="1"/>
      <c r="AC17" s="3">
        <v>45459</v>
      </c>
      <c r="AD17" s="1"/>
      <c r="AE17" s="2">
        <f t="shared" si="3"/>
        <v>0</v>
      </c>
      <c r="AH17" s="3">
        <v>45459</v>
      </c>
      <c r="AI17" s="1">
        <v>0</v>
      </c>
      <c r="AJ17" s="1"/>
      <c r="AK17" s="2">
        <f>AJ2/16</f>
        <v>56.857500000000002</v>
      </c>
      <c r="AM17" s="1"/>
      <c r="AO17" s="3"/>
      <c r="AP17" s="7"/>
      <c r="AR17" s="9">
        <v>45472</v>
      </c>
      <c r="AS17" t="s">
        <v>34</v>
      </c>
      <c r="AT17" s="1">
        <v>11.25</v>
      </c>
      <c r="AV17" s="1">
        <v>11.25</v>
      </c>
      <c r="AW17" s="1"/>
      <c r="BA17" s="10"/>
      <c r="BB17" s="1"/>
    </row>
    <row r="18" spans="1:54" x14ac:dyDescent="0.25">
      <c r="E18" s="1"/>
      <c r="F18" s="4">
        <v>45460</v>
      </c>
      <c r="G18" s="1">
        <f t="shared" si="0"/>
        <v>4603.84</v>
      </c>
      <c r="H18" s="1">
        <v>0</v>
      </c>
      <c r="I18" s="1">
        <f t="shared" si="1"/>
        <v>4494.0600000000004</v>
      </c>
      <c r="O18" s="3"/>
      <c r="P18" s="5"/>
      <c r="Q18" s="3">
        <v>45460</v>
      </c>
      <c r="R18" s="5">
        <v>500</v>
      </c>
      <c r="S18" s="1">
        <v>0</v>
      </c>
      <c r="T18" s="1">
        <f t="shared" si="2"/>
        <v>500</v>
      </c>
      <c r="W18" s="3"/>
      <c r="X18" s="7"/>
      <c r="Y18" s="1"/>
      <c r="AC18" s="3">
        <v>45460</v>
      </c>
      <c r="AD18" s="1">
        <v>35.01</v>
      </c>
      <c r="AE18" s="2">
        <f>AD18+AE17</f>
        <v>35.01</v>
      </c>
      <c r="AH18" s="3">
        <v>45460</v>
      </c>
      <c r="AI18" s="1">
        <v>0</v>
      </c>
      <c r="AJ18" s="1"/>
      <c r="AK18" s="2">
        <f>AJ2/17</f>
        <v>53.512941176470591</v>
      </c>
      <c r="AM18" s="1"/>
      <c r="AO18" s="3"/>
      <c r="AP18" s="7"/>
      <c r="AR18" s="9">
        <v>45472</v>
      </c>
      <c r="AS18" t="s">
        <v>40</v>
      </c>
      <c r="AT18" s="1">
        <v>50</v>
      </c>
      <c r="AV18" s="1"/>
      <c r="AW18" s="1"/>
      <c r="BA18" s="10"/>
      <c r="BB18" s="1"/>
    </row>
    <row r="19" spans="1:54" x14ac:dyDescent="0.25">
      <c r="E19" s="1"/>
      <c r="F19" s="4">
        <v>45461</v>
      </c>
      <c r="G19" s="1">
        <f t="shared" si="0"/>
        <v>4603.84</v>
      </c>
      <c r="H19" s="1">
        <v>88.41</v>
      </c>
      <c r="I19" s="1">
        <f t="shared" si="1"/>
        <v>4405.6500000000005</v>
      </c>
      <c r="O19" s="3"/>
      <c r="P19" s="5"/>
      <c r="Q19" s="3">
        <v>45461</v>
      </c>
      <c r="R19" s="5">
        <v>500</v>
      </c>
      <c r="S19" s="1">
        <v>0</v>
      </c>
      <c r="T19" s="1">
        <f t="shared" si="2"/>
        <v>500</v>
      </c>
      <c r="W19" s="3"/>
      <c r="X19" s="7"/>
      <c r="Y19" s="1"/>
      <c r="AC19" s="3">
        <v>45461</v>
      </c>
      <c r="AD19" s="1">
        <v>0</v>
      </c>
      <c r="AE19" s="2">
        <f>AD19+AE18</f>
        <v>35.01</v>
      </c>
      <c r="AH19" s="3">
        <v>45461</v>
      </c>
      <c r="AI19" s="1">
        <v>88.41</v>
      </c>
      <c r="AJ19" s="1"/>
      <c r="AK19" s="2">
        <f>AJ2/18</f>
        <v>50.54</v>
      </c>
      <c r="AM19" s="1"/>
      <c r="AO19" s="3"/>
      <c r="AP19" s="7"/>
      <c r="AR19" s="9">
        <v>45473</v>
      </c>
      <c r="AS19" t="s">
        <v>127</v>
      </c>
      <c r="AT19" s="1">
        <v>30</v>
      </c>
      <c r="AV19" s="1"/>
      <c r="AW19" s="1"/>
      <c r="BA19" s="10"/>
      <c r="BB19" s="1"/>
    </row>
    <row r="20" spans="1:54" x14ac:dyDescent="0.25">
      <c r="E20" s="1"/>
      <c r="F20" s="4">
        <v>45462</v>
      </c>
      <c r="G20" s="1">
        <f t="shared" si="0"/>
        <v>4603.84</v>
      </c>
      <c r="H20" s="1">
        <v>53.77</v>
      </c>
      <c r="I20" s="1">
        <f t="shared" si="1"/>
        <v>4351.88</v>
      </c>
      <c r="O20" s="3"/>
      <c r="P20" s="5"/>
      <c r="Q20" s="3">
        <v>45462</v>
      </c>
      <c r="R20" s="5">
        <v>500</v>
      </c>
      <c r="S20" s="1">
        <v>0</v>
      </c>
      <c r="T20" s="1">
        <f t="shared" si="2"/>
        <v>500</v>
      </c>
      <c r="W20" s="8"/>
      <c r="X20" s="7"/>
      <c r="Y20" s="1"/>
      <c r="AC20" s="3">
        <v>45462</v>
      </c>
      <c r="AD20" s="1">
        <v>0</v>
      </c>
      <c r="AE20" s="2">
        <f t="shared" si="3"/>
        <v>35.01</v>
      </c>
      <c r="AH20" s="3">
        <v>45462</v>
      </c>
      <c r="AI20" s="1">
        <v>53.77</v>
      </c>
      <c r="AJ20" s="1"/>
      <c r="AK20" s="2">
        <f>AJ2/19</f>
        <v>47.88</v>
      </c>
      <c r="AM20" s="1"/>
      <c r="AO20" s="3"/>
      <c r="AP20" s="7"/>
      <c r="AR20" s="9">
        <v>45473</v>
      </c>
      <c r="AS20" t="s">
        <v>130</v>
      </c>
      <c r="AT20" s="1">
        <v>11.13</v>
      </c>
      <c r="AV20" s="1"/>
      <c r="AW20" s="1"/>
      <c r="BA20" s="10"/>
      <c r="BB20" s="1"/>
    </row>
    <row r="21" spans="1:54" x14ac:dyDescent="0.25">
      <c r="E21" s="1"/>
      <c r="F21" s="4">
        <v>45463</v>
      </c>
      <c r="G21" s="1">
        <f t="shared" si="0"/>
        <v>4603.84</v>
      </c>
      <c r="H21" s="1">
        <v>73.900000000000006</v>
      </c>
      <c r="I21" s="1">
        <f t="shared" si="1"/>
        <v>4277.9800000000005</v>
      </c>
      <c r="O21" s="3"/>
      <c r="P21" s="5"/>
      <c r="Q21" s="3">
        <v>45463</v>
      </c>
      <c r="R21" s="5">
        <v>500</v>
      </c>
      <c r="S21" s="1">
        <v>0</v>
      </c>
      <c r="T21" s="1">
        <f t="shared" si="2"/>
        <v>500</v>
      </c>
      <c r="W21" s="8"/>
      <c r="X21" s="7"/>
      <c r="Y21" s="1"/>
      <c r="AC21" s="3">
        <v>45463</v>
      </c>
      <c r="AD21" s="1">
        <v>36.049999999999997</v>
      </c>
      <c r="AE21" s="2">
        <f t="shared" si="3"/>
        <v>71.06</v>
      </c>
      <c r="AH21" s="3">
        <v>45463</v>
      </c>
      <c r="AI21" s="1">
        <v>73.900000000000006</v>
      </c>
      <c r="AJ21" s="1"/>
      <c r="AK21" s="2">
        <f>AJ2/20</f>
        <v>45.486000000000004</v>
      </c>
      <c r="AM21" s="1"/>
      <c r="AO21" s="3"/>
      <c r="AP21" s="7"/>
      <c r="AR21" s="9">
        <v>45463</v>
      </c>
      <c r="AT21" s="1"/>
      <c r="AV21" s="1"/>
      <c r="AW21" s="1"/>
      <c r="BA21" s="10"/>
      <c r="BB21" s="1"/>
    </row>
    <row r="22" spans="1:54" x14ac:dyDescent="0.25">
      <c r="E22" s="1"/>
      <c r="F22" s="4">
        <v>45464</v>
      </c>
      <c r="G22" s="1">
        <f t="shared" si="0"/>
        <v>4603.84</v>
      </c>
      <c r="H22" s="1">
        <v>120.28</v>
      </c>
      <c r="I22" s="1">
        <f t="shared" si="1"/>
        <v>4157.7000000000007</v>
      </c>
      <c r="O22" s="3"/>
      <c r="P22" s="5"/>
      <c r="Q22" s="3">
        <v>45464</v>
      </c>
      <c r="R22" s="5">
        <v>500</v>
      </c>
      <c r="S22" s="1">
        <v>0</v>
      </c>
      <c r="T22" s="1">
        <f t="shared" si="2"/>
        <v>500</v>
      </c>
      <c r="W22" s="8"/>
      <c r="X22" s="7"/>
      <c r="Y22" s="1"/>
      <c r="AC22" s="3">
        <v>45464</v>
      </c>
      <c r="AD22" s="1">
        <v>0</v>
      </c>
      <c r="AE22" s="2">
        <f t="shared" si="3"/>
        <v>71.06</v>
      </c>
      <c r="AH22" s="3">
        <v>45464</v>
      </c>
      <c r="AI22" s="1">
        <v>120.28</v>
      </c>
      <c r="AJ22" s="1"/>
      <c r="AK22" s="2">
        <f>AJ2/21</f>
        <v>43.32</v>
      </c>
      <c r="AM22" s="1"/>
      <c r="AO22" s="3"/>
      <c r="AP22" s="7"/>
      <c r="AR22" s="9">
        <v>45464</v>
      </c>
      <c r="AT22" s="1"/>
      <c r="AV22" s="1"/>
      <c r="AW22" s="1"/>
      <c r="BA22" s="10"/>
      <c r="BB22" s="1"/>
    </row>
    <row r="23" spans="1:54" x14ac:dyDescent="0.25">
      <c r="E23" s="1"/>
      <c r="F23" s="4">
        <v>45465</v>
      </c>
      <c r="G23" s="1">
        <f t="shared" si="0"/>
        <v>4603.84</v>
      </c>
      <c r="H23" s="1">
        <v>123.05</v>
      </c>
      <c r="I23" s="1">
        <f t="shared" si="1"/>
        <v>4034.6500000000005</v>
      </c>
      <c r="O23" s="3"/>
      <c r="P23" s="5"/>
      <c r="Q23" s="3">
        <v>45465</v>
      </c>
      <c r="R23" s="5">
        <v>500</v>
      </c>
      <c r="S23" s="1">
        <v>0</v>
      </c>
      <c r="T23" s="1">
        <f t="shared" si="2"/>
        <v>500</v>
      </c>
      <c r="W23" s="8"/>
      <c r="X23" s="7"/>
      <c r="Y23" s="1"/>
      <c r="AC23" s="3">
        <v>45465</v>
      </c>
      <c r="AD23" s="1">
        <v>24.51</v>
      </c>
      <c r="AE23" s="2">
        <f t="shared" si="3"/>
        <v>95.570000000000007</v>
      </c>
      <c r="AH23" s="3">
        <v>45465</v>
      </c>
      <c r="AI23" s="1">
        <v>123.05</v>
      </c>
      <c r="AJ23" s="1"/>
      <c r="AK23" s="2">
        <f>AJ2/22</f>
        <v>41.350909090909092</v>
      </c>
      <c r="AM23" s="1"/>
      <c r="AO23" s="3"/>
      <c r="AP23" s="7"/>
      <c r="AR23" s="9">
        <v>45465</v>
      </c>
      <c r="AT23" s="1"/>
      <c r="AV23" s="1"/>
      <c r="AW23" s="1"/>
      <c r="BA23" s="10"/>
      <c r="BB23" s="1"/>
    </row>
    <row r="24" spans="1:54" x14ac:dyDescent="0.25">
      <c r="E24" s="1"/>
      <c r="F24" s="4">
        <v>45466</v>
      </c>
      <c r="G24" s="1">
        <f t="shared" si="0"/>
        <v>4603.84</v>
      </c>
      <c r="H24" s="1">
        <v>57.73</v>
      </c>
      <c r="I24" s="1">
        <f t="shared" si="1"/>
        <v>3976.9200000000005</v>
      </c>
      <c r="O24" s="3"/>
      <c r="P24" s="5"/>
      <c r="Q24" s="3">
        <v>45466</v>
      </c>
      <c r="R24" s="5">
        <v>500</v>
      </c>
      <c r="S24" s="1">
        <v>0</v>
      </c>
      <c r="T24" s="1">
        <f t="shared" si="2"/>
        <v>500</v>
      </c>
      <c r="W24" s="8"/>
      <c r="X24" s="7"/>
      <c r="Y24" s="1"/>
      <c r="AC24" s="3">
        <v>45466</v>
      </c>
      <c r="AD24" s="1">
        <v>17</v>
      </c>
      <c r="AE24" s="2">
        <f t="shared" si="3"/>
        <v>112.57000000000001</v>
      </c>
      <c r="AH24" s="3">
        <v>45466</v>
      </c>
      <c r="AI24" s="1">
        <v>57.73</v>
      </c>
      <c r="AJ24" s="1"/>
      <c r="AK24" s="2">
        <f>AJ2/23</f>
        <v>39.553043478260868</v>
      </c>
      <c r="AM24" s="1"/>
      <c r="AO24" s="3"/>
      <c r="AP24" s="7"/>
      <c r="AR24" s="9">
        <v>45466</v>
      </c>
      <c r="AT24" s="1"/>
      <c r="AV24" s="1"/>
      <c r="AW24" s="1"/>
      <c r="BA24" s="10"/>
      <c r="BB24" s="1"/>
    </row>
    <row r="25" spans="1:54" x14ac:dyDescent="0.25">
      <c r="E25" s="1"/>
      <c r="F25" s="4">
        <v>45467</v>
      </c>
      <c r="G25" s="1">
        <f t="shared" si="0"/>
        <v>4603.84</v>
      </c>
      <c r="H25" s="1">
        <v>5</v>
      </c>
      <c r="I25" s="1">
        <f t="shared" si="1"/>
        <v>3971.9200000000005</v>
      </c>
      <c r="O25" s="3"/>
      <c r="P25" s="5"/>
      <c r="Q25" s="3">
        <v>45467</v>
      </c>
      <c r="R25" s="5">
        <v>500</v>
      </c>
      <c r="S25" s="1">
        <v>0</v>
      </c>
      <c r="T25" s="1">
        <f t="shared" si="2"/>
        <v>500</v>
      </c>
      <c r="W25" s="8"/>
      <c r="X25" s="7"/>
      <c r="Y25" s="1"/>
      <c r="AC25" s="3">
        <v>45467</v>
      </c>
      <c r="AD25" s="1">
        <v>0</v>
      </c>
      <c r="AE25" s="2">
        <f t="shared" si="3"/>
        <v>112.57000000000001</v>
      </c>
      <c r="AH25" s="3">
        <v>45467</v>
      </c>
      <c r="AI25" s="1">
        <v>5</v>
      </c>
      <c r="AJ25" s="1"/>
      <c r="AK25" s="2">
        <f>AJ2/24</f>
        <v>37.905000000000001</v>
      </c>
      <c r="AM25" s="1"/>
      <c r="AO25" s="3"/>
      <c r="AP25" s="7"/>
      <c r="AR25" s="9">
        <v>45467</v>
      </c>
      <c r="AT25" s="1"/>
      <c r="AV25" s="1"/>
      <c r="AW25" s="1"/>
      <c r="BA25" s="10"/>
      <c r="BB25" s="1"/>
    </row>
    <row r="26" spans="1:54" x14ac:dyDescent="0.25">
      <c r="E26" s="1"/>
      <c r="F26" s="4">
        <v>45468</v>
      </c>
      <c r="G26" s="1">
        <f t="shared" si="0"/>
        <v>4603.84</v>
      </c>
      <c r="H26" s="1">
        <v>62</v>
      </c>
      <c r="I26" s="1">
        <f t="shared" si="1"/>
        <v>3909.9200000000005</v>
      </c>
      <c r="O26" s="3"/>
      <c r="P26" s="5"/>
      <c r="Q26" s="3">
        <v>45468</v>
      </c>
      <c r="R26" s="5">
        <v>500</v>
      </c>
      <c r="S26" s="1">
        <v>0</v>
      </c>
      <c r="T26" s="1">
        <f t="shared" si="2"/>
        <v>500</v>
      </c>
      <c r="W26" s="8"/>
      <c r="X26" s="7"/>
      <c r="Y26" s="1"/>
      <c r="AC26" s="3">
        <v>45468</v>
      </c>
      <c r="AD26" s="1">
        <v>0</v>
      </c>
      <c r="AE26" s="2">
        <f t="shared" si="3"/>
        <v>112.57000000000001</v>
      </c>
      <c r="AH26" s="3">
        <v>45468</v>
      </c>
      <c r="AI26" s="1">
        <v>62</v>
      </c>
      <c r="AJ26" s="1"/>
      <c r="AK26" s="2">
        <f>AJ2/25</f>
        <v>36.388800000000003</v>
      </c>
      <c r="AM26" s="1"/>
      <c r="AO26" s="3"/>
      <c r="AP26" s="7"/>
      <c r="AR26" s="9">
        <v>45468</v>
      </c>
      <c r="AT26" s="1"/>
      <c r="AV26" s="1"/>
      <c r="AW26" s="1"/>
      <c r="BA26" s="10"/>
      <c r="BB26" s="1"/>
    </row>
    <row r="27" spans="1:54" x14ac:dyDescent="0.25">
      <c r="E27" s="1"/>
      <c r="F27" s="4">
        <v>45469</v>
      </c>
      <c r="G27" s="1">
        <f t="shared" si="0"/>
        <v>4603.84</v>
      </c>
      <c r="H27" s="1">
        <v>59.89</v>
      </c>
      <c r="I27" s="1">
        <f t="shared" si="1"/>
        <v>3850.0300000000007</v>
      </c>
      <c r="O27" s="3"/>
      <c r="P27" s="5"/>
      <c r="Q27" s="3">
        <v>45469</v>
      </c>
      <c r="R27" s="5">
        <v>500</v>
      </c>
      <c r="S27" s="1">
        <v>0</v>
      </c>
      <c r="T27" s="1">
        <f t="shared" si="2"/>
        <v>500</v>
      </c>
      <c r="W27" s="8"/>
      <c r="X27" s="7"/>
      <c r="Y27" s="1"/>
      <c r="AC27" s="3">
        <v>45469</v>
      </c>
      <c r="AD27" s="1">
        <v>20</v>
      </c>
      <c r="AE27" s="2">
        <f t="shared" si="3"/>
        <v>132.57</v>
      </c>
      <c r="AH27" s="3">
        <v>45469</v>
      </c>
      <c r="AI27" s="1">
        <v>59.89</v>
      </c>
      <c r="AJ27" s="1"/>
      <c r="AK27" s="2">
        <f>AJ2/26</f>
        <v>34.989230769230772</v>
      </c>
      <c r="AM27" s="1"/>
      <c r="AO27" s="3"/>
      <c r="AP27" s="7"/>
      <c r="AR27" s="9">
        <v>45469</v>
      </c>
      <c r="AT27" s="1"/>
      <c r="AV27" s="1"/>
      <c r="AW27" s="1"/>
      <c r="BA27" s="10"/>
      <c r="BB27" s="1"/>
    </row>
    <row r="28" spans="1:54" x14ac:dyDescent="0.25">
      <c r="E28" s="1"/>
      <c r="F28" s="4">
        <v>45470</v>
      </c>
      <c r="G28" s="1">
        <f t="shared" si="0"/>
        <v>4603.84</v>
      </c>
      <c r="H28" s="1">
        <v>36.590000000000003</v>
      </c>
      <c r="I28" s="1">
        <f t="shared" si="1"/>
        <v>3813.4400000000005</v>
      </c>
      <c r="O28" s="3"/>
      <c r="P28" s="5"/>
      <c r="Q28" s="3">
        <v>45470</v>
      </c>
      <c r="R28" s="5">
        <v>500</v>
      </c>
      <c r="S28" s="1">
        <v>0</v>
      </c>
      <c r="T28" s="1">
        <f t="shared" si="2"/>
        <v>500</v>
      </c>
      <c r="W28" s="8"/>
      <c r="X28" s="7"/>
      <c r="Y28" s="1"/>
      <c r="AC28" s="3">
        <v>45470</v>
      </c>
      <c r="AD28" s="1">
        <v>0</v>
      </c>
      <c r="AE28" s="2">
        <f t="shared" si="3"/>
        <v>132.57</v>
      </c>
      <c r="AH28" s="3">
        <v>45470</v>
      </c>
      <c r="AI28" s="1">
        <v>36.590000000000003</v>
      </c>
      <c r="AJ28" s="1"/>
      <c r="AK28" s="2">
        <f>AJ2/27</f>
        <v>33.693333333333335</v>
      </c>
      <c r="AM28" s="1"/>
      <c r="AO28" s="3"/>
      <c r="AP28" s="7"/>
      <c r="AR28" s="9">
        <v>45470</v>
      </c>
      <c r="AT28" s="1"/>
      <c r="AV28" s="1"/>
      <c r="AW28" s="1"/>
      <c r="BA28" s="10"/>
      <c r="BB28" s="1"/>
    </row>
    <row r="29" spans="1:54" x14ac:dyDescent="0.25">
      <c r="E29" s="1"/>
      <c r="F29" s="4">
        <v>45471</v>
      </c>
      <c r="G29" s="1">
        <f t="shared" si="0"/>
        <v>4603.84</v>
      </c>
      <c r="H29" s="1">
        <v>119.32</v>
      </c>
      <c r="I29" s="1">
        <f t="shared" si="1"/>
        <v>3694.1200000000003</v>
      </c>
      <c r="O29" s="3"/>
      <c r="P29" s="5"/>
      <c r="Q29" s="3">
        <v>45471</v>
      </c>
      <c r="R29" s="5">
        <v>500</v>
      </c>
      <c r="S29" s="1">
        <v>0</v>
      </c>
      <c r="T29" s="1">
        <f t="shared" si="2"/>
        <v>500</v>
      </c>
      <c r="W29" s="3"/>
      <c r="X29" s="7"/>
      <c r="Y29" s="1"/>
      <c r="AC29" s="3">
        <v>45471</v>
      </c>
      <c r="AD29" s="1">
        <v>20</v>
      </c>
      <c r="AE29" s="2">
        <f t="shared" si="3"/>
        <v>152.57</v>
      </c>
      <c r="AH29" s="3">
        <v>45471</v>
      </c>
      <c r="AI29" s="1">
        <v>119.32</v>
      </c>
      <c r="AJ29" s="1"/>
      <c r="AK29" s="2">
        <f>AJ2/28</f>
        <v>32.49</v>
      </c>
      <c r="AM29" s="1"/>
      <c r="AO29" s="3"/>
      <c r="AP29" s="7"/>
      <c r="AR29" s="9">
        <v>45471</v>
      </c>
      <c r="AT29" s="1"/>
      <c r="AV29" s="1"/>
      <c r="AW29" s="1"/>
      <c r="BA29" s="10"/>
      <c r="BB29" s="1"/>
    </row>
    <row r="30" spans="1:54" x14ac:dyDescent="0.25">
      <c r="A30" s="1"/>
      <c r="B30" s="1"/>
      <c r="E30" s="1"/>
      <c r="F30" s="4">
        <v>45472</v>
      </c>
      <c r="G30" s="1">
        <f t="shared" si="0"/>
        <v>4603.84</v>
      </c>
      <c r="H30" s="1"/>
      <c r="I30" s="1">
        <f t="shared" si="1"/>
        <v>3694.1200000000003</v>
      </c>
      <c r="O30" s="3"/>
      <c r="P30" s="5"/>
      <c r="Q30" s="3">
        <v>45472</v>
      </c>
      <c r="R30" s="5">
        <v>500</v>
      </c>
      <c r="S30" s="1">
        <v>0</v>
      </c>
      <c r="T30" s="1">
        <f t="shared" si="2"/>
        <v>500</v>
      </c>
      <c r="W30" s="3"/>
      <c r="X30" s="7"/>
      <c r="Y30" s="1"/>
      <c r="AC30" s="3">
        <v>45472</v>
      </c>
      <c r="AD30" s="1">
        <v>0</v>
      </c>
      <c r="AE30" s="2">
        <f t="shared" si="3"/>
        <v>152.57</v>
      </c>
      <c r="AH30" s="3">
        <v>45472</v>
      </c>
      <c r="AI30" s="1">
        <v>0</v>
      </c>
      <c r="AJ30" s="1"/>
      <c r="AK30" s="2">
        <f>AJ2/29</f>
        <v>31.369655172413793</v>
      </c>
      <c r="AM30" s="1"/>
      <c r="AO30" s="3"/>
      <c r="AP30" s="7"/>
      <c r="AR30" s="9">
        <v>45472</v>
      </c>
      <c r="AT30" s="1"/>
      <c r="AV30" s="1"/>
      <c r="AW30" s="1"/>
      <c r="BA30" s="10"/>
      <c r="BB30" s="1"/>
    </row>
    <row r="31" spans="1:54" x14ac:dyDescent="0.25">
      <c r="A31" s="1"/>
      <c r="B31" s="1"/>
      <c r="E31" s="1"/>
      <c r="F31" s="4">
        <v>45473</v>
      </c>
      <c r="G31" s="1">
        <f t="shared" si="0"/>
        <v>4603.84</v>
      </c>
      <c r="H31" s="1"/>
      <c r="I31" s="1">
        <f t="shared" si="1"/>
        <v>3694.1200000000003</v>
      </c>
      <c r="O31" s="3"/>
      <c r="P31" s="5"/>
      <c r="Q31" s="3">
        <v>45473</v>
      </c>
      <c r="R31" s="5">
        <v>500</v>
      </c>
      <c r="S31" s="1">
        <v>0</v>
      </c>
      <c r="T31" s="1">
        <f t="shared" si="2"/>
        <v>500</v>
      </c>
      <c r="W31" s="3"/>
      <c r="X31" s="7"/>
      <c r="Y31" s="1"/>
      <c r="AC31" s="3">
        <v>45473</v>
      </c>
      <c r="AD31" s="1">
        <v>0</v>
      </c>
      <c r="AE31" s="2">
        <f t="shared" si="3"/>
        <v>152.57</v>
      </c>
      <c r="AH31" s="3">
        <v>45473</v>
      </c>
      <c r="AI31" s="1">
        <v>0</v>
      </c>
      <c r="AJ31" s="1"/>
      <c r="AK31" s="2">
        <f>AJ2/30</f>
        <v>30.324000000000002</v>
      </c>
      <c r="AM31" s="1"/>
      <c r="AO31" s="3"/>
      <c r="AP31" s="7"/>
      <c r="AR31" s="9">
        <v>45473</v>
      </c>
      <c r="AT31" s="1"/>
      <c r="AV31" s="1"/>
      <c r="AW31" s="1"/>
      <c r="BA31" s="10"/>
      <c r="BB31" s="1"/>
    </row>
    <row r="32" spans="1:54" x14ac:dyDescent="0.25">
      <c r="A32" s="1"/>
      <c r="B32" s="1"/>
      <c r="E32" s="1"/>
      <c r="F32" s="4"/>
      <c r="G32" s="1"/>
      <c r="H32" s="1"/>
      <c r="I32" s="1"/>
      <c r="O32" s="3"/>
      <c r="P32" s="5"/>
      <c r="Q32" s="3"/>
      <c r="R32" s="5"/>
      <c r="S32" s="1"/>
      <c r="T32" s="1"/>
      <c r="W32" s="3"/>
      <c r="X32" s="7"/>
      <c r="Y32" s="1"/>
      <c r="AC32" s="3"/>
      <c r="AD32" s="1"/>
      <c r="AE32" s="2"/>
      <c r="AH32" s="3"/>
      <c r="AI32" s="1"/>
      <c r="AJ32" s="1"/>
      <c r="AK32" s="2"/>
      <c r="AM32" s="1"/>
      <c r="AO32" s="3"/>
      <c r="AP32" s="7"/>
      <c r="AR32" s="9"/>
      <c r="AT32" s="1"/>
      <c r="AV32" s="1"/>
      <c r="AW32" s="1"/>
      <c r="BA32" s="10"/>
      <c r="BB32" s="1"/>
    </row>
    <row r="33" spans="1:54" x14ac:dyDescent="0.25">
      <c r="A33" s="1"/>
      <c r="B33" s="1"/>
      <c r="E33" s="1"/>
      <c r="F33" s="6"/>
      <c r="G33" s="1"/>
      <c r="H33" s="1"/>
      <c r="I33" s="1"/>
      <c r="O33" s="3"/>
      <c r="P33" s="5"/>
      <c r="R33" s="5"/>
      <c r="S33" s="1"/>
      <c r="T33" s="1"/>
      <c r="W33" s="3"/>
      <c r="X33" s="7"/>
      <c r="Y33" s="1"/>
      <c r="AD33" s="1"/>
      <c r="AH33" s="3"/>
      <c r="AI33" s="1"/>
      <c r="AJ33" s="1"/>
      <c r="AM33" s="1"/>
      <c r="AO33" s="3"/>
      <c r="AP33" s="7"/>
      <c r="AR33" s="9"/>
      <c r="AT33" s="1"/>
      <c r="AV33" s="1"/>
      <c r="AW33" s="1"/>
      <c r="BA33" s="10"/>
      <c r="BB33" s="1"/>
    </row>
    <row r="34" spans="1:54" x14ac:dyDescent="0.25">
      <c r="A34" s="1"/>
      <c r="B34" s="1"/>
      <c r="E34" s="1"/>
      <c r="F34" s="6"/>
      <c r="G34" s="1"/>
      <c r="H34" s="1"/>
      <c r="I34" s="1"/>
      <c r="O34" s="3"/>
      <c r="P34" s="5"/>
      <c r="R34" s="5"/>
      <c r="S34" s="1"/>
      <c r="T34" s="1"/>
      <c r="W34" s="3"/>
      <c r="X34" s="7"/>
      <c r="Y34" s="1"/>
      <c r="AD34" s="1"/>
      <c r="AH34" s="3"/>
      <c r="AI34" s="1"/>
      <c r="AJ34" s="1"/>
      <c r="AM34" s="1"/>
      <c r="AO34" s="3"/>
      <c r="AP34" s="7"/>
      <c r="AR34" s="9"/>
      <c r="AT34" s="1"/>
      <c r="AV34" s="1"/>
      <c r="AW34" s="1"/>
      <c r="BA34" s="10"/>
      <c r="BB3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48EE-7F14-49CA-94F5-F56C24A91050}">
  <dimension ref="A1:BO32"/>
  <sheetViews>
    <sheetView tabSelected="1" topLeftCell="Z1" workbookViewId="0">
      <selection activeCell="AO8" sqref="AO8:AP8"/>
    </sheetView>
  </sheetViews>
  <sheetFormatPr defaultRowHeight="15" x14ac:dyDescent="0.25"/>
  <cols>
    <col min="1" max="1" width="19.85546875" bestFit="1" customWidth="1"/>
    <col min="2" max="3" width="12.140625" bestFit="1" customWidth="1"/>
    <col min="6" max="6" width="10.7109375" bestFit="1" customWidth="1"/>
    <col min="7" max="7" width="12.140625" bestFit="1" customWidth="1"/>
    <col min="8" max="8" width="10.28515625" bestFit="1" customWidth="1"/>
    <col min="9" max="9" width="18.42578125" bestFit="1" customWidth="1"/>
    <col min="10" max="10" width="16.42578125" bestFit="1" customWidth="1"/>
    <col min="12" max="12" width="32.7109375" bestFit="1" customWidth="1"/>
    <col min="13" max="13" width="12.140625" bestFit="1" customWidth="1"/>
    <col min="14" max="14" width="13.28515625" bestFit="1" customWidth="1"/>
    <col min="17" max="17" width="10.7109375" bestFit="1" customWidth="1"/>
    <col min="18" max="18" width="26.28515625" bestFit="1" customWidth="1"/>
    <col min="19" max="19" width="11.85546875" bestFit="1" customWidth="1"/>
    <col min="20" max="20" width="18" bestFit="1" customWidth="1"/>
    <col min="23" max="23" width="10.7109375" bestFit="1" customWidth="1"/>
    <col min="24" max="24" width="19.85546875" bestFit="1" customWidth="1"/>
    <col min="25" max="26" width="12.140625" bestFit="1" customWidth="1"/>
    <col min="29" max="29" width="10.7109375" bestFit="1" customWidth="1"/>
    <col min="30" max="30" width="15.28515625" bestFit="1" customWidth="1"/>
    <col min="31" max="31" width="9.5703125" bestFit="1" customWidth="1"/>
    <col min="34" max="34" width="10.7109375" bestFit="1" customWidth="1"/>
    <col min="35" max="35" width="10.28515625" bestFit="1" customWidth="1"/>
    <col min="36" max="37" width="10.5703125" bestFit="1" customWidth="1"/>
    <col min="41" max="41" width="10.7109375" bestFit="1" customWidth="1"/>
    <col min="42" max="42" width="19.85546875" bestFit="1" customWidth="1"/>
    <col min="44" max="44" width="10.7109375" bestFit="1" customWidth="1"/>
    <col min="45" max="45" width="14" bestFit="1" customWidth="1"/>
    <col min="46" max="47" width="9.5703125" bestFit="1" customWidth="1"/>
    <col min="49" max="49" width="17.85546875" bestFit="1" customWidth="1"/>
    <col min="53" max="53" width="25.7109375" bestFit="1" customWidth="1"/>
    <col min="54" max="54" width="12.140625" bestFit="1" customWidth="1"/>
    <col min="55" max="55" width="28.140625" bestFit="1" customWidth="1"/>
    <col min="57" max="57" width="20.85546875" bestFit="1" customWidth="1"/>
    <col min="58" max="58" width="12.140625" bestFit="1" customWidth="1"/>
    <col min="59" max="59" width="28.140625" bestFit="1" customWidth="1"/>
    <col min="61" max="61" width="20.85546875" bestFit="1" customWidth="1"/>
    <col min="62" max="62" width="12.140625" bestFit="1" customWidth="1"/>
    <col min="63" max="63" width="28.140625" bestFit="1" customWidth="1"/>
    <col min="65" max="65" width="20.85546875" bestFit="1" customWidth="1"/>
    <col min="66" max="66" width="12.140625" bestFit="1" customWidth="1"/>
    <col min="67" max="67" width="28.140625" bestFit="1" customWidth="1"/>
  </cols>
  <sheetData>
    <row r="1" spans="1:67" x14ac:dyDescent="0.25">
      <c r="A1" s="22" t="s">
        <v>141</v>
      </c>
      <c r="B1" s="22" t="s">
        <v>91</v>
      </c>
      <c r="C1" s="10" t="s">
        <v>12</v>
      </c>
      <c r="E1" s="1"/>
      <c r="F1" s="17" t="s">
        <v>4</v>
      </c>
      <c r="G1" s="16" t="s">
        <v>7</v>
      </c>
      <c r="H1" s="16" t="s">
        <v>5</v>
      </c>
      <c r="I1" s="16" t="s">
        <v>6</v>
      </c>
      <c r="J1" s="16" t="s">
        <v>20</v>
      </c>
      <c r="K1" s="18"/>
      <c r="L1" s="16" t="s">
        <v>7</v>
      </c>
      <c r="M1" s="16" t="s">
        <v>10</v>
      </c>
      <c r="N1" s="16" t="s">
        <v>12</v>
      </c>
      <c r="O1" s="19"/>
      <c r="P1" s="16"/>
      <c r="Q1" s="20" t="s">
        <v>4</v>
      </c>
      <c r="R1" s="16" t="s">
        <v>13</v>
      </c>
      <c r="S1" s="16" t="s">
        <v>14</v>
      </c>
      <c r="T1" s="16" t="s">
        <v>15</v>
      </c>
      <c r="U1" s="16" t="s">
        <v>12</v>
      </c>
      <c r="V1" s="18"/>
      <c r="W1" s="20" t="s">
        <v>4</v>
      </c>
      <c r="X1" s="16" t="s">
        <v>17</v>
      </c>
      <c r="Y1" s="16" t="s">
        <v>10</v>
      </c>
      <c r="Z1" s="16" t="s">
        <v>18</v>
      </c>
      <c r="AA1" s="18"/>
      <c r="AB1" s="18"/>
      <c r="AC1" s="16" t="s">
        <v>4</v>
      </c>
      <c r="AD1" s="16" t="s">
        <v>19</v>
      </c>
      <c r="AE1" s="16" t="s">
        <v>12</v>
      </c>
      <c r="AF1" s="18"/>
      <c r="AG1" s="18"/>
      <c r="AH1" s="20" t="s">
        <v>4</v>
      </c>
      <c r="AI1" s="16" t="s">
        <v>5</v>
      </c>
      <c r="AJ1" s="16" t="s">
        <v>12</v>
      </c>
      <c r="AK1" s="16" t="s">
        <v>22</v>
      </c>
      <c r="AL1" s="18"/>
      <c r="AM1" s="21"/>
      <c r="AN1" s="18"/>
      <c r="AO1" s="20" t="s">
        <v>4</v>
      </c>
      <c r="AP1" s="16" t="s">
        <v>21</v>
      </c>
      <c r="AQ1" s="18"/>
      <c r="AR1" s="20" t="s">
        <v>4</v>
      </c>
      <c r="AS1" s="10" t="s">
        <v>23</v>
      </c>
      <c r="AT1" s="16" t="s">
        <v>10</v>
      </c>
      <c r="AU1" s="10" t="s">
        <v>12</v>
      </c>
      <c r="AV1" s="21"/>
      <c r="AW1" s="21" t="s">
        <v>44</v>
      </c>
      <c r="AX1" s="18"/>
      <c r="AY1" s="18"/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  <c r="BI1" s="10" t="s">
        <v>113</v>
      </c>
      <c r="BJ1" s="16" t="s">
        <v>91</v>
      </c>
      <c r="BK1" s="10" t="s">
        <v>92</v>
      </c>
      <c r="BM1" s="10" t="s">
        <v>113</v>
      </c>
      <c r="BN1" s="16" t="s">
        <v>91</v>
      </c>
      <c r="BO1" s="10" t="s">
        <v>92</v>
      </c>
    </row>
    <row r="2" spans="1:67" x14ac:dyDescent="0.25">
      <c r="A2" s="12" t="s">
        <v>56</v>
      </c>
      <c r="B2" s="12">
        <v>68.8</v>
      </c>
      <c r="C2" s="2">
        <f>SUM(B1:B50)</f>
        <v>6770.0300000000007</v>
      </c>
      <c r="E2" s="1"/>
      <c r="F2" s="4">
        <v>45474</v>
      </c>
      <c r="G2" s="1">
        <f>C2</f>
        <v>6770.0300000000007</v>
      </c>
      <c r="H2" s="1">
        <v>54.96</v>
      </c>
      <c r="I2" s="1">
        <f>G2-H2</f>
        <v>6715.0700000000006</v>
      </c>
      <c r="J2" s="2">
        <f>SUM(H2:H32)</f>
        <v>190.5</v>
      </c>
      <c r="L2" t="s">
        <v>41</v>
      </c>
      <c r="M2" s="1">
        <f>643.5-321</f>
        <v>322.5</v>
      </c>
      <c r="N2" s="2">
        <f>SUM(M2:M75)</f>
        <v>10117.310000000001</v>
      </c>
      <c r="O2" s="3"/>
      <c r="P2" s="5"/>
      <c r="Q2" s="3">
        <v>45444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45475</v>
      </c>
      <c r="X2" s="12" t="s">
        <v>56</v>
      </c>
      <c r="Y2" s="12">
        <v>68.8</v>
      </c>
      <c r="Z2" s="2">
        <f>SUM(Y2:Y30)</f>
        <v>3004.55</v>
      </c>
      <c r="AC2" s="3">
        <v>45474</v>
      </c>
      <c r="AD2" s="1">
        <v>20</v>
      </c>
      <c r="AE2" s="2">
        <f>AD2</f>
        <v>20</v>
      </c>
      <c r="AH2" s="3">
        <v>45474</v>
      </c>
      <c r="AI2" s="1">
        <v>54.96</v>
      </c>
      <c r="AJ2" s="1">
        <f>SUM(AI2:AI32)</f>
        <v>190.5</v>
      </c>
      <c r="AK2" s="2">
        <f>AJ2*1</f>
        <v>190.5</v>
      </c>
      <c r="AM2" s="1"/>
      <c r="AO2" s="3">
        <v>45475</v>
      </c>
      <c r="AP2" s="12" t="s">
        <v>56</v>
      </c>
      <c r="AR2" s="9">
        <v>45447</v>
      </c>
      <c r="AT2" s="1"/>
      <c r="AU2" s="2">
        <f>SUM(AT2:AT82)</f>
        <v>0</v>
      </c>
      <c r="AV2" s="1"/>
      <c r="AW2" s="1">
        <f>SUM(AV1:AV36)</f>
        <v>0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I2" s="10" t="s">
        <v>90</v>
      </c>
      <c r="BJ2" s="1">
        <v>1874.71</v>
      </c>
      <c r="BK2" s="2">
        <f>BJ2/21</f>
        <v>89.271904761904764</v>
      </c>
      <c r="BM2" s="10" t="s">
        <v>90</v>
      </c>
      <c r="BN2" s="1">
        <v>909.71</v>
      </c>
      <c r="BO2" s="2">
        <f>BN2/14</f>
        <v>64.979285714285723</v>
      </c>
    </row>
    <row r="3" spans="1:67" x14ac:dyDescent="0.25">
      <c r="A3" s="12" t="s">
        <v>122</v>
      </c>
      <c r="B3" s="12">
        <v>180</v>
      </c>
      <c r="E3" s="1"/>
      <c r="F3" s="4">
        <v>45475</v>
      </c>
      <c r="G3" s="1">
        <f>G2</f>
        <v>6770.0300000000007</v>
      </c>
      <c r="H3" s="1">
        <v>72.34</v>
      </c>
      <c r="I3" s="1">
        <f>I2-H3</f>
        <v>6642.7300000000005</v>
      </c>
      <c r="L3" t="s">
        <v>82</v>
      </c>
      <c r="M3" s="1">
        <v>1355.17</v>
      </c>
      <c r="O3" s="3"/>
      <c r="P3" s="5"/>
      <c r="Q3" s="3">
        <v>45445</v>
      </c>
      <c r="R3" s="5">
        <v>500</v>
      </c>
      <c r="S3" s="1">
        <v>0</v>
      </c>
      <c r="T3" s="1">
        <f>T2-S3</f>
        <v>500</v>
      </c>
      <c r="W3" s="3">
        <v>45476</v>
      </c>
      <c r="X3" s="12" t="s">
        <v>122</v>
      </c>
      <c r="Y3" s="12">
        <v>180</v>
      </c>
      <c r="AC3" s="3">
        <v>45475</v>
      </c>
      <c r="AD3" s="1">
        <v>20</v>
      </c>
      <c r="AE3" s="2">
        <f>AD3+AE2</f>
        <v>40</v>
      </c>
      <c r="AH3" s="3">
        <v>45475</v>
      </c>
      <c r="AI3" s="1">
        <v>72.34</v>
      </c>
      <c r="AJ3" s="1"/>
      <c r="AK3" s="2">
        <f>AJ2/2</f>
        <v>95.25</v>
      </c>
      <c r="AM3" s="1"/>
      <c r="AO3" s="3">
        <v>45476</v>
      </c>
      <c r="AP3" s="12" t="s">
        <v>122</v>
      </c>
      <c r="AR3" s="9">
        <v>45445</v>
      </c>
      <c r="AT3" s="1"/>
      <c r="AV3" s="1"/>
      <c r="AW3" s="1"/>
      <c r="BA3" t="s">
        <v>58</v>
      </c>
      <c r="BB3" s="1">
        <v>198.64</v>
      </c>
      <c r="BE3" s="10" t="s">
        <v>48</v>
      </c>
      <c r="BF3" s="1">
        <v>0</v>
      </c>
      <c r="BI3" s="10" t="s">
        <v>48</v>
      </c>
      <c r="BJ3" s="1">
        <v>42</v>
      </c>
      <c r="BM3" s="10" t="s">
        <v>48</v>
      </c>
      <c r="BN3" s="1">
        <v>24</v>
      </c>
    </row>
    <row r="4" spans="1:67" x14ac:dyDescent="0.25">
      <c r="A4" s="23" t="s">
        <v>109</v>
      </c>
      <c r="B4" s="12">
        <v>938</v>
      </c>
      <c r="E4" s="1"/>
      <c r="F4" s="4">
        <v>45476</v>
      </c>
      <c r="G4" s="1">
        <f t="shared" ref="G4:G32" si="0">G3</f>
        <v>6770.0300000000007</v>
      </c>
      <c r="H4" s="1">
        <v>30.91</v>
      </c>
      <c r="I4" s="1">
        <f t="shared" ref="I4:I32" si="1">I3-H4</f>
        <v>6611.8200000000006</v>
      </c>
      <c r="L4" t="s">
        <v>109</v>
      </c>
      <c r="M4" s="1">
        <v>938</v>
      </c>
      <c r="O4" s="3"/>
      <c r="P4" s="5"/>
      <c r="Q4" s="3">
        <v>45446</v>
      </c>
      <c r="R4" s="5">
        <v>500</v>
      </c>
      <c r="S4" s="1">
        <v>0</v>
      </c>
      <c r="T4" s="1">
        <f t="shared" ref="T4:T31" si="2">T3-S4</f>
        <v>500</v>
      </c>
      <c r="W4" s="3">
        <v>45477</v>
      </c>
      <c r="X4" s="23" t="s">
        <v>109</v>
      </c>
      <c r="Y4" s="12">
        <v>938</v>
      </c>
      <c r="AC4" s="3">
        <v>45476</v>
      </c>
      <c r="AD4" s="1">
        <v>0</v>
      </c>
      <c r="AE4" s="2">
        <f t="shared" ref="AE4:AE32" si="3">AD4+AE3</f>
        <v>40</v>
      </c>
      <c r="AH4" s="3">
        <v>45476</v>
      </c>
      <c r="AI4" s="1">
        <v>30.91</v>
      </c>
      <c r="AJ4" s="1"/>
      <c r="AK4" s="2">
        <f>AJ2/3</f>
        <v>63.5</v>
      </c>
      <c r="AM4" s="1"/>
      <c r="AO4" s="3">
        <v>45477</v>
      </c>
      <c r="AP4" s="23" t="s">
        <v>109</v>
      </c>
      <c r="AR4" s="9">
        <v>45446</v>
      </c>
      <c r="AT4" s="1"/>
      <c r="AV4" s="1"/>
      <c r="AW4" s="1"/>
      <c r="BA4" t="s">
        <v>51</v>
      </c>
      <c r="BB4" s="1">
        <v>178.12</v>
      </c>
      <c r="BE4" s="10" t="s">
        <v>49</v>
      </c>
      <c r="BF4" s="1">
        <v>230.54</v>
      </c>
      <c r="BI4" s="10" t="s">
        <v>49</v>
      </c>
      <c r="BJ4" s="1">
        <v>97.26</v>
      </c>
      <c r="BM4" s="10" t="s">
        <v>49</v>
      </c>
      <c r="BN4" s="1">
        <v>10</v>
      </c>
    </row>
    <row r="5" spans="1:67" x14ac:dyDescent="0.25">
      <c r="A5" s="12" t="s">
        <v>83</v>
      </c>
      <c r="B5" s="12">
        <v>1355.17</v>
      </c>
      <c r="E5" s="1"/>
      <c r="F5" s="4">
        <v>45477</v>
      </c>
      <c r="G5" s="1">
        <f t="shared" si="0"/>
        <v>6770.0300000000007</v>
      </c>
      <c r="H5" s="1">
        <v>32.29</v>
      </c>
      <c r="I5" s="1">
        <f t="shared" si="1"/>
        <v>6579.5300000000007</v>
      </c>
      <c r="L5" t="s">
        <v>82</v>
      </c>
      <c r="M5" s="1">
        <f>1281-128.1</f>
        <v>1152.9000000000001</v>
      </c>
      <c r="O5" s="3"/>
      <c r="P5" s="5"/>
      <c r="Q5" s="3">
        <v>45447</v>
      </c>
      <c r="R5" s="5">
        <v>500</v>
      </c>
      <c r="S5" s="1">
        <v>0</v>
      </c>
      <c r="T5" s="1">
        <f t="shared" si="2"/>
        <v>500</v>
      </c>
      <c r="W5" s="3">
        <v>45478</v>
      </c>
      <c r="X5" s="12" t="s">
        <v>83</v>
      </c>
      <c r="Y5" s="12">
        <v>1355.17</v>
      </c>
      <c r="AC5" s="3">
        <v>45477</v>
      </c>
      <c r="AD5" s="1">
        <v>20</v>
      </c>
      <c r="AE5" s="2">
        <f t="shared" si="3"/>
        <v>60</v>
      </c>
      <c r="AH5" s="3">
        <v>45477</v>
      </c>
      <c r="AI5" s="1">
        <v>32.29</v>
      </c>
      <c r="AJ5" s="1"/>
      <c r="AK5" s="2">
        <f>AJ2/4</f>
        <v>47.625</v>
      </c>
      <c r="AM5" s="1"/>
      <c r="AO5" s="3">
        <v>45478</v>
      </c>
      <c r="AP5" s="12" t="s">
        <v>83</v>
      </c>
      <c r="AR5" s="9">
        <v>45447</v>
      </c>
      <c r="AT5" s="1"/>
      <c r="AV5" s="1"/>
      <c r="AW5" s="1"/>
      <c r="BA5" t="s">
        <v>52</v>
      </c>
      <c r="BB5" s="11">
        <f>180+160.3</f>
        <v>340.3</v>
      </c>
      <c r="BE5" s="10" t="s">
        <v>50</v>
      </c>
      <c r="BF5" s="1">
        <v>302.47000000000003</v>
      </c>
      <c r="BI5" s="10" t="s">
        <v>50</v>
      </c>
      <c r="BJ5" s="1">
        <v>454.08</v>
      </c>
      <c r="BM5" s="10" t="s">
        <v>50</v>
      </c>
      <c r="BN5" s="1">
        <v>606.53</v>
      </c>
    </row>
    <row r="6" spans="1:67" x14ac:dyDescent="0.25">
      <c r="A6" s="12" t="s">
        <v>75</v>
      </c>
      <c r="B6" s="12">
        <v>33.9</v>
      </c>
      <c r="E6" s="1"/>
      <c r="F6" s="4">
        <v>45478</v>
      </c>
      <c r="G6" s="1">
        <f t="shared" si="0"/>
        <v>6770.0300000000007</v>
      </c>
      <c r="H6" s="1">
        <v>0</v>
      </c>
      <c r="I6" s="1">
        <f t="shared" si="1"/>
        <v>6579.5300000000007</v>
      </c>
      <c r="L6" t="s">
        <v>114</v>
      </c>
      <c r="M6" s="1">
        <v>2893.68</v>
      </c>
      <c r="O6" s="3"/>
      <c r="P6" s="5"/>
      <c r="Q6" s="3">
        <v>45448</v>
      </c>
      <c r="R6" s="5">
        <v>500</v>
      </c>
      <c r="S6" s="1">
        <v>0</v>
      </c>
      <c r="T6" s="1">
        <f t="shared" si="2"/>
        <v>500</v>
      </c>
      <c r="W6" s="3">
        <v>45478</v>
      </c>
      <c r="X6" s="12" t="s">
        <v>75</v>
      </c>
      <c r="Y6" s="12">
        <v>33.9</v>
      </c>
      <c r="AC6" s="3">
        <v>45478</v>
      </c>
      <c r="AD6" s="1"/>
      <c r="AE6" s="2">
        <f t="shared" si="3"/>
        <v>60</v>
      </c>
      <c r="AH6" s="3">
        <v>45478</v>
      </c>
      <c r="AI6" s="1">
        <v>0</v>
      </c>
      <c r="AJ6" s="1"/>
      <c r="AK6" s="2">
        <f>AJ2/5</f>
        <v>38.1</v>
      </c>
      <c r="AM6" s="1"/>
      <c r="AO6" s="3">
        <v>45478</v>
      </c>
      <c r="AP6" s="12" t="s">
        <v>75</v>
      </c>
      <c r="AR6" s="9">
        <v>45448</v>
      </c>
      <c r="AT6" s="1"/>
      <c r="AV6" s="1"/>
      <c r="AW6" s="1"/>
      <c r="BA6" t="s">
        <v>59</v>
      </c>
      <c r="BB6" s="11">
        <v>863.42</v>
      </c>
      <c r="BE6" s="10" t="s">
        <v>51</v>
      </c>
      <c r="BF6" s="1">
        <v>0</v>
      </c>
      <c r="BI6" s="10" t="s">
        <v>51</v>
      </c>
      <c r="BJ6" s="1">
        <v>0</v>
      </c>
      <c r="BM6" s="10" t="s">
        <v>51</v>
      </c>
      <c r="BN6" s="1">
        <v>0</v>
      </c>
    </row>
    <row r="7" spans="1:67" x14ac:dyDescent="0.25">
      <c r="A7" s="12" t="s">
        <v>140</v>
      </c>
      <c r="B7" s="12">
        <v>28.68</v>
      </c>
      <c r="E7" s="1"/>
      <c r="F7" s="4">
        <v>45479</v>
      </c>
      <c r="G7" s="1">
        <f t="shared" si="0"/>
        <v>6770.0300000000007</v>
      </c>
      <c r="H7" s="1">
        <v>0</v>
      </c>
      <c r="I7" s="1">
        <f t="shared" si="1"/>
        <v>6579.5300000000007</v>
      </c>
      <c r="L7" t="s">
        <v>116</v>
      </c>
      <c r="M7" s="1">
        <v>490</v>
      </c>
      <c r="O7" s="3"/>
      <c r="P7" s="5"/>
      <c r="Q7" s="3">
        <v>45449</v>
      </c>
      <c r="R7" s="5">
        <v>500</v>
      </c>
      <c r="S7" s="1">
        <v>0</v>
      </c>
      <c r="T7" s="1">
        <f t="shared" si="2"/>
        <v>500</v>
      </c>
      <c r="W7" s="3">
        <v>45478</v>
      </c>
      <c r="X7" s="12" t="s">
        <v>140</v>
      </c>
      <c r="Y7" s="12">
        <v>28.68</v>
      </c>
      <c r="AC7" s="3">
        <v>45479</v>
      </c>
      <c r="AD7" s="1"/>
      <c r="AE7" s="2">
        <f t="shared" si="3"/>
        <v>60</v>
      </c>
      <c r="AH7" s="3">
        <v>45479</v>
      </c>
      <c r="AI7" s="1">
        <v>0</v>
      </c>
      <c r="AJ7" s="1"/>
      <c r="AK7" s="2">
        <f>AJ2/6</f>
        <v>31.75</v>
      </c>
      <c r="AM7" s="1"/>
      <c r="AO7" s="3">
        <v>45478</v>
      </c>
      <c r="AP7" s="12" t="s">
        <v>140</v>
      </c>
      <c r="AR7" s="9">
        <v>45449</v>
      </c>
      <c r="AT7" s="1"/>
      <c r="AV7" s="1"/>
      <c r="AW7" s="1"/>
      <c r="BA7" t="s">
        <v>60</v>
      </c>
      <c r="BB7" s="11">
        <v>157.5</v>
      </c>
      <c r="BE7" s="10" t="s">
        <v>44</v>
      </c>
      <c r="BF7" s="1">
        <v>157.5</v>
      </c>
      <c r="BI7" s="10" t="s">
        <v>44</v>
      </c>
      <c r="BJ7" s="1">
        <v>157.5</v>
      </c>
      <c r="BM7" s="10" t="s">
        <v>44</v>
      </c>
      <c r="BN7" s="1">
        <v>56.25</v>
      </c>
    </row>
    <row r="8" spans="1:67" x14ac:dyDescent="0.25">
      <c r="A8" s="23" t="s">
        <v>142</v>
      </c>
      <c r="B8" s="12">
        <v>200</v>
      </c>
      <c r="E8" s="1"/>
      <c r="F8" s="4">
        <v>45480</v>
      </c>
      <c r="G8" s="1">
        <f t="shared" si="0"/>
        <v>6770.0300000000007</v>
      </c>
      <c r="H8" s="1">
        <v>0</v>
      </c>
      <c r="I8" s="1">
        <f t="shared" si="1"/>
        <v>6579.5300000000007</v>
      </c>
      <c r="L8" t="s">
        <v>117</v>
      </c>
      <c r="M8" s="1">
        <v>230</v>
      </c>
      <c r="O8" s="3"/>
      <c r="P8" s="5"/>
      <c r="Q8" s="3">
        <v>45450</v>
      </c>
      <c r="R8" s="5">
        <v>500</v>
      </c>
      <c r="S8" s="1">
        <v>0</v>
      </c>
      <c r="T8" s="1">
        <f t="shared" si="2"/>
        <v>500</v>
      </c>
      <c r="W8" s="3">
        <v>45478</v>
      </c>
      <c r="X8" s="23" t="s">
        <v>142</v>
      </c>
      <c r="Y8" s="12">
        <v>200</v>
      </c>
      <c r="AC8" s="3">
        <v>45480</v>
      </c>
      <c r="AD8" s="1"/>
      <c r="AE8" s="2">
        <f t="shared" si="3"/>
        <v>60</v>
      </c>
      <c r="AH8" s="3">
        <v>45480</v>
      </c>
      <c r="AI8" s="1">
        <v>0</v>
      </c>
      <c r="AJ8" s="1"/>
      <c r="AK8" s="2">
        <f>AJ2/7</f>
        <v>27.214285714285715</v>
      </c>
      <c r="AM8" s="1"/>
      <c r="AO8" s="3">
        <v>45478</v>
      </c>
      <c r="AP8" s="23" t="s">
        <v>142</v>
      </c>
      <c r="AR8" s="9">
        <v>45450</v>
      </c>
      <c r="AT8" s="1"/>
      <c r="AV8" s="1"/>
      <c r="AW8" s="1"/>
      <c r="BA8" t="s">
        <v>54</v>
      </c>
      <c r="BB8" s="11">
        <v>204.23</v>
      </c>
      <c r="BE8" s="10" t="s">
        <v>52</v>
      </c>
      <c r="BF8" s="1">
        <v>1394.68</v>
      </c>
      <c r="BI8" s="10" t="s">
        <v>52</v>
      </c>
      <c r="BJ8" s="1">
        <v>1836.12</v>
      </c>
      <c r="BM8" s="10" t="s">
        <v>52</v>
      </c>
      <c r="BN8" s="1">
        <v>1836.12</v>
      </c>
    </row>
    <row r="9" spans="1:67" x14ac:dyDescent="0.25">
      <c r="A9" s="23" t="s">
        <v>143</v>
      </c>
      <c r="B9" s="12">
        <v>200</v>
      </c>
      <c r="E9" s="1"/>
      <c r="F9" s="4">
        <v>45481</v>
      </c>
      <c r="G9" s="1">
        <f t="shared" si="0"/>
        <v>6770.0300000000007</v>
      </c>
      <c r="H9" s="1"/>
      <c r="I9" s="1">
        <f t="shared" si="1"/>
        <v>6579.5300000000007</v>
      </c>
      <c r="L9" t="s">
        <v>132</v>
      </c>
      <c r="M9" s="1">
        <v>149.43</v>
      </c>
      <c r="O9" s="3"/>
      <c r="P9" s="5"/>
      <c r="Q9" s="3">
        <v>45451</v>
      </c>
      <c r="R9" s="5">
        <v>500</v>
      </c>
      <c r="S9" s="1">
        <v>0</v>
      </c>
      <c r="T9" s="1">
        <f t="shared" si="2"/>
        <v>500</v>
      </c>
      <c r="W9" s="3">
        <v>45480</v>
      </c>
      <c r="X9" s="23" t="s">
        <v>143</v>
      </c>
      <c r="Y9" s="12">
        <v>200</v>
      </c>
      <c r="AC9" s="3">
        <v>45481</v>
      </c>
      <c r="AD9" s="1"/>
      <c r="AE9" s="2">
        <f t="shared" si="3"/>
        <v>60</v>
      </c>
      <c r="AH9" s="3">
        <v>45481</v>
      </c>
      <c r="AI9" s="1"/>
      <c r="AJ9" s="1"/>
      <c r="AK9" s="2">
        <f>AJ2/8</f>
        <v>23.8125</v>
      </c>
      <c r="AM9" s="1"/>
      <c r="AO9" s="3"/>
      <c r="AP9" s="7"/>
      <c r="AR9" s="9">
        <v>45451</v>
      </c>
      <c r="AT9" s="1"/>
      <c r="AV9" s="1"/>
      <c r="AW9" s="1"/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I9" s="10" t="s">
        <v>53</v>
      </c>
      <c r="BJ9" s="12">
        <v>446.42</v>
      </c>
      <c r="BM9" s="10" t="s">
        <v>53</v>
      </c>
      <c r="BN9" s="12">
        <v>633.47</v>
      </c>
    </row>
    <row r="10" spans="1:67" x14ac:dyDescent="0.25">
      <c r="A10" s="14" t="s">
        <v>34</v>
      </c>
      <c r="B10" s="14">
        <v>147.5</v>
      </c>
      <c r="E10" s="1"/>
      <c r="F10" s="4">
        <v>45482</v>
      </c>
      <c r="G10" s="1">
        <f t="shared" si="0"/>
        <v>6770.0300000000007</v>
      </c>
      <c r="H10" s="1"/>
      <c r="I10" s="1">
        <f t="shared" si="1"/>
        <v>6579.5300000000007</v>
      </c>
      <c r="L10" t="s">
        <v>119</v>
      </c>
      <c r="M10" s="1">
        <v>60</v>
      </c>
      <c r="O10" s="3"/>
      <c r="P10" s="5"/>
      <c r="Q10" s="3">
        <v>45452</v>
      </c>
      <c r="R10" s="5">
        <v>500</v>
      </c>
      <c r="S10" s="1">
        <v>0</v>
      </c>
      <c r="T10" s="1">
        <f t="shared" si="2"/>
        <v>500</v>
      </c>
      <c r="W10" s="3"/>
      <c r="X10" s="7"/>
      <c r="Y10" s="1"/>
      <c r="AC10" s="3">
        <v>45482</v>
      </c>
      <c r="AD10" s="1"/>
      <c r="AE10" s="2">
        <f t="shared" si="3"/>
        <v>60</v>
      </c>
      <c r="AH10" s="3">
        <v>45482</v>
      </c>
      <c r="AI10" s="1"/>
      <c r="AJ10" s="1"/>
      <c r="AK10" s="2">
        <f>AJ2/9</f>
        <v>21.166666666666668</v>
      </c>
      <c r="AM10" s="1"/>
      <c r="AO10" s="3"/>
      <c r="AP10" s="7"/>
      <c r="AR10" s="9">
        <v>45452</v>
      </c>
      <c r="AT10" s="1"/>
      <c r="AV10" s="1"/>
      <c r="AW10" s="1"/>
      <c r="BA10" s="10"/>
      <c r="BB10" s="1"/>
      <c r="BE10" s="10" t="s">
        <v>54</v>
      </c>
      <c r="BF10" s="1">
        <v>364.55</v>
      </c>
      <c r="BI10" s="10" t="s">
        <v>54</v>
      </c>
      <c r="BJ10" s="12">
        <v>354.89</v>
      </c>
      <c r="BM10" s="10" t="s">
        <v>54</v>
      </c>
      <c r="BN10" s="12">
        <v>152</v>
      </c>
    </row>
    <row r="11" spans="1:67" x14ac:dyDescent="0.25">
      <c r="A11" s="14" t="s">
        <v>19</v>
      </c>
      <c r="B11" s="1">
        <v>364.55</v>
      </c>
      <c r="E11" s="1"/>
      <c r="F11" s="4">
        <v>45483</v>
      </c>
      <c r="G11" s="1">
        <f t="shared" si="0"/>
        <v>6770.0300000000007</v>
      </c>
      <c r="H11" s="1"/>
      <c r="I11" s="1">
        <f t="shared" si="1"/>
        <v>6579.5300000000007</v>
      </c>
      <c r="L11" t="s">
        <v>121</v>
      </c>
      <c r="M11" s="1">
        <v>750</v>
      </c>
      <c r="O11" s="3"/>
      <c r="P11" s="5"/>
      <c r="Q11" s="3">
        <v>45453</v>
      </c>
      <c r="R11" s="5">
        <v>500</v>
      </c>
      <c r="S11" s="1">
        <v>0</v>
      </c>
      <c r="T11" s="1">
        <f t="shared" si="2"/>
        <v>500</v>
      </c>
      <c r="W11" s="3"/>
      <c r="X11" s="7"/>
      <c r="Y11" s="1"/>
      <c r="AC11" s="3">
        <v>45483</v>
      </c>
      <c r="AD11" s="1"/>
      <c r="AE11" s="2">
        <f t="shared" si="3"/>
        <v>60</v>
      </c>
      <c r="AH11" s="3">
        <v>45483</v>
      </c>
      <c r="AI11" s="1"/>
      <c r="AJ11" s="1"/>
      <c r="AK11" s="2">
        <f>AJ2/10</f>
        <v>19.05</v>
      </c>
      <c r="AM11" s="1"/>
      <c r="AO11" s="3"/>
      <c r="AP11" s="7"/>
      <c r="AR11" s="9">
        <v>45453</v>
      </c>
      <c r="AT11" s="1"/>
      <c r="AV11" s="1"/>
      <c r="AW11" s="1"/>
      <c r="BA11" s="10"/>
      <c r="BB11" s="1"/>
    </row>
    <row r="12" spans="1:67" x14ac:dyDescent="0.25">
      <c r="A12" s="14" t="s">
        <v>67</v>
      </c>
      <c r="B12" s="14">
        <v>200</v>
      </c>
      <c r="E12" s="1"/>
      <c r="F12" s="4">
        <v>45484</v>
      </c>
      <c r="G12" s="1">
        <f t="shared" si="0"/>
        <v>6770.0300000000007</v>
      </c>
      <c r="H12" s="1"/>
      <c r="I12" s="1">
        <f t="shared" si="1"/>
        <v>6579.5300000000007</v>
      </c>
      <c r="L12" t="s">
        <v>124</v>
      </c>
      <c r="M12" s="1">
        <v>180</v>
      </c>
      <c r="O12" s="3"/>
      <c r="P12" s="5"/>
      <c r="Q12" s="3">
        <v>45454</v>
      </c>
      <c r="R12" s="5">
        <v>500</v>
      </c>
      <c r="S12" s="1">
        <v>0</v>
      </c>
      <c r="T12" s="1">
        <f t="shared" si="2"/>
        <v>500</v>
      </c>
      <c r="W12" s="3"/>
      <c r="X12" s="7"/>
      <c r="Y12" s="1"/>
      <c r="AC12" s="3">
        <v>45484</v>
      </c>
      <c r="AD12" s="1"/>
      <c r="AE12" s="2">
        <f t="shared" si="3"/>
        <v>60</v>
      </c>
      <c r="AH12" s="3">
        <v>45484</v>
      </c>
      <c r="AI12" s="1"/>
      <c r="AJ12" s="1"/>
      <c r="AK12" s="2">
        <f>AJ2/11</f>
        <v>17.318181818181817</v>
      </c>
      <c r="AM12" s="1"/>
      <c r="AO12" s="3"/>
      <c r="AP12" s="7"/>
      <c r="AR12" s="9">
        <v>45454</v>
      </c>
      <c r="AT12" s="1"/>
      <c r="AV12" s="1"/>
      <c r="AW12" s="1"/>
      <c r="BA12" s="10"/>
      <c r="BB12" s="1"/>
    </row>
    <row r="13" spans="1:67" x14ac:dyDescent="0.25">
      <c r="A13" s="14" t="s">
        <v>65</v>
      </c>
      <c r="B13" s="14">
        <v>800</v>
      </c>
      <c r="E13" s="1"/>
      <c r="F13" s="4">
        <v>45485</v>
      </c>
      <c r="G13" s="1">
        <f t="shared" si="0"/>
        <v>6770.0300000000007</v>
      </c>
      <c r="H13" s="1"/>
      <c r="I13" s="1">
        <f t="shared" si="1"/>
        <v>6579.5300000000007</v>
      </c>
      <c r="L13" t="s">
        <v>133</v>
      </c>
      <c r="M13" s="1">
        <v>727.02</v>
      </c>
      <c r="O13" s="3"/>
      <c r="P13" s="5"/>
      <c r="Q13" s="3">
        <v>45455</v>
      </c>
      <c r="R13" s="5">
        <v>500</v>
      </c>
      <c r="S13" s="1">
        <v>0</v>
      </c>
      <c r="T13" s="1">
        <f t="shared" si="2"/>
        <v>500</v>
      </c>
      <c r="W13" s="3"/>
      <c r="X13" s="7"/>
      <c r="Y13" s="1"/>
      <c r="AC13" s="3">
        <v>45485</v>
      </c>
      <c r="AD13" s="1"/>
      <c r="AE13" s="2">
        <f t="shared" si="3"/>
        <v>60</v>
      </c>
      <c r="AH13" s="3">
        <v>45485</v>
      </c>
      <c r="AI13" s="1"/>
      <c r="AJ13" s="1"/>
      <c r="AK13" s="2">
        <f>AJ2/12</f>
        <v>15.875</v>
      </c>
      <c r="AM13" s="1"/>
      <c r="AO13" s="3"/>
      <c r="AP13" s="7"/>
      <c r="AR13" s="9">
        <v>45455</v>
      </c>
      <c r="AT13" s="1"/>
      <c r="AV13" s="1"/>
      <c r="AW13" s="1"/>
      <c r="BA13" s="10"/>
      <c r="BB13" s="1"/>
    </row>
    <row r="14" spans="1:67" x14ac:dyDescent="0.25">
      <c r="A14" s="14" t="s">
        <v>115</v>
      </c>
      <c r="B14" s="14">
        <v>289.36</v>
      </c>
      <c r="E14" s="1"/>
      <c r="F14" s="4">
        <v>45486</v>
      </c>
      <c r="G14" s="1">
        <f t="shared" si="0"/>
        <v>6770.0300000000007</v>
      </c>
      <c r="H14" s="1"/>
      <c r="I14" s="1">
        <f t="shared" si="1"/>
        <v>6579.5300000000007</v>
      </c>
      <c r="L14" t="s">
        <v>134</v>
      </c>
      <c r="M14" s="1">
        <v>327.93</v>
      </c>
      <c r="O14" s="3"/>
      <c r="P14" s="5"/>
      <c r="Q14" s="3">
        <v>45456</v>
      </c>
      <c r="R14" s="5">
        <v>500</v>
      </c>
      <c r="S14" s="1">
        <v>0</v>
      </c>
      <c r="T14" s="1">
        <f t="shared" si="2"/>
        <v>500</v>
      </c>
      <c r="W14" s="3"/>
      <c r="X14" s="7"/>
      <c r="Y14" s="1"/>
      <c r="AC14" s="3">
        <v>45486</v>
      </c>
      <c r="AD14" s="1"/>
      <c r="AE14" s="2">
        <f t="shared" si="3"/>
        <v>60</v>
      </c>
      <c r="AH14" s="3">
        <v>45486</v>
      </c>
      <c r="AI14" s="1"/>
      <c r="AJ14" s="1"/>
      <c r="AK14" s="2">
        <f>AJ2/13</f>
        <v>14.653846153846153</v>
      </c>
      <c r="AM14" s="1"/>
      <c r="AO14" s="3"/>
      <c r="AP14" s="7"/>
      <c r="AR14" s="9">
        <v>45456</v>
      </c>
      <c r="AT14" s="1"/>
      <c r="AV14" s="1"/>
      <c r="AW14" s="1"/>
      <c r="BA14" s="10"/>
      <c r="BB14" s="1"/>
    </row>
    <row r="15" spans="1:67" x14ac:dyDescent="0.25">
      <c r="A15" s="14" t="s">
        <v>123</v>
      </c>
      <c r="B15" s="14">
        <v>180</v>
      </c>
      <c r="E15" s="1"/>
      <c r="F15" s="4">
        <v>45487</v>
      </c>
      <c r="G15" s="1">
        <f t="shared" si="0"/>
        <v>6770.0300000000007</v>
      </c>
      <c r="H15" s="1"/>
      <c r="I15" s="1">
        <f t="shared" si="1"/>
        <v>6579.5300000000007</v>
      </c>
      <c r="L15" t="s">
        <v>135</v>
      </c>
      <c r="M15" s="1">
        <v>496.99</v>
      </c>
      <c r="O15" s="3"/>
      <c r="P15" s="5"/>
      <c r="Q15" s="3">
        <v>45457</v>
      </c>
      <c r="R15" s="5">
        <v>500</v>
      </c>
      <c r="S15" s="1">
        <v>0</v>
      </c>
      <c r="T15" s="1">
        <f t="shared" si="2"/>
        <v>500</v>
      </c>
      <c r="W15" s="3"/>
      <c r="X15" s="7"/>
      <c r="Y15" s="1"/>
      <c r="AC15" s="3">
        <v>45487</v>
      </c>
      <c r="AD15" s="1"/>
      <c r="AE15" s="2">
        <f t="shared" si="3"/>
        <v>60</v>
      </c>
      <c r="AH15" s="3">
        <v>45487</v>
      </c>
      <c r="AI15" s="1"/>
      <c r="AJ15" s="1"/>
      <c r="AK15" s="2">
        <f>AJ2/14</f>
        <v>13.607142857142858</v>
      </c>
      <c r="AM15" s="1"/>
      <c r="AO15" s="3"/>
      <c r="AP15" s="7"/>
      <c r="AR15" s="9">
        <v>45457</v>
      </c>
      <c r="AT15" s="1"/>
      <c r="AV15" s="1"/>
      <c r="AW15" s="1"/>
      <c r="BA15" s="10"/>
      <c r="BB15" s="1"/>
    </row>
    <row r="16" spans="1:67" x14ac:dyDescent="0.25">
      <c r="A16" s="14" t="s">
        <v>131</v>
      </c>
      <c r="B16" s="14">
        <v>496.99</v>
      </c>
      <c r="E16" s="1"/>
      <c r="F16" s="4">
        <v>45488</v>
      </c>
      <c r="G16" s="1">
        <f t="shared" si="0"/>
        <v>6770.0300000000007</v>
      </c>
      <c r="H16" s="1"/>
      <c r="I16" s="1">
        <f t="shared" si="1"/>
        <v>6579.5300000000007</v>
      </c>
      <c r="L16" t="s">
        <v>138</v>
      </c>
      <c r="M16" s="1">
        <v>43.69</v>
      </c>
      <c r="O16" s="3"/>
      <c r="P16" s="5"/>
      <c r="Q16" s="3">
        <v>45458</v>
      </c>
      <c r="R16" s="5">
        <v>500</v>
      </c>
      <c r="S16" s="1">
        <v>0</v>
      </c>
      <c r="T16" s="1">
        <f t="shared" si="2"/>
        <v>500</v>
      </c>
      <c r="W16" s="3"/>
      <c r="X16" s="7"/>
      <c r="Y16" s="1"/>
      <c r="AC16" s="3">
        <v>45488</v>
      </c>
      <c r="AD16" s="1"/>
      <c r="AE16" s="2">
        <f t="shared" si="3"/>
        <v>60</v>
      </c>
      <c r="AH16" s="3">
        <v>45488</v>
      </c>
      <c r="AI16" s="1"/>
      <c r="AJ16" s="1"/>
      <c r="AK16" s="2">
        <f>AJ2/15</f>
        <v>12.7</v>
      </c>
      <c r="AM16" s="1"/>
      <c r="AO16" s="3"/>
      <c r="AP16" s="7"/>
      <c r="AR16" s="9">
        <v>45458</v>
      </c>
      <c r="AT16" s="1"/>
      <c r="AV16" s="1"/>
      <c r="AW16" s="1"/>
      <c r="BA16" s="10"/>
      <c r="BB16" s="1"/>
    </row>
    <row r="17" spans="1:54" x14ac:dyDescent="0.25">
      <c r="A17" s="14" t="s">
        <v>136</v>
      </c>
      <c r="B17" s="14">
        <v>109.31</v>
      </c>
      <c r="E17" s="1"/>
      <c r="F17" s="4">
        <v>45489</v>
      </c>
      <c r="G17" s="1">
        <f t="shared" si="0"/>
        <v>6770.0300000000007</v>
      </c>
      <c r="H17" s="1"/>
      <c r="I17" s="1">
        <f t="shared" si="1"/>
        <v>6579.5300000000007</v>
      </c>
      <c r="M17" s="1"/>
      <c r="O17" s="3"/>
      <c r="P17" s="5"/>
      <c r="Q17" s="3">
        <v>45459</v>
      </c>
      <c r="R17" s="5">
        <v>500</v>
      </c>
      <c r="S17" s="1">
        <v>0</v>
      </c>
      <c r="T17" s="1">
        <f t="shared" si="2"/>
        <v>500</v>
      </c>
      <c r="W17" s="3"/>
      <c r="X17" s="7"/>
      <c r="Y17" s="1"/>
      <c r="AC17" s="3">
        <v>45489</v>
      </c>
      <c r="AD17" s="1"/>
      <c r="AE17" s="2">
        <f t="shared" si="3"/>
        <v>60</v>
      </c>
      <c r="AH17" s="3">
        <v>45489</v>
      </c>
      <c r="AI17" s="1"/>
      <c r="AJ17" s="1"/>
      <c r="AK17" s="2">
        <f>AJ2/16</f>
        <v>11.90625</v>
      </c>
      <c r="AM17" s="1"/>
      <c r="AO17" s="3"/>
      <c r="AP17" s="7"/>
      <c r="AR17" s="9">
        <v>45459</v>
      </c>
      <c r="AT17" s="1"/>
      <c r="AV17" s="1"/>
      <c r="AW17" s="1"/>
      <c r="BA17" s="10"/>
      <c r="BB17" s="1"/>
    </row>
    <row r="18" spans="1:54" x14ac:dyDescent="0.25">
      <c r="A18" s="14" t="s">
        <v>133</v>
      </c>
      <c r="B18" s="14">
        <v>121.17</v>
      </c>
      <c r="E18" s="1"/>
      <c r="F18" s="4">
        <v>45490</v>
      </c>
      <c r="G18" s="1">
        <f t="shared" si="0"/>
        <v>6770.0300000000007</v>
      </c>
      <c r="H18" s="1"/>
      <c r="I18" s="1">
        <f t="shared" si="1"/>
        <v>6579.5300000000007</v>
      </c>
      <c r="M18" s="1"/>
      <c r="O18" s="3"/>
      <c r="P18" s="5"/>
      <c r="Q18" s="3">
        <v>45460</v>
      </c>
      <c r="R18" s="5">
        <v>500</v>
      </c>
      <c r="S18" s="1">
        <v>0</v>
      </c>
      <c r="T18" s="1">
        <f t="shared" si="2"/>
        <v>500</v>
      </c>
      <c r="W18" s="3"/>
      <c r="X18" s="7"/>
      <c r="Y18" s="1"/>
      <c r="AC18" s="3">
        <v>45490</v>
      </c>
      <c r="AD18" s="1"/>
      <c r="AE18" s="2">
        <f>AD18+AE17</f>
        <v>60</v>
      </c>
      <c r="AH18" s="3">
        <v>45490</v>
      </c>
      <c r="AI18" s="1"/>
      <c r="AJ18" s="1"/>
      <c r="AK18" s="2">
        <f>AJ2/17</f>
        <v>11.205882352941176</v>
      </c>
      <c r="AM18" s="1"/>
      <c r="AO18" s="3"/>
      <c r="AP18" s="7"/>
      <c r="AR18" s="9">
        <v>45460</v>
      </c>
      <c r="AT18" s="1"/>
      <c r="AV18" s="1"/>
      <c r="AW18" s="1"/>
      <c r="BA18" s="10"/>
      <c r="BB18" s="1"/>
    </row>
    <row r="19" spans="1:54" x14ac:dyDescent="0.25">
      <c r="A19" s="14" t="s">
        <v>132</v>
      </c>
      <c r="B19" s="14">
        <v>49.81</v>
      </c>
      <c r="E19" s="1"/>
      <c r="F19" s="4">
        <v>45491</v>
      </c>
      <c r="G19" s="1">
        <f t="shared" si="0"/>
        <v>6770.0300000000007</v>
      </c>
      <c r="H19" s="1"/>
      <c r="I19" s="1">
        <f t="shared" si="1"/>
        <v>6579.5300000000007</v>
      </c>
      <c r="M19" s="1"/>
      <c r="O19" s="3"/>
      <c r="P19" s="5"/>
      <c r="Q19" s="3">
        <v>45461</v>
      </c>
      <c r="R19" s="5">
        <v>500</v>
      </c>
      <c r="S19" s="1">
        <v>0</v>
      </c>
      <c r="T19" s="1">
        <f t="shared" si="2"/>
        <v>500</v>
      </c>
      <c r="W19" s="3"/>
      <c r="X19" s="7"/>
      <c r="Y19" s="1"/>
      <c r="AC19" s="3">
        <v>45491</v>
      </c>
      <c r="AD19" s="1"/>
      <c r="AE19" s="2">
        <f>AD19+AE18</f>
        <v>60</v>
      </c>
      <c r="AH19" s="3">
        <v>45491</v>
      </c>
      <c r="AI19" s="1"/>
      <c r="AJ19" s="1"/>
      <c r="AK19" s="2">
        <f>AJ2/18</f>
        <v>10.583333333333334</v>
      </c>
      <c r="AM19" s="1"/>
      <c r="AO19" s="3"/>
      <c r="AP19" s="7"/>
      <c r="AR19" s="9">
        <v>45461</v>
      </c>
      <c r="AT19" s="1"/>
      <c r="AV19" s="1"/>
      <c r="AW19" s="1"/>
      <c r="BA19" s="10"/>
      <c r="BB19" s="1"/>
    </row>
    <row r="20" spans="1:54" x14ac:dyDescent="0.25">
      <c r="A20" s="14" t="s">
        <v>137</v>
      </c>
      <c r="B20" s="14">
        <v>46</v>
      </c>
      <c r="E20" s="1"/>
      <c r="F20" s="4">
        <v>45492</v>
      </c>
      <c r="G20" s="1">
        <f t="shared" si="0"/>
        <v>6770.0300000000007</v>
      </c>
      <c r="H20" s="1"/>
      <c r="I20" s="1">
        <f t="shared" si="1"/>
        <v>6579.5300000000007</v>
      </c>
      <c r="M20" s="1"/>
      <c r="O20" s="3"/>
      <c r="P20" s="5"/>
      <c r="Q20" s="3">
        <v>45462</v>
      </c>
      <c r="R20" s="5">
        <v>500</v>
      </c>
      <c r="S20" s="1">
        <v>0</v>
      </c>
      <c r="T20" s="1">
        <f t="shared" si="2"/>
        <v>500</v>
      </c>
      <c r="W20" s="8"/>
      <c r="X20" s="7"/>
      <c r="Y20" s="1"/>
      <c r="AC20" s="3">
        <v>45492</v>
      </c>
      <c r="AD20" s="1"/>
      <c r="AE20" s="2">
        <f t="shared" si="3"/>
        <v>60</v>
      </c>
      <c r="AH20" s="3">
        <v>45492</v>
      </c>
      <c r="AI20" s="1"/>
      <c r="AJ20" s="1"/>
      <c r="AK20" s="2">
        <f>AJ2/19</f>
        <v>10.026315789473685</v>
      </c>
      <c r="AM20" s="1"/>
      <c r="AO20" s="3"/>
      <c r="AP20" s="7"/>
      <c r="AR20" s="9">
        <v>45462</v>
      </c>
      <c r="AT20" s="1"/>
      <c r="AV20" s="1"/>
      <c r="AW20" s="1"/>
      <c r="BA20" s="10"/>
      <c r="BB20" s="1"/>
    </row>
    <row r="21" spans="1:54" x14ac:dyDescent="0.25">
      <c r="A21" s="14" t="s">
        <v>139</v>
      </c>
      <c r="B21" s="14">
        <v>43.69</v>
      </c>
      <c r="E21" s="1"/>
      <c r="F21" s="4">
        <v>45493</v>
      </c>
      <c r="G21" s="1">
        <f t="shared" si="0"/>
        <v>6770.0300000000007</v>
      </c>
      <c r="H21" s="1"/>
      <c r="I21" s="1">
        <f t="shared" si="1"/>
        <v>6579.5300000000007</v>
      </c>
      <c r="M21" s="1"/>
      <c r="O21" s="3"/>
      <c r="P21" s="5"/>
      <c r="Q21" s="3">
        <v>45463</v>
      </c>
      <c r="R21" s="5">
        <v>500</v>
      </c>
      <c r="S21" s="1">
        <v>0</v>
      </c>
      <c r="T21" s="1">
        <f t="shared" si="2"/>
        <v>500</v>
      </c>
      <c r="W21" s="8"/>
      <c r="X21" s="7"/>
      <c r="Y21" s="1"/>
      <c r="AC21" s="3">
        <v>45493</v>
      </c>
      <c r="AD21" s="1"/>
      <c r="AE21" s="2">
        <f t="shared" si="3"/>
        <v>60</v>
      </c>
      <c r="AH21" s="3">
        <v>45493</v>
      </c>
      <c r="AI21" s="1"/>
      <c r="AJ21" s="1"/>
      <c r="AK21" s="2">
        <f>AJ2/20</f>
        <v>9.5250000000000004</v>
      </c>
      <c r="AM21" s="1"/>
      <c r="AO21" s="3"/>
      <c r="AP21" s="7"/>
      <c r="AR21" s="9">
        <v>45463</v>
      </c>
      <c r="AT21" s="1"/>
      <c r="AV21" s="1"/>
      <c r="AW21" s="1"/>
      <c r="BA21" s="10"/>
      <c r="BB21" s="1"/>
    </row>
    <row r="22" spans="1:54" x14ac:dyDescent="0.25">
      <c r="A22" s="14" t="s">
        <v>83</v>
      </c>
      <c r="B22" s="14">
        <v>128.1</v>
      </c>
      <c r="E22" s="1"/>
      <c r="F22" s="4">
        <v>45494</v>
      </c>
      <c r="G22" s="1">
        <f t="shared" si="0"/>
        <v>6770.0300000000007</v>
      </c>
      <c r="H22" s="1"/>
      <c r="I22" s="1">
        <f t="shared" si="1"/>
        <v>6579.5300000000007</v>
      </c>
      <c r="M22" s="1"/>
      <c r="O22" s="3"/>
      <c r="P22" s="5"/>
      <c r="Q22" s="3">
        <v>45464</v>
      </c>
      <c r="R22" s="5">
        <v>500</v>
      </c>
      <c r="S22" s="1">
        <v>0</v>
      </c>
      <c r="T22" s="1">
        <f t="shared" si="2"/>
        <v>500</v>
      </c>
      <c r="W22" s="8"/>
      <c r="X22" s="7"/>
      <c r="Y22" s="1"/>
      <c r="AC22" s="3">
        <v>45494</v>
      </c>
      <c r="AD22" s="1"/>
      <c r="AE22" s="2">
        <f t="shared" si="3"/>
        <v>60</v>
      </c>
      <c r="AH22" s="3">
        <v>45494</v>
      </c>
      <c r="AI22" s="1"/>
      <c r="AJ22" s="1"/>
      <c r="AK22" s="2">
        <f>AJ2/21</f>
        <v>9.0714285714285712</v>
      </c>
      <c r="AM22" s="1"/>
      <c r="AO22" s="3"/>
      <c r="AP22" s="7"/>
      <c r="AR22" s="9">
        <v>45464</v>
      </c>
      <c r="AT22" s="1"/>
      <c r="AV22" s="1"/>
      <c r="AW22" s="1"/>
      <c r="BA22" s="10"/>
      <c r="BB22" s="1"/>
    </row>
    <row r="23" spans="1:54" x14ac:dyDescent="0.25">
      <c r="A23" s="14" t="s">
        <v>83</v>
      </c>
      <c r="B23" s="14">
        <v>300</v>
      </c>
      <c r="E23" s="1"/>
      <c r="F23" s="4">
        <v>45495</v>
      </c>
      <c r="G23" s="1">
        <f t="shared" si="0"/>
        <v>6770.0300000000007</v>
      </c>
      <c r="H23" s="1"/>
      <c r="I23" s="1">
        <f t="shared" si="1"/>
        <v>6579.5300000000007</v>
      </c>
      <c r="M23" s="1"/>
      <c r="O23" s="3"/>
      <c r="P23" s="5"/>
      <c r="Q23" s="3">
        <v>45465</v>
      </c>
      <c r="R23" s="5">
        <v>500</v>
      </c>
      <c r="S23" s="1">
        <v>0</v>
      </c>
      <c r="T23" s="1">
        <f t="shared" si="2"/>
        <v>500</v>
      </c>
      <c r="W23" s="8"/>
      <c r="X23" s="7"/>
      <c r="Y23" s="1"/>
      <c r="AC23" s="3">
        <v>45495</v>
      </c>
      <c r="AD23" s="1"/>
      <c r="AE23" s="2">
        <f t="shared" si="3"/>
        <v>60</v>
      </c>
      <c r="AH23" s="3">
        <v>45495</v>
      </c>
      <c r="AI23" s="1"/>
      <c r="AJ23" s="1"/>
      <c r="AK23" s="2">
        <f>AJ2/22</f>
        <v>8.6590909090909083</v>
      </c>
      <c r="AM23" s="1"/>
      <c r="AO23" s="3"/>
      <c r="AP23" s="7"/>
      <c r="AR23" s="9">
        <v>45465</v>
      </c>
      <c r="AT23" s="1"/>
      <c r="AV23" s="1"/>
      <c r="AW23" s="1"/>
      <c r="BA23" s="10"/>
      <c r="BB23" s="1"/>
    </row>
    <row r="24" spans="1:54" x14ac:dyDescent="0.25">
      <c r="A24" s="14" t="s">
        <v>41</v>
      </c>
      <c r="B24" s="14">
        <v>321</v>
      </c>
      <c r="E24" s="1"/>
      <c r="F24" s="4">
        <v>45496</v>
      </c>
      <c r="G24" s="1">
        <f t="shared" si="0"/>
        <v>6770.0300000000007</v>
      </c>
      <c r="H24" s="1"/>
      <c r="I24" s="1">
        <f t="shared" si="1"/>
        <v>6579.5300000000007</v>
      </c>
      <c r="M24" s="1"/>
      <c r="O24" s="3"/>
      <c r="P24" s="5"/>
      <c r="Q24" s="3">
        <v>45466</v>
      </c>
      <c r="R24" s="5">
        <v>500</v>
      </c>
      <c r="S24" s="1">
        <v>0</v>
      </c>
      <c r="T24" s="1">
        <f t="shared" si="2"/>
        <v>500</v>
      </c>
      <c r="W24" s="8"/>
      <c r="X24" s="7"/>
      <c r="Y24" s="1"/>
      <c r="AC24" s="3">
        <v>45496</v>
      </c>
      <c r="AD24" s="1"/>
      <c r="AE24" s="2">
        <f t="shared" si="3"/>
        <v>60</v>
      </c>
      <c r="AH24" s="3">
        <v>45496</v>
      </c>
      <c r="AI24" s="1"/>
      <c r="AJ24" s="1"/>
      <c r="AK24" s="2">
        <f>AJ2/23</f>
        <v>8.2826086956521738</v>
      </c>
      <c r="AM24" s="1"/>
      <c r="AO24" s="3"/>
      <c r="AP24" s="7"/>
      <c r="AR24" s="9">
        <v>45466</v>
      </c>
      <c r="AT24" s="1"/>
      <c r="AV24" s="1"/>
      <c r="AW24" s="1"/>
      <c r="BA24" s="10"/>
      <c r="BB24" s="1"/>
    </row>
    <row r="25" spans="1:54" x14ac:dyDescent="0.25">
      <c r="A25" s="14" t="s">
        <v>66</v>
      </c>
      <c r="B25" s="14">
        <v>168</v>
      </c>
      <c r="E25" s="1"/>
      <c r="F25" s="4">
        <v>45497</v>
      </c>
      <c r="G25" s="1">
        <f t="shared" si="0"/>
        <v>6770.0300000000007</v>
      </c>
      <c r="H25" s="1"/>
      <c r="I25" s="1">
        <f t="shared" si="1"/>
        <v>6579.5300000000007</v>
      </c>
      <c r="M25" s="1"/>
      <c r="O25" s="3"/>
      <c r="P25" s="5"/>
      <c r="Q25" s="3">
        <v>45467</v>
      </c>
      <c r="R25" s="5">
        <v>500</v>
      </c>
      <c r="S25" s="1">
        <v>0</v>
      </c>
      <c r="T25" s="1">
        <f t="shared" si="2"/>
        <v>500</v>
      </c>
      <c r="W25" s="8"/>
      <c r="X25" s="7"/>
      <c r="Y25" s="1"/>
      <c r="AC25" s="3">
        <v>45497</v>
      </c>
      <c r="AD25" s="1"/>
      <c r="AE25" s="2">
        <f t="shared" si="3"/>
        <v>60</v>
      </c>
      <c r="AH25" s="3">
        <v>45497</v>
      </c>
      <c r="AI25" s="1"/>
      <c r="AJ25" s="1"/>
      <c r="AK25" s="2">
        <f>AJ2/24</f>
        <v>7.9375</v>
      </c>
      <c r="AM25" s="1"/>
      <c r="AO25" s="3"/>
      <c r="AP25" s="7"/>
      <c r="AR25" s="9">
        <v>45467</v>
      </c>
      <c r="AT25" s="1"/>
      <c r="AV25" s="1"/>
      <c r="AW25" s="1"/>
      <c r="BA25" s="10"/>
      <c r="BB25" s="1"/>
    </row>
    <row r="26" spans="1:54" x14ac:dyDescent="0.25">
      <c r="E26" s="1"/>
      <c r="F26" s="4">
        <v>45498</v>
      </c>
      <c r="G26" s="1">
        <f t="shared" si="0"/>
        <v>6770.0300000000007</v>
      </c>
      <c r="H26" s="1"/>
      <c r="I26" s="1">
        <f t="shared" si="1"/>
        <v>6579.5300000000007</v>
      </c>
      <c r="M26" s="1"/>
      <c r="O26" s="3"/>
      <c r="P26" s="5"/>
      <c r="Q26" s="3">
        <v>45468</v>
      </c>
      <c r="R26" s="5">
        <v>500</v>
      </c>
      <c r="S26" s="1">
        <v>0</v>
      </c>
      <c r="T26" s="1">
        <f t="shared" si="2"/>
        <v>500</v>
      </c>
      <c r="W26" s="8"/>
      <c r="X26" s="7"/>
      <c r="Y26" s="1"/>
      <c r="AC26" s="3">
        <v>45498</v>
      </c>
      <c r="AD26" s="1"/>
      <c r="AE26" s="2">
        <f t="shared" si="3"/>
        <v>60</v>
      </c>
      <c r="AH26" s="3">
        <v>45498</v>
      </c>
      <c r="AI26" s="1"/>
      <c r="AJ26" s="1"/>
      <c r="AK26" s="2">
        <f>AJ2/25</f>
        <v>7.62</v>
      </c>
      <c r="AM26" s="1"/>
      <c r="AO26" s="3"/>
      <c r="AP26" s="7"/>
      <c r="AR26" s="9">
        <v>45468</v>
      </c>
      <c r="AT26" s="1"/>
      <c r="AV26" s="1"/>
      <c r="AW26" s="1"/>
      <c r="BA26" s="10"/>
      <c r="BB26" s="1"/>
    </row>
    <row r="27" spans="1:54" x14ac:dyDescent="0.25">
      <c r="E27" s="1"/>
      <c r="F27" s="4">
        <v>45499</v>
      </c>
      <c r="G27" s="1">
        <f t="shared" si="0"/>
        <v>6770.0300000000007</v>
      </c>
      <c r="H27" s="1"/>
      <c r="I27" s="1">
        <f t="shared" si="1"/>
        <v>6579.5300000000007</v>
      </c>
      <c r="M27" s="1"/>
      <c r="O27" s="3"/>
      <c r="P27" s="5"/>
      <c r="Q27" s="3">
        <v>45469</v>
      </c>
      <c r="R27" s="5">
        <v>500</v>
      </c>
      <c r="S27" s="1">
        <v>0</v>
      </c>
      <c r="T27" s="1">
        <f t="shared" si="2"/>
        <v>500</v>
      </c>
      <c r="W27" s="8"/>
      <c r="X27" s="7"/>
      <c r="Y27" s="1"/>
      <c r="AC27" s="3">
        <v>45499</v>
      </c>
      <c r="AD27" s="1"/>
      <c r="AE27" s="2">
        <f t="shared" si="3"/>
        <v>60</v>
      </c>
      <c r="AH27" s="3">
        <v>45499</v>
      </c>
      <c r="AI27" s="1"/>
      <c r="AJ27" s="1"/>
      <c r="AK27" s="2">
        <f>AJ2/26</f>
        <v>7.3269230769230766</v>
      </c>
      <c r="AM27" s="1"/>
      <c r="AO27" s="3"/>
      <c r="AP27" s="7"/>
      <c r="AR27" s="9">
        <v>45469</v>
      </c>
      <c r="AT27" s="1"/>
      <c r="AV27" s="1"/>
      <c r="AW27" s="1"/>
      <c r="BA27" s="10"/>
      <c r="BB27" s="1"/>
    </row>
    <row r="28" spans="1:54" x14ac:dyDescent="0.25">
      <c r="E28" s="1"/>
      <c r="F28" s="4">
        <v>45500</v>
      </c>
      <c r="G28" s="1">
        <f t="shared" si="0"/>
        <v>6770.0300000000007</v>
      </c>
      <c r="H28" s="1"/>
      <c r="I28" s="1">
        <f t="shared" si="1"/>
        <v>6579.5300000000007</v>
      </c>
      <c r="M28" s="1"/>
      <c r="O28" s="3"/>
      <c r="P28" s="5"/>
      <c r="Q28" s="3">
        <v>45470</v>
      </c>
      <c r="R28" s="5">
        <v>500</v>
      </c>
      <c r="S28" s="1">
        <v>0</v>
      </c>
      <c r="T28" s="1">
        <f t="shared" si="2"/>
        <v>500</v>
      </c>
      <c r="W28" s="8"/>
      <c r="X28" s="7"/>
      <c r="Y28" s="1"/>
      <c r="AC28" s="3">
        <v>45500</v>
      </c>
      <c r="AD28" s="1"/>
      <c r="AE28" s="2">
        <f t="shared" si="3"/>
        <v>60</v>
      </c>
      <c r="AH28" s="3">
        <v>45500</v>
      </c>
      <c r="AI28" s="1"/>
      <c r="AJ28" s="1"/>
      <c r="AK28" s="2">
        <f>AJ2/27</f>
        <v>7.0555555555555554</v>
      </c>
      <c r="AM28" s="1"/>
      <c r="AO28" s="3"/>
      <c r="AP28" s="7"/>
      <c r="AR28" s="9">
        <v>45470</v>
      </c>
      <c r="AT28" s="1"/>
      <c r="AV28" s="1"/>
      <c r="AW28" s="1"/>
      <c r="BA28" s="10"/>
      <c r="BB28" s="1"/>
    </row>
    <row r="29" spans="1:54" x14ac:dyDescent="0.25">
      <c r="E29" s="1"/>
      <c r="F29" s="4">
        <v>45501</v>
      </c>
      <c r="G29" s="1">
        <f t="shared" si="0"/>
        <v>6770.0300000000007</v>
      </c>
      <c r="H29" s="1"/>
      <c r="I29" s="1">
        <f t="shared" si="1"/>
        <v>6579.5300000000007</v>
      </c>
      <c r="M29" s="1"/>
      <c r="O29" s="3"/>
      <c r="P29" s="5"/>
      <c r="Q29" s="3">
        <v>45471</v>
      </c>
      <c r="R29" s="5">
        <v>500</v>
      </c>
      <c r="S29" s="1">
        <v>0</v>
      </c>
      <c r="T29" s="1">
        <f t="shared" si="2"/>
        <v>500</v>
      </c>
      <c r="W29" s="3"/>
      <c r="X29" s="7"/>
      <c r="Y29" s="1"/>
      <c r="AC29" s="3">
        <v>45501</v>
      </c>
      <c r="AD29" s="1"/>
      <c r="AE29" s="2">
        <f t="shared" si="3"/>
        <v>60</v>
      </c>
      <c r="AH29" s="3">
        <v>45501</v>
      </c>
      <c r="AI29" s="1"/>
      <c r="AJ29" s="1"/>
      <c r="AK29" s="2">
        <f>AJ2/28</f>
        <v>6.8035714285714288</v>
      </c>
      <c r="AM29" s="1"/>
      <c r="AO29" s="3"/>
      <c r="AP29" s="7"/>
      <c r="AR29" s="9">
        <v>45471</v>
      </c>
      <c r="AT29" s="1"/>
      <c r="AV29" s="1"/>
      <c r="AW29" s="1"/>
      <c r="BA29" s="10"/>
      <c r="BB29" s="1"/>
    </row>
    <row r="30" spans="1:54" x14ac:dyDescent="0.25">
      <c r="E30" s="1"/>
      <c r="F30" s="4">
        <v>45502</v>
      </c>
      <c r="G30" s="1">
        <f t="shared" si="0"/>
        <v>6770.0300000000007</v>
      </c>
      <c r="H30" s="1"/>
      <c r="I30" s="1">
        <f t="shared" si="1"/>
        <v>6579.5300000000007</v>
      </c>
      <c r="M30" s="1"/>
      <c r="O30" s="3"/>
      <c r="P30" s="5"/>
      <c r="Q30" s="3">
        <v>45472</v>
      </c>
      <c r="R30" s="5">
        <v>500</v>
      </c>
      <c r="S30" s="1">
        <v>0</v>
      </c>
      <c r="T30" s="1">
        <f t="shared" si="2"/>
        <v>500</v>
      </c>
      <c r="W30" s="3"/>
      <c r="X30" s="7"/>
      <c r="Y30" s="1"/>
      <c r="AC30" s="3">
        <v>45502</v>
      </c>
      <c r="AD30" s="1"/>
      <c r="AE30" s="2">
        <f t="shared" si="3"/>
        <v>60</v>
      </c>
      <c r="AH30" s="3">
        <v>45502</v>
      </c>
      <c r="AI30" s="1"/>
      <c r="AJ30" s="1"/>
      <c r="AK30" s="2">
        <f>AJ2/29</f>
        <v>6.568965517241379</v>
      </c>
      <c r="AM30" s="1"/>
      <c r="AO30" s="3"/>
      <c r="AP30" s="7"/>
      <c r="AR30" s="9">
        <v>45472</v>
      </c>
      <c r="AT30" s="1"/>
      <c r="AV30" s="1"/>
      <c r="AW30" s="1"/>
      <c r="BA30" s="10"/>
      <c r="BB30" s="1"/>
    </row>
    <row r="31" spans="1:54" x14ac:dyDescent="0.25">
      <c r="E31" s="1"/>
      <c r="F31" s="4">
        <v>45503</v>
      </c>
      <c r="G31" s="1">
        <f t="shared" si="0"/>
        <v>6770.0300000000007</v>
      </c>
      <c r="H31" s="1"/>
      <c r="I31" s="1">
        <f t="shared" si="1"/>
        <v>6579.5300000000007</v>
      </c>
      <c r="M31" s="1"/>
      <c r="O31" s="3"/>
      <c r="P31" s="5"/>
      <c r="Q31" s="3">
        <v>45473</v>
      </c>
      <c r="R31" s="5">
        <v>500</v>
      </c>
      <c r="S31" s="1">
        <v>0</v>
      </c>
      <c r="T31" s="1">
        <f t="shared" si="2"/>
        <v>500</v>
      </c>
      <c r="W31" s="3"/>
      <c r="X31" s="7"/>
      <c r="Y31" s="1"/>
      <c r="AC31" s="3">
        <v>45503</v>
      </c>
      <c r="AD31" s="1"/>
      <c r="AE31" s="2">
        <f t="shared" si="3"/>
        <v>60</v>
      </c>
      <c r="AH31" s="3">
        <v>45503</v>
      </c>
      <c r="AI31" s="1"/>
      <c r="AJ31" s="1"/>
      <c r="AK31" s="2">
        <f>AJ2/30</f>
        <v>6.35</v>
      </c>
      <c r="AM31" s="1"/>
      <c r="AO31" s="3"/>
      <c r="AP31" s="7"/>
      <c r="AR31" s="9">
        <v>45473</v>
      </c>
      <c r="AT31" s="1"/>
      <c r="AV31" s="1"/>
      <c r="AW31" s="1"/>
      <c r="BA31" s="10"/>
      <c r="BB31" s="1"/>
    </row>
    <row r="32" spans="1:54" x14ac:dyDescent="0.25">
      <c r="F32" s="4">
        <v>45504</v>
      </c>
      <c r="G32" s="1">
        <f t="shared" si="0"/>
        <v>6770.0300000000007</v>
      </c>
      <c r="I32" s="1">
        <f t="shared" si="1"/>
        <v>6579.5300000000007</v>
      </c>
      <c r="AC32" s="3">
        <v>45504</v>
      </c>
      <c r="AE32" s="2">
        <f t="shared" si="3"/>
        <v>60</v>
      </c>
      <c r="AH32" s="3">
        <v>45504</v>
      </c>
      <c r="AK32" s="2">
        <f>AJ2/31</f>
        <v>6.145161290322581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96E6-A1CF-4BA0-97A4-10E0315B2DB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E60E-B067-4574-9B5D-64E1DE6E8C1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MARÇO</vt:lpstr>
      <vt:lpstr>ABRIL</vt:lpstr>
      <vt:lpstr>MAIO</vt:lpstr>
      <vt:lpstr>JUNHO</vt:lpstr>
      <vt:lpstr>JULHO </vt:lpstr>
      <vt:lpstr>AGOSTO 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2023-10-05T14:01:59Z</dcterms:created>
  <dcterms:modified xsi:type="dcterms:W3CDTF">2024-07-08T13:14:05Z</dcterms:modified>
</cp:coreProperties>
</file>